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CNS&amp;KALK\Zakázky 2022\20220711 Smotlacha_RDSD Brandýs\_Rozpočet\"/>
    </mc:Choice>
  </mc:AlternateContent>
  <xr:revisionPtr revIDLastSave="0" documentId="8_{2A01A151-30A5-48A9-8608-C2861C395E87}" xr6:coauthVersionLast="47" xr6:coauthVersionMax="47" xr10:uidLastSave="{00000000-0000-0000-0000-000000000000}"/>
  <bookViews>
    <workbookView xWindow="28680" yWindow="-120" windowWidth="38640" windowHeight="21390"/>
  </bookViews>
  <sheets>
    <sheet name="Krycí list rozpočtu" sheetId="5" r:id="rId1"/>
    <sheet name="VORN" sheetId="6" r:id="rId2"/>
    <sheet name="Rozpočet - Jen objekty celkem" sheetId="2" r:id="rId3"/>
    <sheet name="Stavební rozpočet - součet" sheetId="3" r:id="rId4"/>
    <sheet name="Stavební rozpočet" sheetId="1" r:id="rId5"/>
    <sheet name="Výkaz výměr" sheetId="4" r:id="rId6"/>
  </sheets>
  <definedNames>
    <definedName name="vorn_sum">VORN!$I$38:$I$38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" i="6" l="1"/>
  <c r="I37" i="6"/>
  <c r="I36" i="6"/>
  <c r="C2" i="5"/>
  <c r="F2" i="5"/>
  <c r="C4" i="5"/>
  <c r="F4" i="5"/>
  <c r="C6" i="5"/>
  <c r="F6" i="5"/>
  <c r="C8" i="5"/>
  <c r="F8" i="5"/>
  <c r="C10" i="5"/>
  <c r="F10" i="5"/>
  <c r="I10" i="5"/>
  <c r="D2" i="2"/>
  <c r="H2" i="2"/>
  <c r="J2" i="2"/>
  <c r="D4" i="2"/>
  <c r="H4" i="2"/>
  <c r="J4" i="2"/>
  <c r="D6" i="2"/>
  <c r="H6" i="2"/>
  <c r="J6" i="2"/>
  <c r="D8" i="2"/>
  <c r="H8" i="2"/>
  <c r="J8" i="2"/>
  <c r="N12" i="2"/>
  <c r="N13" i="2"/>
  <c r="N14" i="2"/>
  <c r="M14" i="1"/>
  <c r="Z14" i="1"/>
  <c r="AD14" i="1"/>
  <c r="AE14" i="1"/>
  <c r="AF14" i="1"/>
  <c r="AG14" i="1"/>
  <c r="AH14" i="1"/>
  <c r="AJ14" i="1"/>
  <c r="AK14" i="1"/>
  <c r="AL14" i="1"/>
  <c r="AO14" i="1"/>
  <c r="AW14" i="1"/>
  <c r="AP14" i="1"/>
  <c r="L14" i="1"/>
  <c r="BD14" i="1"/>
  <c r="BF14" i="1"/>
  <c r="BI14" i="1"/>
  <c r="AC14" i="1"/>
  <c r="BJ14" i="1"/>
  <c r="M17" i="1"/>
  <c r="AK17" i="1"/>
  <c r="Z17" i="1"/>
  <c r="AC17" i="1"/>
  <c r="AD17" i="1"/>
  <c r="AE17" i="1"/>
  <c r="AF17" i="1"/>
  <c r="AG17" i="1"/>
  <c r="AH17" i="1"/>
  <c r="AJ17" i="1"/>
  <c r="AL17" i="1"/>
  <c r="AO17" i="1"/>
  <c r="K17" i="1"/>
  <c r="AP17" i="1"/>
  <c r="L17" i="1"/>
  <c r="AX17" i="1"/>
  <c r="BD17" i="1"/>
  <c r="BF17" i="1"/>
  <c r="BI17" i="1"/>
  <c r="BJ17" i="1"/>
  <c r="K19" i="1"/>
  <c r="M19" i="1"/>
  <c r="AK19" i="1"/>
  <c r="Z19" i="1"/>
  <c r="AB19" i="1"/>
  <c r="AD19" i="1"/>
  <c r="AE19" i="1"/>
  <c r="AF19" i="1"/>
  <c r="AG19" i="1"/>
  <c r="AH19" i="1"/>
  <c r="AJ19" i="1"/>
  <c r="AL19" i="1"/>
  <c r="AO19" i="1"/>
  <c r="AW19" i="1"/>
  <c r="AP19" i="1"/>
  <c r="L19" i="1"/>
  <c r="AX19" i="1"/>
  <c r="BD19" i="1"/>
  <c r="BF19" i="1"/>
  <c r="BH19" i="1"/>
  <c r="BI19" i="1"/>
  <c r="AC19" i="1"/>
  <c r="BJ19" i="1"/>
  <c r="K21" i="1"/>
  <c r="M21" i="1"/>
  <c r="AK21" i="1"/>
  <c r="Z21" i="1"/>
  <c r="AD21" i="1"/>
  <c r="AE21" i="1"/>
  <c r="AF21" i="1"/>
  <c r="AG21" i="1"/>
  <c r="AH21" i="1"/>
  <c r="AJ21" i="1"/>
  <c r="AL21" i="1"/>
  <c r="AO21" i="1"/>
  <c r="AP21" i="1"/>
  <c r="L21" i="1"/>
  <c r="AW21" i="1"/>
  <c r="BC21" i="1"/>
  <c r="AX21" i="1"/>
  <c r="AV21" i="1"/>
  <c r="BD21" i="1"/>
  <c r="BF21" i="1"/>
  <c r="BH21" i="1"/>
  <c r="AB21" i="1"/>
  <c r="BI21" i="1"/>
  <c r="AC21" i="1"/>
  <c r="BJ21" i="1"/>
  <c r="M23" i="1"/>
  <c r="Z23" i="1"/>
  <c r="AD23" i="1"/>
  <c r="AE23" i="1"/>
  <c r="AF23" i="1"/>
  <c r="AG23" i="1"/>
  <c r="AH23" i="1"/>
  <c r="AJ23" i="1"/>
  <c r="AK23" i="1"/>
  <c r="AL23" i="1"/>
  <c r="AO23" i="1"/>
  <c r="K23" i="1"/>
  <c r="AP23" i="1"/>
  <c r="L23" i="1"/>
  <c r="AW23" i="1"/>
  <c r="BD23" i="1"/>
  <c r="BF23" i="1"/>
  <c r="BH23" i="1"/>
  <c r="AB23" i="1"/>
  <c r="BJ23" i="1"/>
  <c r="M24" i="1"/>
  <c r="AK24" i="1"/>
  <c r="Z24" i="1"/>
  <c r="AD24" i="1"/>
  <c r="AE24" i="1"/>
  <c r="AF24" i="1"/>
  <c r="AG24" i="1"/>
  <c r="AH24" i="1"/>
  <c r="AJ24" i="1"/>
  <c r="AL24" i="1"/>
  <c r="AO24" i="1"/>
  <c r="K24" i="1"/>
  <c r="AP24" i="1"/>
  <c r="L24" i="1"/>
  <c r="BD24" i="1"/>
  <c r="BF24" i="1"/>
  <c r="BH24" i="1"/>
  <c r="AB24" i="1"/>
  <c r="BI24" i="1"/>
  <c r="AC24" i="1"/>
  <c r="BJ24" i="1"/>
  <c r="M26" i="1"/>
  <c r="AK26" i="1"/>
  <c r="Z26" i="1"/>
  <c r="AD26" i="1"/>
  <c r="AE26" i="1"/>
  <c r="AF26" i="1"/>
  <c r="AG26" i="1"/>
  <c r="AH26" i="1"/>
  <c r="AJ26" i="1"/>
  <c r="AL26" i="1"/>
  <c r="AO26" i="1"/>
  <c r="K26" i="1"/>
  <c r="AP26" i="1"/>
  <c r="L26" i="1"/>
  <c r="BD26" i="1"/>
  <c r="BF26" i="1"/>
  <c r="BH26" i="1"/>
  <c r="AB26" i="1"/>
  <c r="BI26" i="1"/>
  <c r="AC26" i="1"/>
  <c r="BJ26" i="1"/>
  <c r="M27" i="1"/>
  <c r="AK27" i="1"/>
  <c r="Z27" i="1"/>
  <c r="AD27" i="1"/>
  <c r="AE27" i="1"/>
  <c r="AF27" i="1"/>
  <c r="AG27" i="1"/>
  <c r="AH27" i="1"/>
  <c r="AJ27" i="1"/>
  <c r="AL27" i="1"/>
  <c r="AO27" i="1"/>
  <c r="AW27" i="1"/>
  <c r="AP27" i="1"/>
  <c r="L27" i="1"/>
  <c r="AX27" i="1"/>
  <c r="BD27" i="1"/>
  <c r="BF27" i="1"/>
  <c r="BH27" i="1"/>
  <c r="AB27" i="1"/>
  <c r="BI27" i="1"/>
  <c r="AC27" i="1"/>
  <c r="BJ27" i="1"/>
  <c r="M29" i="1"/>
  <c r="AK29" i="1"/>
  <c r="Z29" i="1"/>
  <c r="AD29" i="1"/>
  <c r="AE29" i="1"/>
  <c r="AF29" i="1"/>
  <c r="AG29" i="1"/>
  <c r="AH29" i="1"/>
  <c r="AJ29" i="1"/>
  <c r="AL29" i="1"/>
  <c r="AO29" i="1"/>
  <c r="AW29" i="1"/>
  <c r="AP29" i="1"/>
  <c r="L29" i="1"/>
  <c r="BD29" i="1"/>
  <c r="BF29" i="1"/>
  <c r="BJ29" i="1"/>
  <c r="M30" i="1"/>
  <c r="Z30" i="1"/>
  <c r="AD30" i="1"/>
  <c r="AE30" i="1"/>
  <c r="AF30" i="1"/>
  <c r="AG30" i="1"/>
  <c r="AH30" i="1"/>
  <c r="AJ30" i="1"/>
  <c r="AK30" i="1"/>
  <c r="AL30" i="1"/>
  <c r="AO30" i="1"/>
  <c r="K30" i="1"/>
  <c r="AP30" i="1"/>
  <c r="AX30" i="1"/>
  <c r="BD30" i="1"/>
  <c r="BF30" i="1"/>
  <c r="BH30" i="1"/>
  <c r="AB30" i="1"/>
  <c r="BI30" i="1"/>
  <c r="AC30" i="1"/>
  <c r="BJ30" i="1"/>
  <c r="M32" i="1"/>
  <c r="AK32" i="1"/>
  <c r="Z32" i="1"/>
  <c r="AD32" i="1"/>
  <c r="AE32" i="1"/>
  <c r="AF32" i="1"/>
  <c r="AG32" i="1"/>
  <c r="AH32" i="1"/>
  <c r="AJ32" i="1"/>
  <c r="AL32" i="1"/>
  <c r="AO32" i="1"/>
  <c r="AW32" i="1"/>
  <c r="AP32" i="1"/>
  <c r="L32" i="1"/>
  <c r="BD32" i="1"/>
  <c r="BF32" i="1"/>
  <c r="BJ32" i="1"/>
  <c r="K33" i="1"/>
  <c r="E14" i="3"/>
  <c r="K34" i="1"/>
  <c r="L34" i="1"/>
  <c r="M34" i="1"/>
  <c r="Z34" i="1"/>
  <c r="AD34" i="1"/>
  <c r="AE34" i="1"/>
  <c r="AF34" i="1"/>
  <c r="AG34" i="1"/>
  <c r="AH34" i="1"/>
  <c r="AJ34" i="1"/>
  <c r="AL34" i="1"/>
  <c r="AO34" i="1"/>
  <c r="BH34" i="1"/>
  <c r="AB34" i="1"/>
  <c r="AP34" i="1"/>
  <c r="AW34" i="1"/>
  <c r="BC34" i="1"/>
  <c r="AX34" i="1"/>
  <c r="AV34" i="1"/>
  <c r="BD34" i="1"/>
  <c r="BF34" i="1"/>
  <c r="BI34" i="1"/>
  <c r="AC34" i="1"/>
  <c r="BJ34" i="1"/>
  <c r="K37" i="1"/>
  <c r="L37" i="1"/>
  <c r="M37" i="1"/>
  <c r="AK37" i="1"/>
  <c r="Z37" i="1"/>
  <c r="AD37" i="1"/>
  <c r="AE37" i="1"/>
  <c r="AF37" i="1"/>
  <c r="AG37" i="1"/>
  <c r="AH37" i="1"/>
  <c r="AJ37" i="1"/>
  <c r="AS33" i="1"/>
  <c r="AL37" i="1"/>
  <c r="AU33" i="1"/>
  <c r="AO37" i="1"/>
  <c r="AP37" i="1"/>
  <c r="AW37" i="1"/>
  <c r="BC37" i="1"/>
  <c r="AX37" i="1"/>
  <c r="AV37" i="1"/>
  <c r="BD37" i="1"/>
  <c r="BF37" i="1"/>
  <c r="BH37" i="1"/>
  <c r="AB37" i="1"/>
  <c r="BI37" i="1"/>
  <c r="AC37" i="1"/>
  <c r="BJ37" i="1"/>
  <c r="K39" i="1"/>
  <c r="M39" i="1"/>
  <c r="M38" i="1"/>
  <c r="G15" i="3"/>
  <c r="I15" i="3"/>
  <c r="Z39" i="1"/>
  <c r="AD39" i="1"/>
  <c r="AE39" i="1"/>
  <c r="AF39" i="1"/>
  <c r="AG39" i="1"/>
  <c r="AH39" i="1"/>
  <c r="AJ39" i="1"/>
  <c r="AK39" i="1"/>
  <c r="AL39" i="1"/>
  <c r="AO39" i="1"/>
  <c r="AP39" i="1"/>
  <c r="L39" i="1"/>
  <c r="AW39" i="1"/>
  <c r="BD39" i="1"/>
  <c r="BF39" i="1"/>
  <c r="BH39" i="1"/>
  <c r="AB39" i="1"/>
  <c r="BI39" i="1"/>
  <c r="AC39" i="1"/>
  <c r="BJ39" i="1"/>
  <c r="M41" i="1"/>
  <c r="Z41" i="1"/>
  <c r="AB41" i="1"/>
  <c r="AC41" i="1"/>
  <c r="AD41" i="1"/>
  <c r="AE41" i="1"/>
  <c r="AF41" i="1"/>
  <c r="AG41" i="1"/>
  <c r="AH41" i="1"/>
  <c r="AJ41" i="1"/>
  <c r="AK41" i="1"/>
  <c r="AL41" i="1"/>
  <c r="AO41" i="1"/>
  <c r="K41" i="1"/>
  <c r="AP41" i="1"/>
  <c r="L41" i="1"/>
  <c r="BD41" i="1"/>
  <c r="BF41" i="1"/>
  <c r="BH41" i="1"/>
  <c r="BI41" i="1"/>
  <c r="BJ41" i="1"/>
  <c r="L44" i="1"/>
  <c r="M44" i="1"/>
  <c r="Z44" i="1"/>
  <c r="AD44" i="1"/>
  <c r="AE44" i="1"/>
  <c r="AF44" i="1"/>
  <c r="AG44" i="1"/>
  <c r="AH44" i="1"/>
  <c r="AJ44" i="1"/>
  <c r="AL44" i="1"/>
  <c r="AO44" i="1"/>
  <c r="K44" i="1"/>
  <c r="AP44" i="1"/>
  <c r="AW44" i="1"/>
  <c r="AV44" i="1"/>
  <c r="AX44" i="1"/>
  <c r="BD44" i="1"/>
  <c r="BF44" i="1"/>
  <c r="BH44" i="1"/>
  <c r="AB44" i="1"/>
  <c r="BI44" i="1"/>
  <c r="AC44" i="1"/>
  <c r="BJ44" i="1"/>
  <c r="M46" i="1"/>
  <c r="AK46" i="1"/>
  <c r="Z46" i="1"/>
  <c r="AC46" i="1"/>
  <c r="AD46" i="1"/>
  <c r="AE46" i="1"/>
  <c r="AF46" i="1"/>
  <c r="AG46" i="1"/>
  <c r="AH46" i="1"/>
  <c r="AJ46" i="1"/>
  <c r="AL46" i="1"/>
  <c r="AO46" i="1"/>
  <c r="K46" i="1"/>
  <c r="AP46" i="1"/>
  <c r="L46" i="1"/>
  <c r="AX46" i="1"/>
  <c r="BD46" i="1"/>
  <c r="BF46" i="1"/>
  <c r="BI46" i="1"/>
  <c r="BJ46" i="1"/>
  <c r="M48" i="1"/>
  <c r="Z48" i="1"/>
  <c r="AB48" i="1"/>
  <c r="AC48" i="1"/>
  <c r="AD48" i="1"/>
  <c r="AE48" i="1"/>
  <c r="AF48" i="1"/>
  <c r="AG48" i="1"/>
  <c r="AH48" i="1"/>
  <c r="AJ48" i="1"/>
  <c r="AK48" i="1"/>
  <c r="AL48" i="1"/>
  <c r="AO48" i="1"/>
  <c r="K48" i="1"/>
  <c r="AP48" i="1"/>
  <c r="L48" i="1"/>
  <c r="BD48" i="1"/>
  <c r="BF48" i="1"/>
  <c r="BH48" i="1"/>
  <c r="BI48" i="1"/>
  <c r="BJ48" i="1"/>
  <c r="K50" i="1"/>
  <c r="L50" i="1"/>
  <c r="M50" i="1"/>
  <c r="AK50" i="1"/>
  <c r="Z50" i="1"/>
  <c r="AD50" i="1"/>
  <c r="AE50" i="1"/>
  <c r="AF50" i="1"/>
  <c r="AG50" i="1"/>
  <c r="AH50" i="1"/>
  <c r="AJ50" i="1"/>
  <c r="AL50" i="1"/>
  <c r="AO50" i="1"/>
  <c r="AP50" i="1"/>
  <c r="AW50" i="1"/>
  <c r="AV50" i="1"/>
  <c r="AX50" i="1"/>
  <c r="BD50" i="1"/>
  <c r="BF50" i="1"/>
  <c r="BH50" i="1"/>
  <c r="AB50" i="1"/>
  <c r="BI50" i="1"/>
  <c r="AC50" i="1"/>
  <c r="BJ50" i="1"/>
  <c r="M51" i="1"/>
  <c r="Z51" i="1"/>
  <c r="AD51" i="1"/>
  <c r="AE51" i="1"/>
  <c r="AF51" i="1"/>
  <c r="AG51" i="1"/>
  <c r="AH51" i="1"/>
  <c r="AJ51" i="1"/>
  <c r="AK51" i="1"/>
  <c r="AL51" i="1"/>
  <c r="AO51" i="1"/>
  <c r="K51" i="1"/>
  <c r="AP51" i="1"/>
  <c r="L51" i="1"/>
  <c r="BD51" i="1"/>
  <c r="BF51" i="1"/>
  <c r="BH51" i="1"/>
  <c r="AB51" i="1"/>
  <c r="BI51" i="1"/>
  <c r="AC51" i="1"/>
  <c r="BJ51" i="1"/>
  <c r="M52" i="1"/>
  <c r="Z52" i="1"/>
  <c r="AC52" i="1"/>
  <c r="AD52" i="1"/>
  <c r="AE52" i="1"/>
  <c r="AF52" i="1"/>
  <c r="AG52" i="1"/>
  <c r="AH52" i="1"/>
  <c r="AJ52" i="1"/>
  <c r="AK52" i="1"/>
  <c r="AL52" i="1"/>
  <c r="AO52" i="1"/>
  <c r="K52" i="1"/>
  <c r="AP52" i="1"/>
  <c r="L52" i="1"/>
  <c r="AX52" i="1"/>
  <c r="BD52" i="1"/>
  <c r="BF52" i="1"/>
  <c r="BH52" i="1"/>
  <c r="AB52" i="1"/>
  <c r="BI52" i="1"/>
  <c r="BJ52" i="1"/>
  <c r="L54" i="1"/>
  <c r="M54" i="1"/>
  <c r="AK54" i="1"/>
  <c r="Z54" i="1"/>
  <c r="AD54" i="1"/>
  <c r="AE54" i="1"/>
  <c r="AF54" i="1"/>
  <c r="AG54" i="1"/>
  <c r="AH54" i="1"/>
  <c r="AJ54" i="1"/>
  <c r="AL54" i="1"/>
  <c r="AO54" i="1"/>
  <c r="K54" i="1"/>
  <c r="AP54" i="1"/>
  <c r="AW54" i="1"/>
  <c r="AV54" i="1"/>
  <c r="AX54" i="1"/>
  <c r="BD54" i="1"/>
  <c r="BF54" i="1"/>
  <c r="BH54" i="1"/>
  <c r="AB54" i="1"/>
  <c r="BI54" i="1"/>
  <c r="AC54" i="1"/>
  <c r="BJ54" i="1"/>
  <c r="M55" i="1"/>
  <c r="Z55" i="1"/>
  <c r="AC55" i="1"/>
  <c r="AD55" i="1"/>
  <c r="AE55" i="1"/>
  <c r="AF55" i="1"/>
  <c r="AG55" i="1"/>
  <c r="AH55" i="1"/>
  <c r="AJ55" i="1"/>
  <c r="AK55" i="1"/>
  <c r="AL55" i="1"/>
  <c r="AO55" i="1"/>
  <c r="AW55" i="1"/>
  <c r="AP55" i="1"/>
  <c r="L55" i="1"/>
  <c r="BD55" i="1"/>
  <c r="BF55" i="1"/>
  <c r="BH55" i="1"/>
  <c r="AB55" i="1"/>
  <c r="BI55" i="1"/>
  <c r="BJ55" i="1"/>
  <c r="K56" i="1"/>
  <c r="L56" i="1"/>
  <c r="M56" i="1"/>
  <c r="Z56" i="1"/>
  <c r="AB56" i="1"/>
  <c r="AC56" i="1"/>
  <c r="AD56" i="1"/>
  <c r="AE56" i="1"/>
  <c r="AF56" i="1"/>
  <c r="AG56" i="1"/>
  <c r="AH56" i="1"/>
  <c r="AJ56" i="1"/>
  <c r="AK56" i="1"/>
  <c r="AL56" i="1"/>
  <c r="AO56" i="1"/>
  <c r="AW56" i="1"/>
  <c r="AP56" i="1"/>
  <c r="AX56" i="1"/>
  <c r="BD56" i="1"/>
  <c r="BF56" i="1"/>
  <c r="BH56" i="1"/>
  <c r="BI56" i="1"/>
  <c r="BJ56" i="1"/>
  <c r="M58" i="1"/>
  <c r="Z58" i="1"/>
  <c r="AD58" i="1"/>
  <c r="AE58" i="1"/>
  <c r="AF58" i="1"/>
  <c r="AG58" i="1"/>
  <c r="AH58" i="1"/>
  <c r="AJ58" i="1"/>
  <c r="AK58" i="1"/>
  <c r="AL58" i="1"/>
  <c r="AO58" i="1"/>
  <c r="AW58" i="1"/>
  <c r="AP58" i="1"/>
  <c r="L58" i="1"/>
  <c r="BD58" i="1"/>
  <c r="BF58" i="1"/>
  <c r="BH58" i="1"/>
  <c r="AB58" i="1"/>
  <c r="BI58" i="1"/>
  <c r="AC58" i="1"/>
  <c r="BJ58" i="1"/>
  <c r="L61" i="1"/>
  <c r="M61" i="1"/>
  <c r="Z61" i="1"/>
  <c r="AB61" i="1"/>
  <c r="AC61" i="1"/>
  <c r="AD61" i="1"/>
  <c r="AE61" i="1"/>
  <c r="AF61" i="1"/>
  <c r="AG61" i="1"/>
  <c r="AH61" i="1"/>
  <c r="AJ61" i="1"/>
  <c r="AK61" i="1"/>
  <c r="AL61" i="1"/>
  <c r="AO61" i="1"/>
  <c r="K61" i="1"/>
  <c r="AP61" i="1"/>
  <c r="AX61" i="1"/>
  <c r="AW61" i="1"/>
  <c r="AV61" i="1"/>
  <c r="BD61" i="1"/>
  <c r="BF61" i="1"/>
  <c r="BH61" i="1"/>
  <c r="BI61" i="1"/>
  <c r="BJ61" i="1"/>
  <c r="L62" i="1"/>
  <c r="M62" i="1"/>
  <c r="AK62" i="1"/>
  <c r="Z62" i="1"/>
  <c r="AD62" i="1"/>
  <c r="AE62" i="1"/>
  <c r="AF62" i="1"/>
  <c r="AG62" i="1"/>
  <c r="AH62" i="1"/>
  <c r="AJ62" i="1"/>
  <c r="AL62" i="1"/>
  <c r="AO62" i="1"/>
  <c r="BH62" i="1"/>
  <c r="AB62" i="1"/>
  <c r="AP62" i="1"/>
  <c r="AW62" i="1"/>
  <c r="BC62" i="1"/>
  <c r="AX62" i="1"/>
  <c r="BD62" i="1"/>
  <c r="BF62" i="1"/>
  <c r="BI62" i="1"/>
  <c r="AC62" i="1"/>
  <c r="BJ62" i="1"/>
  <c r="M63" i="1"/>
  <c r="AK63" i="1"/>
  <c r="Z63" i="1"/>
  <c r="AC63" i="1"/>
  <c r="AD63" i="1"/>
  <c r="AE63" i="1"/>
  <c r="AF63" i="1"/>
  <c r="AG63" i="1"/>
  <c r="AH63" i="1"/>
  <c r="AJ63" i="1"/>
  <c r="AL63" i="1"/>
  <c r="AO63" i="1"/>
  <c r="AW63" i="1"/>
  <c r="AP63" i="1"/>
  <c r="L63" i="1"/>
  <c r="AX63" i="1"/>
  <c r="BD63" i="1"/>
  <c r="BF63" i="1"/>
  <c r="BH63" i="1"/>
  <c r="AB63" i="1"/>
  <c r="BI63" i="1"/>
  <c r="BJ63" i="1"/>
  <c r="L66" i="1"/>
  <c r="M66" i="1"/>
  <c r="Z66" i="1"/>
  <c r="AB66" i="1"/>
  <c r="AC66" i="1"/>
  <c r="AD66" i="1"/>
  <c r="AE66" i="1"/>
  <c r="AF66" i="1"/>
  <c r="AG66" i="1"/>
  <c r="AH66" i="1"/>
  <c r="AJ66" i="1"/>
  <c r="AK66" i="1"/>
  <c r="AL66" i="1"/>
  <c r="AO66" i="1"/>
  <c r="K66" i="1"/>
  <c r="AP66" i="1"/>
  <c r="AX66" i="1"/>
  <c r="BD66" i="1"/>
  <c r="BF66" i="1"/>
  <c r="BH66" i="1"/>
  <c r="BI66" i="1"/>
  <c r="BJ66" i="1"/>
  <c r="K69" i="1"/>
  <c r="L69" i="1"/>
  <c r="M69" i="1"/>
  <c r="Z69" i="1"/>
  <c r="AD69" i="1"/>
  <c r="AE69" i="1"/>
  <c r="AF69" i="1"/>
  <c r="AG69" i="1"/>
  <c r="AH69" i="1"/>
  <c r="AJ69" i="1"/>
  <c r="AK69" i="1"/>
  <c r="AL69" i="1"/>
  <c r="AO69" i="1"/>
  <c r="AP69" i="1"/>
  <c r="AX69" i="1"/>
  <c r="AW69" i="1"/>
  <c r="BD69" i="1"/>
  <c r="BF69" i="1"/>
  <c r="BH69" i="1"/>
  <c r="AB69" i="1"/>
  <c r="BI69" i="1"/>
  <c r="AC69" i="1"/>
  <c r="BJ69" i="1"/>
  <c r="K70" i="1"/>
  <c r="L70" i="1"/>
  <c r="M70" i="1"/>
  <c r="Z70" i="1"/>
  <c r="AB70" i="1"/>
  <c r="AC70" i="1"/>
  <c r="AD70" i="1"/>
  <c r="AE70" i="1"/>
  <c r="AF70" i="1"/>
  <c r="AG70" i="1"/>
  <c r="AH70" i="1"/>
  <c r="AJ70" i="1"/>
  <c r="AK70" i="1"/>
  <c r="AL70" i="1"/>
  <c r="AO70" i="1"/>
  <c r="AP70" i="1"/>
  <c r="AX70" i="1"/>
  <c r="AW70" i="1"/>
  <c r="AV70" i="1"/>
  <c r="BD70" i="1"/>
  <c r="BF70" i="1"/>
  <c r="BH70" i="1"/>
  <c r="BI70" i="1"/>
  <c r="BJ70" i="1"/>
  <c r="M71" i="1"/>
  <c r="AK71" i="1"/>
  <c r="Z71" i="1"/>
  <c r="AC71" i="1"/>
  <c r="AD71" i="1"/>
  <c r="AE71" i="1"/>
  <c r="AF71" i="1"/>
  <c r="AG71" i="1"/>
  <c r="AH71" i="1"/>
  <c r="AJ71" i="1"/>
  <c r="AL71" i="1"/>
  <c r="AO71" i="1"/>
  <c r="K71" i="1"/>
  <c r="AP71" i="1"/>
  <c r="L71" i="1"/>
  <c r="BD71" i="1"/>
  <c r="BF71" i="1"/>
  <c r="BH71" i="1"/>
  <c r="AB71" i="1"/>
  <c r="BI71" i="1"/>
  <c r="BJ71" i="1"/>
  <c r="M74" i="1"/>
  <c r="Z74" i="1"/>
  <c r="AC74" i="1"/>
  <c r="AD74" i="1"/>
  <c r="AE74" i="1"/>
  <c r="AF74" i="1"/>
  <c r="AG74" i="1"/>
  <c r="AH74" i="1"/>
  <c r="AJ74" i="1"/>
  <c r="AK74" i="1"/>
  <c r="AL74" i="1"/>
  <c r="AO74" i="1"/>
  <c r="AW74" i="1"/>
  <c r="AP74" i="1"/>
  <c r="L74" i="1"/>
  <c r="BD74" i="1"/>
  <c r="BF74" i="1"/>
  <c r="BH74" i="1"/>
  <c r="AB74" i="1"/>
  <c r="BI74" i="1"/>
  <c r="BJ74" i="1"/>
  <c r="K76" i="1"/>
  <c r="L76" i="1"/>
  <c r="M76" i="1"/>
  <c r="Z76" i="1"/>
  <c r="AC76" i="1"/>
  <c r="AD76" i="1"/>
  <c r="AE76" i="1"/>
  <c r="AF76" i="1"/>
  <c r="AG76" i="1"/>
  <c r="AH76" i="1"/>
  <c r="AJ76" i="1"/>
  <c r="AL76" i="1"/>
  <c r="AO76" i="1"/>
  <c r="AW76" i="1"/>
  <c r="AP76" i="1"/>
  <c r="AX76" i="1"/>
  <c r="BD76" i="1"/>
  <c r="BF76" i="1"/>
  <c r="BH76" i="1"/>
  <c r="AB76" i="1"/>
  <c r="BI76" i="1"/>
  <c r="BJ76" i="1"/>
  <c r="M78" i="1"/>
  <c r="Z78" i="1"/>
  <c r="AC78" i="1"/>
  <c r="AD78" i="1"/>
  <c r="AE78" i="1"/>
  <c r="AF78" i="1"/>
  <c r="AG78" i="1"/>
  <c r="AH78" i="1"/>
  <c r="AJ78" i="1"/>
  <c r="AK78" i="1"/>
  <c r="AL78" i="1"/>
  <c r="AO78" i="1"/>
  <c r="AW78" i="1"/>
  <c r="AP78" i="1"/>
  <c r="L78" i="1"/>
  <c r="AX78" i="1"/>
  <c r="BD78" i="1"/>
  <c r="BF78" i="1"/>
  <c r="BH78" i="1"/>
  <c r="AB78" i="1"/>
  <c r="BI78" i="1"/>
  <c r="BJ78" i="1"/>
  <c r="K81" i="1"/>
  <c r="L81" i="1"/>
  <c r="M81" i="1"/>
  <c r="Z81" i="1"/>
  <c r="AB81" i="1"/>
  <c r="AC81" i="1"/>
  <c r="AD81" i="1"/>
  <c r="AE81" i="1"/>
  <c r="AF81" i="1"/>
  <c r="AG81" i="1"/>
  <c r="AH81" i="1"/>
  <c r="AJ81" i="1"/>
  <c r="AK81" i="1"/>
  <c r="AL81" i="1"/>
  <c r="AO81" i="1"/>
  <c r="AP81" i="1"/>
  <c r="AX81" i="1"/>
  <c r="BC81" i="1"/>
  <c r="AW81" i="1"/>
  <c r="BD81" i="1"/>
  <c r="BF81" i="1"/>
  <c r="BH81" i="1"/>
  <c r="BI81" i="1"/>
  <c r="BJ81" i="1"/>
  <c r="L84" i="1"/>
  <c r="M84" i="1"/>
  <c r="Z84" i="1"/>
  <c r="AB84" i="1"/>
  <c r="AC84" i="1"/>
  <c r="AD84" i="1"/>
  <c r="AE84" i="1"/>
  <c r="AF84" i="1"/>
  <c r="AG84" i="1"/>
  <c r="AH84" i="1"/>
  <c r="AJ84" i="1"/>
  <c r="AK84" i="1"/>
  <c r="AL84" i="1"/>
  <c r="AO84" i="1"/>
  <c r="K84" i="1"/>
  <c r="AP84" i="1"/>
  <c r="AX84" i="1"/>
  <c r="AW84" i="1"/>
  <c r="AV84" i="1"/>
  <c r="BD84" i="1"/>
  <c r="BF84" i="1"/>
  <c r="BH84" i="1"/>
  <c r="BI84" i="1"/>
  <c r="BJ84" i="1"/>
  <c r="K87" i="1"/>
  <c r="M87" i="1"/>
  <c r="Z87" i="1"/>
  <c r="AB87" i="1"/>
  <c r="AD87" i="1"/>
  <c r="AE87" i="1"/>
  <c r="AF87" i="1"/>
  <c r="AG87" i="1"/>
  <c r="AH87" i="1"/>
  <c r="AJ87" i="1"/>
  <c r="AK87" i="1"/>
  <c r="AL87" i="1"/>
  <c r="AO87" i="1"/>
  <c r="AW87" i="1"/>
  <c r="AP87" i="1"/>
  <c r="L87" i="1"/>
  <c r="BD87" i="1"/>
  <c r="BF87" i="1"/>
  <c r="BH87" i="1"/>
  <c r="BI87" i="1"/>
  <c r="AC87" i="1"/>
  <c r="BJ87" i="1"/>
  <c r="M89" i="1"/>
  <c r="AK89" i="1"/>
  <c r="Z89" i="1"/>
  <c r="AB89" i="1"/>
  <c r="AD89" i="1"/>
  <c r="AE89" i="1"/>
  <c r="AF89" i="1"/>
  <c r="AG89" i="1"/>
  <c r="AH89" i="1"/>
  <c r="AJ89" i="1"/>
  <c r="AL89" i="1"/>
  <c r="AO89" i="1"/>
  <c r="K89" i="1"/>
  <c r="AP89" i="1"/>
  <c r="L89" i="1"/>
  <c r="BD89" i="1"/>
  <c r="BF89" i="1"/>
  <c r="BH89" i="1"/>
  <c r="BI89" i="1"/>
  <c r="AC89" i="1"/>
  <c r="BJ89" i="1"/>
  <c r="M91" i="1"/>
  <c r="AK91" i="1"/>
  <c r="Z91" i="1"/>
  <c r="AC91" i="1"/>
  <c r="AD91" i="1"/>
  <c r="AE91" i="1"/>
  <c r="AF91" i="1"/>
  <c r="AG91" i="1"/>
  <c r="AH91" i="1"/>
  <c r="AJ91" i="1"/>
  <c r="AL91" i="1"/>
  <c r="AO91" i="1"/>
  <c r="K91" i="1"/>
  <c r="AP91" i="1"/>
  <c r="L91" i="1"/>
  <c r="AX91" i="1"/>
  <c r="BD91" i="1"/>
  <c r="BF91" i="1"/>
  <c r="BI91" i="1"/>
  <c r="BJ91" i="1"/>
  <c r="M93" i="1"/>
  <c r="Z93" i="1"/>
  <c r="AB93" i="1"/>
  <c r="AC93" i="1"/>
  <c r="AD93" i="1"/>
  <c r="AE93" i="1"/>
  <c r="AF93" i="1"/>
  <c r="AG93" i="1"/>
  <c r="AH93" i="1"/>
  <c r="AJ93" i="1"/>
  <c r="AK93" i="1"/>
  <c r="AL93" i="1"/>
  <c r="AO93" i="1"/>
  <c r="K93" i="1"/>
  <c r="AP93" i="1"/>
  <c r="L93" i="1"/>
  <c r="BD93" i="1"/>
  <c r="BF93" i="1"/>
  <c r="BH93" i="1"/>
  <c r="BI93" i="1"/>
  <c r="BJ93" i="1"/>
  <c r="K95" i="1"/>
  <c r="L95" i="1"/>
  <c r="M95" i="1"/>
  <c r="AK95" i="1"/>
  <c r="Z95" i="1"/>
  <c r="AC95" i="1"/>
  <c r="AD95" i="1"/>
  <c r="AE95" i="1"/>
  <c r="AF95" i="1"/>
  <c r="AG95" i="1"/>
  <c r="AH95" i="1"/>
  <c r="AJ95" i="1"/>
  <c r="AL95" i="1"/>
  <c r="AO95" i="1"/>
  <c r="AP95" i="1"/>
  <c r="AW95" i="1"/>
  <c r="BC95" i="1"/>
  <c r="AX95" i="1"/>
  <c r="AV95" i="1"/>
  <c r="BD95" i="1"/>
  <c r="BF95" i="1"/>
  <c r="BH95" i="1"/>
  <c r="AB95" i="1"/>
  <c r="BI95" i="1"/>
  <c r="BJ95" i="1"/>
  <c r="K97" i="1"/>
  <c r="L97" i="1"/>
  <c r="M97" i="1"/>
  <c r="AK97" i="1"/>
  <c r="Z97" i="1"/>
  <c r="AB97" i="1"/>
  <c r="AC97" i="1"/>
  <c r="AD97" i="1"/>
  <c r="AE97" i="1"/>
  <c r="AF97" i="1"/>
  <c r="AG97" i="1"/>
  <c r="AH97" i="1"/>
  <c r="AJ97" i="1"/>
  <c r="AL97" i="1"/>
  <c r="AO97" i="1"/>
  <c r="AP97" i="1"/>
  <c r="AW97" i="1"/>
  <c r="AV97" i="1"/>
  <c r="AX97" i="1"/>
  <c r="BC97" i="1"/>
  <c r="BD97" i="1"/>
  <c r="BF97" i="1"/>
  <c r="BH97" i="1"/>
  <c r="BI97" i="1"/>
  <c r="BJ97" i="1"/>
  <c r="M99" i="1"/>
  <c r="Z99" i="1"/>
  <c r="AC99" i="1"/>
  <c r="AD99" i="1"/>
  <c r="AE99" i="1"/>
  <c r="AF99" i="1"/>
  <c r="AG99" i="1"/>
  <c r="AH99" i="1"/>
  <c r="AJ99" i="1"/>
  <c r="AK99" i="1"/>
  <c r="AL99" i="1"/>
  <c r="AO99" i="1"/>
  <c r="K99" i="1"/>
  <c r="AP99" i="1"/>
  <c r="L99" i="1"/>
  <c r="AX99" i="1"/>
  <c r="BD99" i="1"/>
  <c r="BF99" i="1"/>
  <c r="BH99" i="1"/>
  <c r="AB99" i="1"/>
  <c r="BI99" i="1"/>
  <c r="BJ99" i="1"/>
  <c r="K101" i="1"/>
  <c r="L101" i="1"/>
  <c r="M101" i="1"/>
  <c r="AK101" i="1"/>
  <c r="Z101" i="1"/>
  <c r="AC101" i="1"/>
  <c r="AD101" i="1"/>
  <c r="AE101" i="1"/>
  <c r="AF101" i="1"/>
  <c r="AG101" i="1"/>
  <c r="AH101" i="1"/>
  <c r="AJ101" i="1"/>
  <c r="AL101" i="1"/>
  <c r="AO101" i="1"/>
  <c r="AP101" i="1"/>
  <c r="AX101" i="1"/>
  <c r="AW101" i="1"/>
  <c r="BD101" i="1"/>
  <c r="BF101" i="1"/>
  <c r="BH101" i="1"/>
  <c r="AB101" i="1"/>
  <c r="BI101" i="1"/>
  <c r="BJ101" i="1"/>
  <c r="M103" i="1"/>
  <c r="Z103" i="1"/>
  <c r="AD103" i="1"/>
  <c r="AE103" i="1"/>
  <c r="AF103" i="1"/>
  <c r="AG103" i="1"/>
  <c r="AH103" i="1"/>
  <c r="AJ103" i="1"/>
  <c r="AK103" i="1"/>
  <c r="AL103" i="1"/>
  <c r="AO103" i="1"/>
  <c r="K103" i="1"/>
  <c r="AP103" i="1"/>
  <c r="L103" i="1"/>
  <c r="BD103" i="1"/>
  <c r="BF103" i="1"/>
  <c r="BH103" i="1"/>
  <c r="AB103" i="1"/>
  <c r="BJ103" i="1"/>
  <c r="M105" i="1"/>
  <c r="Z105" i="1"/>
  <c r="AD105" i="1"/>
  <c r="AE105" i="1"/>
  <c r="AF105" i="1"/>
  <c r="AG105" i="1"/>
  <c r="AH105" i="1"/>
  <c r="AJ105" i="1"/>
  <c r="AK105" i="1"/>
  <c r="AL105" i="1"/>
  <c r="AO105" i="1"/>
  <c r="K105" i="1"/>
  <c r="AP105" i="1"/>
  <c r="BI105" i="1"/>
  <c r="AC105" i="1"/>
  <c r="BD105" i="1"/>
  <c r="BF105" i="1"/>
  <c r="BH105" i="1"/>
  <c r="AB105" i="1"/>
  <c r="BJ105" i="1"/>
  <c r="M107" i="1"/>
  <c r="Z107" i="1"/>
  <c r="AB107" i="1"/>
  <c r="AD107" i="1"/>
  <c r="AE107" i="1"/>
  <c r="AF107" i="1"/>
  <c r="AG107" i="1"/>
  <c r="AH107" i="1"/>
  <c r="AJ107" i="1"/>
  <c r="AK107" i="1"/>
  <c r="AL107" i="1"/>
  <c r="AO107" i="1"/>
  <c r="K107" i="1"/>
  <c r="AP107" i="1"/>
  <c r="L107" i="1"/>
  <c r="AW107" i="1"/>
  <c r="BD107" i="1"/>
  <c r="BF107" i="1"/>
  <c r="BH107" i="1"/>
  <c r="BI107" i="1"/>
  <c r="AC107" i="1"/>
  <c r="BJ107" i="1"/>
  <c r="K109" i="1"/>
  <c r="M109" i="1"/>
  <c r="AK109" i="1"/>
  <c r="Z109" i="1"/>
  <c r="AB109" i="1"/>
  <c r="AD109" i="1"/>
  <c r="AE109" i="1"/>
  <c r="AF109" i="1"/>
  <c r="AG109" i="1"/>
  <c r="AH109" i="1"/>
  <c r="AJ109" i="1"/>
  <c r="AL109" i="1"/>
  <c r="AO109" i="1"/>
  <c r="AW109" i="1"/>
  <c r="AP109" i="1"/>
  <c r="L109" i="1"/>
  <c r="AX109" i="1"/>
  <c r="BD109" i="1"/>
  <c r="BF109" i="1"/>
  <c r="BH109" i="1"/>
  <c r="BI109" i="1"/>
  <c r="AC109" i="1"/>
  <c r="BJ109" i="1"/>
  <c r="L110" i="1"/>
  <c r="M110" i="1"/>
  <c r="AK110" i="1"/>
  <c r="Z110" i="1"/>
  <c r="AD110" i="1"/>
  <c r="AE110" i="1"/>
  <c r="AF110" i="1"/>
  <c r="AG110" i="1"/>
  <c r="AH110" i="1"/>
  <c r="AJ110" i="1"/>
  <c r="AL110" i="1"/>
  <c r="AO110" i="1"/>
  <c r="K110" i="1"/>
  <c r="AP110" i="1"/>
  <c r="AX110" i="1"/>
  <c r="AW110" i="1"/>
  <c r="AV110" i="1"/>
  <c r="BD110" i="1"/>
  <c r="BF110" i="1"/>
  <c r="BH110" i="1"/>
  <c r="AB110" i="1"/>
  <c r="BI110" i="1"/>
  <c r="AC110" i="1"/>
  <c r="BJ110" i="1"/>
  <c r="K111" i="1"/>
  <c r="M111" i="1"/>
  <c r="AK111" i="1"/>
  <c r="Z111" i="1"/>
  <c r="AD111" i="1"/>
  <c r="AE111" i="1"/>
  <c r="AF111" i="1"/>
  <c r="AG111" i="1"/>
  <c r="AH111" i="1"/>
  <c r="AJ111" i="1"/>
  <c r="AL111" i="1"/>
  <c r="AO111" i="1"/>
  <c r="AP111" i="1"/>
  <c r="L111" i="1"/>
  <c r="AW111" i="1"/>
  <c r="BC111" i="1"/>
  <c r="AX111" i="1"/>
  <c r="AV111" i="1"/>
  <c r="BD111" i="1"/>
  <c r="BF111" i="1"/>
  <c r="BH111" i="1"/>
  <c r="AB111" i="1"/>
  <c r="BI111" i="1"/>
  <c r="AC111" i="1"/>
  <c r="BJ111" i="1"/>
  <c r="L113" i="1"/>
  <c r="M113" i="1"/>
  <c r="AK113" i="1"/>
  <c r="Z113" i="1"/>
  <c r="AD113" i="1"/>
  <c r="AE113" i="1"/>
  <c r="AF113" i="1"/>
  <c r="AG113" i="1"/>
  <c r="AH113" i="1"/>
  <c r="AJ113" i="1"/>
  <c r="AL113" i="1"/>
  <c r="AO113" i="1"/>
  <c r="K113" i="1"/>
  <c r="AP113" i="1"/>
  <c r="AW113" i="1"/>
  <c r="AV113" i="1"/>
  <c r="AX113" i="1"/>
  <c r="BD113" i="1"/>
  <c r="BF113" i="1"/>
  <c r="BH113" i="1"/>
  <c r="AB113" i="1"/>
  <c r="BI113" i="1"/>
  <c r="AC113" i="1"/>
  <c r="BJ113" i="1"/>
  <c r="K115" i="1"/>
  <c r="M115" i="1"/>
  <c r="Z115" i="1"/>
  <c r="AB115" i="1"/>
  <c r="AD115" i="1"/>
  <c r="AE115" i="1"/>
  <c r="AF115" i="1"/>
  <c r="AG115" i="1"/>
  <c r="AH115" i="1"/>
  <c r="AJ115" i="1"/>
  <c r="AK115" i="1"/>
  <c r="AL115" i="1"/>
  <c r="AO115" i="1"/>
  <c r="AP115" i="1"/>
  <c r="AX115" i="1"/>
  <c r="AW115" i="1"/>
  <c r="BD115" i="1"/>
  <c r="BF115" i="1"/>
  <c r="BH115" i="1"/>
  <c r="BI115" i="1"/>
  <c r="AC115" i="1"/>
  <c r="BJ115" i="1"/>
  <c r="M117" i="1"/>
  <c r="Z117" i="1"/>
  <c r="AB117" i="1"/>
  <c r="AD117" i="1"/>
  <c r="AE117" i="1"/>
  <c r="AF117" i="1"/>
  <c r="AG117" i="1"/>
  <c r="AH117" i="1"/>
  <c r="AJ117" i="1"/>
  <c r="AK117" i="1"/>
  <c r="AL117" i="1"/>
  <c r="AO117" i="1"/>
  <c r="K117" i="1"/>
  <c r="AP117" i="1"/>
  <c r="L117" i="1"/>
  <c r="AW117" i="1"/>
  <c r="AV117" i="1"/>
  <c r="AX117" i="1"/>
  <c r="BC117" i="1"/>
  <c r="BD117" i="1"/>
  <c r="BF117" i="1"/>
  <c r="BH117" i="1"/>
  <c r="BI117" i="1"/>
  <c r="AC117" i="1"/>
  <c r="BJ117" i="1"/>
  <c r="K120" i="1"/>
  <c r="M120" i="1"/>
  <c r="Z120" i="1"/>
  <c r="AB120" i="1"/>
  <c r="AD120" i="1"/>
  <c r="AE120" i="1"/>
  <c r="AF120" i="1"/>
  <c r="AG120" i="1"/>
  <c r="AH120" i="1"/>
  <c r="AJ120" i="1"/>
  <c r="AK120" i="1"/>
  <c r="AL120" i="1"/>
  <c r="AO120" i="1"/>
  <c r="AW120" i="1"/>
  <c r="AP120" i="1"/>
  <c r="L120" i="1"/>
  <c r="BD120" i="1"/>
  <c r="BF120" i="1"/>
  <c r="BH120" i="1"/>
  <c r="BI120" i="1"/>
  <c r="AC120" i="1"/>
  <c r="BJ120" i="1"/>
  <c r="M124" i="1"/>
  <c r="Z124" i="1"/>
  <c r="AD124" i="1"/>
  <c r="AE124" i="1"/>
  <c r="AF124" i="1"/>
  <c r="AG124" i="1"/>
  <c r="AH124" i="1"/>
  <c r="AJ124" i="1"/>
  <c r="AK124" i="1"/>
  <c r="AL124" i="1"/>
  <c r="AO124" i="1"/>
  <c r="K124" i="1"/>
  <c r="AP124" i="1"/>
  <c r="L124" i="1"/>
  <c r="BD124" i="1"/>
  <c r="BF124" i="1"/>
  <c r="BH124" i="1"/>
  <c r="AB124" i="1"/>
  <c r="BJ124" i="1"/>
  <c r="M127" i="1"/>
  <c r="Z127" i="1"/>
  <c r="AB127" i="1"/>
  <c r="AD127" i="1"/>
  <c r="AE127" i="1"/>
  <c r="AF127" i="1"/>
  <c r="AG127" i="1"/>
  <c r="AH127" i="1"/>
  <c r="AJ127" i="1"/>
  <c r="AK127" i="1"/>
  <c r="AL127" i="1"/>
  <c r="AO127" i="1"/>
  <c r="K127" i="1"/>
  <c r="AP127" i="1"/>
  <c r="AX127" i="1"/>
  <c r="AW127" i="1"/>
  <c r="BD127" i="1"/>
  <c r="BF127" i="1"/>
  <c r="BH127" i="1"/>
  <c r="BI127" i="1"/>
  <c r="AC127" i="1"/>
  <c r="BJ127" i="1"/>
  <c r="M130" i="1"/>
  <c r="M123" i="1"/>
  <c r="G18" i="3"/>
  <c r="I18" i="3"/>
  <c r="Z130" i="1"/>
  <c r="AC130" i="1"/>
  <c r="AD130" i="1"/>
  <c r="AE130" i="1"/>
  <c r="AF130" i="1"/>
  <c r="AG130" i="1"/>
  <c r="AH130" i="1"/>
  <c r="AJ130" i="1"/>
  <c r="AS123" i="1"/>
  <c r="AK130" i="1"/>
  <c r="AL130" i="1"/>
  <c r="AU123" i="1"/>
  <c r="AO130" i="1"/>
  <c r="K130" i="1"/>
  <c r="AP130" i="1"/>
  <c r="L130" i="1"/>
  <c r="AW130" i="1"/>
  <c r="AV130" i="1"/>
  <c r="AX130" i="1"/>
  <c r="BC130" i="1"/>
  <c r="BD130" i="1"/>
  <c r="BF130" i="1"/>
  <c r="BH130" i="1"/>
  <c r="AB130" i="1"/>
  <c r="BI130" i="1"/>
  <c r="BJ130" i="1"/>
  <c r="M133" i="1"/>
  <c r="Z133" i="1"/>
  <c r="AC133" i="1"/>
  <c r="AD133" i="1"/>
  <c r="AE133" i="1"/>
  <c r="AF133" i="1"/>
  <c r="AG133" i="1"/>
  <c r="AH133" i="1"/>
  <c r="AJ133" i="1"/>
  <c r="AK133" i="1"/>
  <c r="AL133" i="1"/>
  <c r="AO133" i="1"/>
  <c r="K133" i="1"/>
  <c r="AP133" i="1"/>
  <c r="L133" i="1"/>
  <c r="BD133" i="1"/>
  <c r="BF133" i="1"/>
  <c r="BI133" i="1"/>
  <c r="BJ133" i="1"/>
  <c r="M136" i="1"/>
  <c r="Z136" i="1"/>
  <c r="AB136" i="1"/>
  <c r="AC136" i="1"/>
  <c r="AD136" i="1"/>
  <c r="AE136" i="1"/>
  <c r="AF136" i="1"/>
  <c r="AG136" i="1"/>
  <c r="AH136" i="1"/>
  <c r="AJ136" i="1"/>
  <c r="AK136" i="1"/>
  <c r="AL136" i="1"/>
  <c r="AO136" i="1"/>
  <c r="K136" i="1"/>
  <c r="AP136" i="1"/>
  <c r="L136" i="1"/>
  <c r="AW136" i="1"/>
  <c r="BD136" i="1"/>
  <c r="BF136" i="1"/>
  <c r="BH136" i="1"/>
  <c r="BI136" i="1"/>
  <c r="BJ136" i="1"/>
  <c r="M138" i="1"/>
  <c r="Z138" i="1"/>
  <c r="AD138" i="1"/>
  <c r="AE138" i="1"/>
  <c r="AF138" i="1"/>
  <c r="AG138" i="1"/>
  <c r="AH138" i="1"/>
  <c r="AJ138" i="1"/>
  <c r="AK138" i="1"/>
  <c r="AL138" i="1"/>
  <c r="AO138" i="1"/>
  <c r="K138" i="1"/>
  <c r="AP138" i="1"/>
  <c r="L138" i="1"/>
  <c r="BD138" i="1"/>
  <c r="BF138" i="1"/>
  <c r="BH138" i="1"/>
  <c r="AB138" i="1"/>
  <c r="BJ138" i="1"/>
  <c r="K142" i="1"/>
  <c r="M142" i="1"/>
  <c r="Z142" i="1"/>
  <c r="AB142" i="1"/>
  <c r="AD142" i="1"/>
  <c r="AE142" i="1"/>
  <c r="AF142" i="1"/>
  <c r="AG142" i="1"/>
  <c r="AH142" i="1"/>
  <c r="AJ142" i="1"/>
  <c r="AK142" i="1"/>
  <c r="AL142" i="1"/>
  <c r="AO142" i="1"/>
  <c r="AP142" i="1"/>
  <c r="AX142" i="1"/>
  <c r="AV142" i="1"/>
  <c r="AW142" i="1"/>
  <c r="BD142" i="1"/>
  <c r="BF142" i="1"/>
  <c r="BH142" i="1"/>
  <c r="BJ142" i="1"/>
  <c r="M143" i="1"/>
  <c r="Z143" i="1"/>
  <c r="AD143" i="1"/>
  <c r="AE143" i="1"/>
  <c r="AF143" i="1"/>
  <c r="AG143" i="1"/>
  <c r="AH143" i="1"/>
  <c r="AJ143" i="1"/>
  <c r="AK143" i="1"/>
  <c r="AL143" i="1"/>
  <c r="AO143" i="1"/>
  <c r="AW143" i="1"/>
  <c r="AP143" i="1"/>
  <c r="L143" i="1"/>
  <c r="BD143" i="1"/>
  <c r="BF143" i="1"/>
  <c r="BH143" i="1"/>
  <c r="AB143" i="1"/>
  <c r="BI143" i="1"/>
  <c r="AC143" i="1"/>
  <c r="BJ143" i="1"/>
  <c r="M144" i="1"/>
  <c r="AK144" i="1"/>
  <c r="Z144" i="1"/>
  <c r="AC144" i="1"/>
  <c r="AD144" i="1"/>
  <c r="AE144" i="1"/>
  <c r="AF144" i="1"/>
  <c r="AG144" i="1"/>
  <c r="AH144" i="1"/>
  <c r="AJ144" i="1"/>
  <c r="AL144" i="1"/>
  <c r="AO144" i="1"/>
  <c r="K144" i="1"/>
  <c r="AP144" i="1"/>
  <c r="L144" i="1"/>
  <c r="AX144" i="1"/>
  <c r="BD144" i="1"/>
  <c r="BF144" i="1"/>
  <c r="BH144" i="1"/>
  <c r="AB144" i="1"/>
  <c r="BI144" i="1"/>
  <c r="BJ144" i="1"/>
  <c r="L145" i="1"/>
  <c r="M145" i="1"/>
  <c r="Z145" i="1"/>
  <c r="AB145" i="1"/>
  <c r="AC145" i="1"/>
  <c r="AD145" i="1"/>
  <c r="AE145" i="1"/>
  <c r="AF145" i="1"/>
  <c r="AG145" i="1"/>
  <c r="AH145" i="1"/>
  <c r="AJ145" i="1"/>
  <c r="AK145" i="1"/>
  <c r="AL145" i="1"/>
  <c r="AO145" i="1"/>
  <c r="K145" i="1"/>
  <c r="AP145" i="1"/>
  <c r="AW145" i="1"/>
  <c r="AV145" i="1"/>
  <c r="AX145" i="1"/>
  <c r="BD145" i="1"/>
  <c r="BF145" i="1"/>
  <c r="BH145" i="1"/>
  <c r="BI145" i="1"/>
  <c r="BJ145" i="1"/>
  <c r="M147" i="1"/>
  <c r="Z147" i="1"/>
  <c r="AB147" i="1"/>
  <c r="AC147" i="1"/>
  <c r="AD147" i="1"/>
  <c r="AE147" i="1"/>
  <c r="AF147" i="1"/>
  <c r="AG147" i="1"/>
  <c r="AH147" i="1"/>
  <c r="AJ147" i="1"/>
  <c r="AK147" i="1"/>
  <c r="AL147" i="1"/>
  <c r="AO147" i="1"/>
  <c r="K147" i="1"/>
  <c r="AP147" i="1"/>
  <c r="L147" i="1"/>
  <c r="BD147" i="1"/>
  <c r="BF147" i="1"/>
  <c r="BH147" i="1"/>
  <c r="BI147" i="1"/>
  <c r="BJ147" i="1"/>
  <c r="K149" i="1"/>
  <c r="L149" i="1"/>
  <c r="M149" i="1"/>
  <c r="AK149" i="1"/>
  <c r="Z149" i="1"/>
  <c r="AC149" i="1"/>
  <c r="AD149" i="1"/>
  <c r="AE149" i="1"/>
  <c r="AF149" i="1"/>
  <c r="AG149" i="1"/>
  <c r="AH149" i="1"/>
  <c r="AJ149" i="1"/>
  <c r="AL149" i="1"/>
  <c r="AO149" i="1"/>
  <c r="AP149" i="1"/>
  <c r="AV149" i="1"/>
  <c r="AW149" i="1"/>
  <c r="BC149" i="1"/>
  <c r="AX149" i="1"/>
  <c r="BD149" i="1"/>
  <c r="BF149" i="1"/>
  <c r="BH149" i="1"/>
  <c r="AB149" i="1"/>
  <c r="BI149" i="1"/>
  <c r="BJ149" i="1"/>
  <c r="K151" i="1"/>
  <c r="M151" i="1"/>
  <c r="Z151" i="1"/>
  <c r="AB151" i="1"/>
  <c r="AD151" i="1"/>
  <c r="AE151" i="1"/>
  <c r="AF151" i="1"/>
  <c r="AG151" i="1"/>
  <c r="AH151" i="1"/>
  <c r="AJ151" i="1"/>
  <c r="AK151" i="1"/>
  <c r="AL151" i="1"/>
  <c r="AO151" i="1"/>
  <c r="AW151" i="1"/>
  <c r="AP151" i="1"/>
  <c r="L151" i="1"/>
  <c r="AX151" i="1"/>
  <c r="BD151" i="1"/>
  <c r="BF151" i="1"/>
  <c r="BH151" i="1"/>
  <c r="BI151" i="1"/>
  <c r="AC151" i="1"/>
  <c r="BJ151" i="1"/>
  <c r="M153" i="1"/>
  <c r="Z153" i="1"/>
  <c r="AD153" i="1"/>
  <c r="AE153" i="1"/>
  <c r="AF153" i="1"/>
  <c r="AG153" i="1"/>
  <c r="AH153" i="1"/>
  <c r="AJ153" i="1"/>
  <c r="AK153" i="1"/>
  <c r="AL153" i="1"/>
  <c r="AO153" i="1"/>
  <c r="AW153" i="1"/>
  <c r="AP153" i="1"/>
  <c r="L153" i="1"/>
  <c r="BD153" i="1"/>
  <c r="BF153" i="1"/>
  <c r="BH153" i="1"/>
  <c r="AB153" i="1"/>
  <c r="BI153" i="1"/>
  <c r="AC153" i="1"/>
  <c r="BJ153" i="1"/>
  <c r="M154" i="1"/>
  <c r="AK154" i="1"/>
  <c r="Z154" i="1"/>
  <c r="AC154" i="1"/>
  <c r="AD154" i="1"/>
  <c r="AE154" i="1"/>
  <c r="AF154" i="1"/>
  <c r="AG154" i="1"/>
  <c r="AH154" i="1"/>
  <c r="AJ154" i="1"/>
  <c r="AL154" i="1"/>
  <c r="AO154" i="1"/>
  <c r="K154" i="1"/>
  <c r="AP154" i="1"/>
  <c r="L154" i="1"/>
  <c r="BD154" i="1"/>
  <c r="BF154" i="1"/>
  <c r="BH154" i="1"/>
  <c r="AB154" i="1"/>
  <c r="BI154" i="1"/>
  <c r="BJ154" i="1"/>
  <c r="L156" i="1"/>
  <c r="M156" i="1"/>
  <c r="Z156" i="1"/>
  <c r="AB156" i="1"/>
  <c r="AC156" i="1"/>
  <c r="AD156" i="1"/>
  <c r="AE156" i="1"/>
  <c r="AF156" i="1"/>
  <c r="AG156" i="1"/>
  <c r="AH156" i="1"/>
  <c r="AJ156" i="1"/>
  <c r="AK156" i="1"/>
  <c r="AL156" i="1"/>
  <c r="AO156" i="1"/>
  <c r="K156" i="1"/>
  <c r="AP156" i="1"/>
  <c r="AX156" i="1"/>
  <c r="BD156" i="1"/>
  <c r="BF156" i="1"/>
  <c r="BH156" i="1"/>
  <c r="BI156" i="1"/>
  <c r="BJ156" i="1"/>
  <c r="K157" i="1"/>
  <c r="L157" i="1"/>
  <c r="M157" i="1"/>
  <c r="Z157" i="1"/>
  <c r="AB157" i="1"/>
  <c r="AC157" i="1"/>
  <c r="AD157" i="1"/>
  <c r="AE157" i="1"/>
  <c r="AF157" i="1"/>
  <c r="AG157" i="1"/>
  <c r="AH157" i="1"/>
  <c r="AJ157" i="1"/>
  <c r="AK157" i="1"/>
  <c r="AL157" i="1"/>
  <c r="AO157" i="1"/>
  <c r="AP157" i="1"/>
  <c r="AX157" i="1"/>
  <c r="BC157" i="1"/>
  <c r="AW157" i="1"/>
  <c r="BD157" i="1"/>
  <c r="BF157" i="1"/>
  <c r="BH157" i="1"/>
  <c r="BI157" i="1"/>
  <c r="BJ157" i="1"/>
  <c r="K159" i="1"/>
  <c r="L159" i="1"/>
  <c r="M159" i="1"/>
  <c r="Z159" i="1"/>
  <c r="AC159" i="1"/>
  <c r="AD159" i="1"/>
  <c r="AE159" i="1"/>
  <c r="AF159" i="1"/>
  <c r="AG159" i="1"/>
  <c r="AH159" i="1"/>
  <c r="AJ159" i="1"/>
  <c r="AK159" i="1"/>
  <c r="AL159" i="1"/>
  <c r="AO159" i="1"/>
  <c r="AP159" i="1"/>
  <c r="AX159" i="1"/>
  <c r="AW159" i="1"/>
  <c r="AV159" i="1"/>
  <c r="BD159" i="1"/>
  <c r="BF159" i="1"/>
  <c r="BH159" i="1"/>
  <c r="AB159" i="1"/>
  <c r="BI159" i="1"/>
  <c r="BJ159" i="1"/>
  <c r="M161" i="1"/>
  <c r="Z161" i="1"/>
  <c r="AB161" i="1"/>
  <c r="AC161" i="1"/>
  <c r="AD161" i="1"/>
  <c r="AE161" i="1"/>
  <c r="AF161" i="1"/>
  <c r="AG161" i="1"/>
  <c r="AH161" i="1"/>
  <c r="AJ161" i="1"/>
  <c r="AK161" i="1"/>
  <c r="AL161" i="1"/>
  <c r="AO161" i="1"/>
  <c r="K161" i="1"/>
  <c r="AP161" i="1"/>
  <c r="L161" i="1"/>
  <c r="BD161" i="1"/>
  <c r="BF161" i="1"/>
  <c r="BH161" i="1"/>
  <c r="BI161" i="1"/>
  <c r="BJ161" i="1"/>
  <c r="K163" i="1"/>
  <c r="L163" i="1"/>
  <c r="M163" i="1"/>
  <c r="Z163" i="1"/>
  <c r="AD163" i="1"/>
  <c r="AE163" i="1"/>
  <c r="AF163" i="1"/>
  <c r="AG163" i="1"/>
  <c r="AH163" i="1"/>
  <c r="AJ163" i="1"/>
  <c r="AK163" i="1"/>
  <c r="AL163" i="1"/>
  <c r="AO163" i="1"/>
  <c r="AP163" i="1"/>
  <c r="AX163" i="1"/>
  <c r="AW163" i="1"/>
  <c r="AV163" i="1"/>
  <c r="BD163" i="1"/>
  <c r="BF163" i="1"/>
  <c r="BH163" i="1"/>
  <c r="AB163" i="1"/>
  <c r="BI163" i="1"/>
  <c r="AC163" i="1"/>
  <c r="BJ163" i="1"/>
  <c r="K164" i="1"/>
  <c r="L164" i="1"/>
  <c r="M164" i="1"/>
  <c r="AK164" i="1"/>
  <c r="Z164" i="1"/>
  <c r="AC164" i="1"/>
  <c r="AD164" i="1"/>
  <c r="AE164" i="1"/>
  <c r="AF164" i="1"/>
  <c r="AG164" i="1"/>
  <c r="AH164" i="1"/>
  <c r="AJ164" i="1"/>
  <c r="AL164" i="1"/>
  <c r="AO164" i="1"/>
  <c r="BH164" i="1"/>
  <c r="AB164" i="1"/>
  <c r="AP164" i="1"/>
  <c r="AV164" i="1"/>
  <c r="AW164" i="1"/>
  <c r="BC164" i="1"/>
  <c r="AX164" i="1"/>
  <c r="BD164" i="1"/>
  <c r="BF164" i="1"/>
  <c r="BI164" i="1"/>
  <c r="BJ164" i="1"/>
  <c r="K166" i="1"/>
  <c r="M166" i="1"/>
  <c r="AK166" i="1"/>
  <c r="Z166" i="1"/>
  <c r="AD166" i="1"/>
  <c r="AE166" i="1"/>
  <c r="AF166" i="1"/>
  <c r="AG166" i="1"/>
  <c r="AH166" i="1"/>
  <c r="AJ166" i="1"/>
  <c r="AL166" i="1"/>
  <c r="AO166" i="1"/>
  <c r="AP166" i="1"/>
  <c r="L166" i="1"/>
  <c r="AW166" i="1"/>
  <c r="BC166" i="1"/>
  <c r="AX166" i="1"/>
  <c r="AV166" i="1"/>
  <c r="BD166" i="1"/>
  <c r="BF166" i="1"/>
  <c r="BH166" i="1"/>
  <c r="AB166" i="1"/>
  <c r="BI166" i="1"/>
  <c r="AC166" i="1"/>
  <c r="BJ166" i="1"/>
  <c r="M168" i="1"/>
  <c r="AK168" i="1"/>
  <c r="Z168" i="1"/>
  <c r="AC168" i="1"/>
  <c r="AD168" i="1"/>
  <c r="AE168" i="1"/>
  <c r="AF168" i="1"/>
  <c r="AG168" i="1"/>
  <c r="AH168" i="1"/>
  <c r="AJ168" i="1"/>
  <c r="AL168" i="1"/>
  <c r="AO168" i="1"/>
  <c r="K168" i="1"/>
  <c r="AP168" i="1"/>
  <c r="L168" i="1"/>
  <c r="BD168" i="1"/>
  <c r="BF168" i="1"/>
  <c r="BH168" i="1"/>
  <c r="AB168" i="1"/>
  <c r="BI168" i="1"/>
  <c r="BJ168" i="1"/>
  <c r="M170" i="1"/>
  <c r="Z170" i="1"/>
  <c r="AC170" i="1"/>
  <c r="AD170" i="1"/>
  <c r="AE170" i="1"/>
  <c r="AF170" i="1"/>
  <c r="AG170" i="1"/>
  <c r="AH170" i="1"/>
  <c r="AJ170" i="1"/>
  <c r="AK170" i="1"/>
  <c r="AL170" i="1"/>
  <c r="AO170" i="1"/>
  <c r="K170" i="1"/>
  <c r="AP170" i="1"/>
  <c r="L170" i="1"/>
  <c r="BD170" i="1"/>
  <c r="BF170" i="1"/>
  <c r="BH170" i="1"/>
  <c r="AB170" i="1"/>
  <c r="BI170" i="1"/>
  <c r="BJ170" i="1"/>
  <c r="M171" i="1"/>
  <c r="Z171" i="1"/>
  <c r="AB171" i="1"/>
  <c r="AC171" i="1"/>
  <c r="AD171" i="1"/>
  <c r="AE171" i="1"/>
  <c r="AF171" i="1"/>
  <c r="AG171" i="1"/>
  <c r="AH171" i="1"/>
  <c r="AJ171" i="1"/>
  <c r="AK171" i="1"/>
  <c r="AL171" i="1"/>
  <c r="AO171" i="1"/>
  <c r="K171" i="1"/>
  <c r="AP171" i="1"/>
  <c r="L171" i="1"/>
  <c r="BD171" i="1"/>
  <c r="BF171" i="1"/>
  <c r="BH171" i="1"/>
  <c r="BI171" i="1"/>
  <c r="BJ171" i="1"/>
  <c r="K173" i="1"/>
  <c r="L173" i="1"/>
  <c r="M173" i="1"/>
  <c r="Z173" i="1"/>
  <c r="AB173" i="1"/>
  <c r="AD173" i="1"/>
  <c r="AE173" i="1"/>
  <c r="AF173" i="1"/>
  <c r="AG173" i="1"/>
  <c r="AH173" i="1"/>
  <c r="AJ173" i="1"/>
  <c r="AK173" i="1"/>
  <c r="AL173" i="1"/>
  <c r="AO173" i="1"/>
  <c r="AP173" i="1"/>
  <c r="AX173" i="1"/>
  <c r="AW173" i="1"/>
  <c r="BC173" i="1"/>
  <c r="BD173" i="1"/>
  <c r="BF173" i="1"/>
  <c r="BH173" i="1"/>
  <c r="BI173" i="1"/>
  <c r="AC173" i="1"/>
  <c r="BJ173" i="1"/>
  <c r="K175" i="1"/>
  <c r="M175" i="1"/>
  <c r="Z175" i="1"/>
  <c r="AB175" i="1"/>
  <c r="AD175" i="1"/>
  <c r="AE175" i="1"/>
  <c r="AF175" i="1"/>
  <c r="AG175" i="1"/>
  <c r="AH175" i="1"/>
  <c r="AJ175" i="1"/>
  <c r="AK175" i="1"/>
  <c r="AL175" i="1"/>
  <c r="AO175" i="1"/>
  <c r="AW175" i="1"/>
  <c r="AP175" i="1"/>
  <c r="L175" i="1"/>
  <c r="AX175" i="1"/>
  <c r="BD175" i="1"/>
  <c r="BF175" i="1"/>
  <c r="BH175" i="1"/>
  <c r="BI175" i="1"/>
  <c r="AC175" i="1"/>
  <c r="BJ175" i="1"/>
  <c r="L177" i="1"/>
  <c r="M177" i="1"/>
  <c r="Z177" i="1"/>
  <c r="AC177" i="1"/>
  <c r="AD177" i="1"/>
  <c r="AE177" i="1"/>
  <c r="AF177" i="1"/>
  <c r="AG177" i="1"/>
  <c r="AH177" i="1"/>
  <c r="AJ177" i="1"/>
  <c r="AK177" i="1"/>
  <c r="AL177" i="1"/>
  <c r="AO177" i="1"/>
  <c r="K177" i="1"/>
  <c r="AP177" i="1"/>
  <c r="AX177" i="1"/>
  <c r="BD177" i="1"/>
  <c r="BF177" i="1"/>
  <c r="BH177" i="1"/>
  <c r="AB177" i="1"/>
  <c r="BI177" i="1"/>
  <c r="BJ177" i="1"/>
  <c r="M180" i="1"/>
  <c r="Z180" i="1"/>
  <c r="AC180" i="1"/>
  <c r="AD180" i="1"/>
  <c r="AE180" i="1"/>
  <c r="AF180" i="1"/>
  <c r="AG180" i="1"/>
  <c r="AH180" i="1"/>
  <c r="AJ180" i="1"/>
  <c r="AK180" i="1"/>
  <c r="AL180" i="1"/>
  <c r="AO180" i="1"/>
  <c r="K180" i="1"/>
  <c r="AP180" i="1"/>
  <c r="L180" i="1"/>
  <c r="BD180" i="1"/>
  <c r="BF180" i="1"/>
  <c r="BH180" i="1"/>
  <c r="AB180" i="1"/>
  <c r="BI180" i="1"/>
  <c r="BJ180" i="1"/>
  <c r="K182" i="1"/>
  <c r="M182" i="1"/>
  <c r="Z182" i="1"/>
  <c r="AB182" i="1"/>
  <c r="AD182" i="1"/>
  <c r="AE182" i="1"/>
  <c r="AF182" i="1"/>
  <c r="AG182" i="1"/>
  <c r="AH182" i="1"/>
  <c r="AJ182" i="1"/>
  <c r="AK182" i="1"/>
  <c r="AL182" i="1"/>
  <c r="AO182" i="1"/>
  <c r="AP182" i="1"/>
  <c r="L182" i="1"/>
  <c r="AW182" i="1"/>
  <c r="BD182" i="1"/>
  <c r="BF182" i="1"/>
  <c r="BH182" i="1"/>
  <c r="BI182" i="1"/>
  <c r="AC182" i="1"/>
  <c r="BJ182" i="1"/>
  <c r="L184" i="1"/>
  <c r="M184" i="1"/>
  <c r="Z184" i="1"/>
  <c r="AB184" i="1"/>
  <c r="AC184" i="1"/>
  <c r="AD184" i="1"/>
  <c r="AE184" i="1"/>
  <c r="AF184" i="1"/>
  <c r="AG184" i="1"/>
  <c r="AH184" i="1"/>
  <c r="AJ184" i="1"/>
  <c r="AK184" i="1"/>
  <c r="AL184" i="1"/>
  <c r="AO184" i="1"/>
  <c r="K184" i="1"/>
  <c r="AP184" i="1"/>
  <c r="AX184" i="1"/>
  <c r="AW184" i="1"/>
  <c r="AV184" i="1"/>
  <c r="BD184" i="1"/>
  <c r="BF184" i="1"/>
  <c r="BH184" i="1"/>
  <c r="BI184" i="1"/>
  <c r="BJ184" i="1"/>
  <c r="M186" i="1"/>
  <c r="Z186" i="1"/>
  <c r="AD186" i="1"/>
  <c r="AE186" i="1"/>
  <c r="AF186" i="1"/>
  <c r="AG186" i="1"/>
  <c r="AH186" i="1"/>
  <c r="AJ186" i="1"/>
  <c r="AK186" i="1"/>
  <c r="AL186" i="1"/>
  <c r="AO186" i="1"/>
  <c r="AW186" i="1"/>
  <c r="AP186" i="1"/>
  <c r="L186" i="1"/>
  <c r="BD186" i="1"/>
  <c r="BF186" i="1"/>
  <c r="BH186" i="1"/>
  <c r="AB186" i="1"/>
  <c r="BI186" i="1"/>
  <c r="AC186" i="1"/>
  <c r="BJ186" i="1"/>
  <c r="M187" i="1"/>
  <c r="M179" i="1"/>
  <c r="G20" i="3"/>
  <c r="I20" i="3"/>
  <c r="Z187" i="1"/>
  <c r="AC187" i="1"/>
  <c r="AD187" i="1"/>
  <c r="AE187" i="1"/>
  <c r="AF187" i="1"/>
  <c r="AG187" i="1"/>
  <c r="AH187" i="1"/>
  <c r="AJ187" i="1"/>
  <c r="AL187" i="1"/>
  <c r="AO187" i="1"/>
  <c r="K187" i="1"/>
  <c r="AP187" i="1"/>
  <c r="L187" i="1"/>
  <c r="BD187" i="1"/>
  <c r="BF187" i="1"/>
  <c r="BH187" i="1"/>
  <c r="AB187" i="1"/>
  <c r="BI187" i="1"/>
  <c r="BJ187" i="1"/>
  <c r="AU190" i="1"/>
  <c r="M191" i="1"/>
  <c r="M190" i="1"/>
  <c r="G21" i="3"/>
  <c r="I21" i="3"/>
  <c r="Z191" i="1"/>
  <c r="AD191" i="1"/>
  <c r="AE191" i="1"/>
  <c r="AF191" i="1"/>
  <c r="AG191" i="1"/>
  <c r="AH191" i="1"/>
  <c r="AJ191" i="1"/>
  <c r="AS190" i="1"/>
  <c r="AK191" i="1"/>
  <c r="AT190" i="1"/>
  <c r="AL191" i="1"/>
  <c r="AO191" i="1"/>
  <c r="K191" i="1"/>
  <c r="K190" i="1"/>
  <c r="E21" i="3"/>
  <c r="AP191" i="1"/>
  <c r="AX191" i="1"/>
  <c r="AW191" i="1"/>
  <c r="BC191" i="1"/>
  <c r="BD191" i="1"/>
  <c r="BF191" i="1"/>
  <c r="BH191" i="1"/>
  <c r="AB191" i="1"/>
  <c r="BI191" i="1"/>
  <c r="AC191" i="1"/>
  <c r="BJ191" i="1"/>
  <c r="AS192" i="1"/>
  <c r="M193" i="1"/>
  <c r="Z193" i="1"/>
  <c r="AB193" i="1"/>
  <c r="AC193" i="1"/>
  <c r="AD193" i="1"/>
  <c r="AE193" i="1"/>
  <c r="AF193" i="1"/>
  <c r="AG193" i="1"/>
  <c r="AH193" i="1"/>
  <c r="AJ193" i="1"/>
  <c r="AK193" i="1"/>
  <c r="AL193" i="1"/>
  <c r="AO193" i="1"/>
  <c r="K193" i="1"/>
  <c r="AP193" i="1"/>
  <c r="L193" i="1"/>
  <c r="BD193" i="1"/>
  <c r="BF193" i="1"/>
  <c r="BH193" i="1"/>
  <c r="BI193" i="1"/>
  <c r="BJ193" i="1"/>
  <c r="M195" i="1"/>
  <c r="M192" i="1"/>
  <c r="G22" i="3"/>
  <c r="I22" i="3"/>
  <c r="Z195" i="1"/>
  <c r="AD195" i="1"/>
  <c r="AE195" i="1"/>
  <c r="AF195" i="1"/>
  <c r="AG195" i="1"/>
  <c r="AH195" i="1"/>
  <c r="AJ195" i="1"/>
  <c r="AL195" i="1"/>
  <c r="AO195" i="1"/>
  <c r="K195" i="1"/>
  <c r="AP195" i="1"/>
  <c r="L195" i="1"/>
  <c r="BD195" i="1"/>
  <c r="BF195" i="1"/>
  <c r="BI195" i="1"/>
  <c r="AC195" i="1"/>
  <c r="BJ195" i="1"/>
  <c r="L198" i="1"/>
  <c r="M198" i="1"/>
  <c r="Z198" i="1"/>
  <c r="AD198" i="1"/>
  <c r="AE198" i="1"/>
  <c r="AF198" i="1"/>
  <c r="AG198" i="1"/>
  <c r="AH198" i="1"/>
  <c r="AJ198" i="1"/>
  <c r="AL198" i="1"/>
  <c r="AO198" i="1"/>
  <c r="K198" i="1"/>
  <c r="AP198" i="1"/>
  <c r="AW198" i="1"/>
  <c r="AV198" i="1"/>
  <c r="AX198" i="1"/>
  <c r="BD198" i="1"/>
  <c r="BF198" i="1"/>
  <c r="BH198" i="1"/>
  <c r="AB198" i="1"/>
  <c r="BI198" i="1"/>
  <c r="AC198" i="1"/>
  <c r="BJ198" i="1"/>
  <c r="L201" i="1"/>
  <c r="M201" i="1"/>
  <c r="Z201" i="1"/>
  <c r="AD201" i="1"/>
  <c r="AE201" i="1"/>
  <c r="AF201" i="1"/>
  <c r="AG201" i="1"/>
  <c r="AH201" i="1"/>
  <c r="AJ201" i="1"/>
  <c r="AK201" i="1"/>
  <c r="AL201" i="1"/>
  <c r="AO201" i="1"/>
  <c r="K201" i="1"/>
  <c r="AP201" i="1"/>
  <c r="AX201" i="1"/>
  <c r="BD201" i="1"/>
  <c r="BF201" i="1"/>
  <c r="BH201" i="1"/>
  <c r="AB201" i="1"/>
  <c r="BI201" i="1"/>
  <c r="AC201" i="1"/>
  <c r="BJ201" i="1"/>
  <c r="L203" i="1"/>
  <c r="M203" i="1"/>
  <c r="AK203" i="1"/>
  <c r="Z203" i="1"/>
  <c r="AD203" i="1"/>
  <c r="AE203" i="1"/>
  <c r="AF203" i="1"/>
  <c r="AG203" i="1"/>
  <c r="AH203" i="1"/>
  <c r="AJ203" i="1"/>
  <c r="AL203" i="1"/>
  <c r="AO203" i="1"/>
  <c r="K203" i="1"/>
  <c r="AP203" i="1"/>
  <c r="AW203" i="1"/>
  <c r="AV203" i="1"/>
  <c r="AX203" i="1"/>
  <c r="BD203" i="1"/>
  <c r="BF203" i="1"/>
  <c r="BH203" i="1"/>
  <c r="AB203" i="1"/>
  <c r="BI203" i="1"/>
  <c r="AC203" i="1"/>
  <c r="BJ203" i="1"/>
  <c r="K205" i="1"/>
  <c r="M205" i="1"/>
  <c r="Z205" i="1"/>
  <c r="AD205" i="1"/>
  <c r="AE205" i="1"/>
  <c r="AF205" i="1"/>
  <c r="AG205" i="1"/>
  <c r="AH205" i="1"/>
  <c r="AJ205" i="1"/>
  <c r="AK205" i="1"/>
  <c r="AL205" i="1"/>
  <c r="AO205" i="1"/>
  <c r="AW205" i="1"/>
  <c r="AP205" i="1"/>
  <c r="L205" i="1"/>
  <c r="BD205" i="1"/>
  <c r="BF205" i="1"/>
  <c r="BH205" i="1"/>
  <c r="AB205" i="1"/>
  <c r="BI205" i="1"/>
  <c r="AC205" i="1"/>
  <c r="BJ205" i="1"/>
  <c r="L207" i="1"/>
  <c r="M207" i="1"/>
  <c r="Z207" i="1"/>
  <c r="AB207" i="1"/>
  <c r="AC207" i="1"/>
  <c r="AD207" i="1"/>
  <c r="AE207" i="1"/>
  <c r="AF207" i="1"/>
  <c r="AG207" i="1"/>
  <c r="AH207" i="1"/>
  <c r="AJ207" i="1"/>
  <c r="AK207" i="1"/>
  <c r="AL207" i="1"/>
  <c r="AO207" i="1"/>
  <c r="K207" i="1"/>
  <c r="AP207" i="1"/>
  <c r="AX207" i="1"/>
  <c r="BD207" i="1"/>
  <c r="BF207" i="1"/>
  <c r="BH207" i="1"/>
  <c r="BI207" i="1"/>
  <c r="BJ207" i="1"/>
  <c r="K208" i="1"/>
  <c r="L208" i="1"/>
  <c r="M208" i="1"/>
  <c r="Z208" i="1"/>
  <c r="AB208" i="1"/>
  <c r="AC208" i="1"/>
  <c r="AD208" i="1"/>
  <c r="AE208" i="1"/>
  <c r="AF208" i="1"/>
  <c r="AG208" i="1"/>
  <c r="AH208" i="1"/>
  <c r="AJ208" i="1"/>
  <c r="AK208" i="1"/>
  <c r="AL208" i="1"/>
  <c r="AO208" i="1"/>
  <c r="AP208" i="1"/>
  <c r="AX208" i="1"/>
  <c r="BC208" i="1"/>
  <c r="AW208" i="1"/>
  <c r="BD208" i="1"/>
  <c r="BF208" i="1"/>
  <c r="BH208" i="1"/>
  <c r="BI208" i="1"/>
  <c r="BJ208" i="1"/>
  <c r="K209" i="1"/>
  <c r="M209" i="1"/>
  <c r="AK209" i="1"/>
  <c r="Z209" i="1"/>
  <c r="AB209" i="1"/>
  <c r="AD209" i="1"/>
  <c r="AE209" i="1"/>
  <c r="AF209" i="1"/>
  <c r="AG209" i="1"/>
  <c r="AH209" i="1"/>
  <c r="AJ209" i="1"/>
  <c r="AL209" i="1"/>
  <c r="AO209" i="1"/>
  <c r="AW209" i="1"/>
  <c r="AP209" i="1"/>
  <c r="L209" i="1"/>
  <c r="AX209" i="1"/>
  <c r="BD209" i="1"/>
  <c r="BF209" i="1"/>
  <c r="BH209" i="1"/>
  <c r="BI209" i="1"/>
  <c r="AC209" i="1"/>
  <c r="BJ209" i="1"/>
  <c r="M212" i="1"/>
  <c r="Z212" i="1"/>
  <c r="AD212" i="1"/>
  <c r="AE212" i="1"/>
  <c r="AF212" i="1"/>
  <c r="AG212" i="1"/>
  <c r="AH212" i="1"/>
  <c r="AJ212" i="1"/>
  <c r="AK212" i="1"/>
  <c r="AL212" i="1"/>
  <c r="AO212" i="1"/>
  <c r="AW212" i="1"/>
  <c r="AP212" i="1"/>
  <c r="L212" i="1"/>
  <c r="BD212" i="1"/>
  <c r="BF212" i="1"/>
  <c r="BI212" i="1"/>
  <c r="AC212" i="1"/>
  <c r="BJ212" i="1"/>
  <c r="M214" i="1"/>
  <c r="Z214" i="1"/>
  <c r="AC214" i="1"/>
  <c r="AD214" i="1"/>
  <c r="AE214" i="1"/>
  <c r="AF214" i="1"/>
  <c r="AG214" i="1"/>
  <c r="AH214" i="1"/>
  <c r="AJ214" i="1"/>
  <c r="AK214" i="1"/>
  <c r="AL214" i="1"/>
  <c r="AO214" i="1"/>
  <c r="AW214" i="1"/>
  <c r="AP214" i="1"/>
  <c r="L214" i="1"/>
  <c r="AX214" i="1"/>
  <c r="BD214" i="1"/>
  <c r="BF214" i="1"/>
  <c r="BI214" i="1"/>
  <c r="BJ214" i="1"/>
  <c r="M215" i="1"/>
  <c r="Z215" i="1"/>
  <c r="AC215" i="1"/>
  <c r="AD215" i="1"/>
  <c r="AE215" i="1"/>
  <c r="AF215" i="1"/>
  <c r="AG215" i="1"/>
  <c r="AH215" i="1"/>
  <c r="AJ215" i="1"/>
  <c r="AK215" i="1"/>
  <c r="AL215" i="1"/>
  <c r="AO215" i="1"/>
  <c r="K215" i="1"/>
  <c r="AP215" i="1"/>
  <c r="L215" i="1"/>
  <c r="BD215" i="1"/>
  <c r="BF215" i="1"/>
  <c r="BH215" i="1"/>
  <c r="AB215" i="1"/>
  <c r="BI215" i="1"/>
  <c r="BJ215" i="1"/>
  <c r="M218" i="1"/>
  <c r="Z218" i="1"/>
  <c r="AC218" i="1"/>
  <c r="AD218" i="1"/>
  <c r="AE218" i="1"/>
  <c r="AF218" i="1"/>
  <c r="AG218" i="1"/>
  <c r="AH218" i="1"/>
  <c r="AJ218" i="1"/>
  <c r="AK218" i="1"/>
  <c r="AL218" i="1"/>
  <c r="AO218" i="1"/>
  <c r="K218" i="1"/>
  <c r="AP218" i="1"/>
  <c r="L218" i="1"/>
  <c r="AX218" i="1"/>
  <c r="BD218" i="1"/>
  <c r="BF218" i="1"/>
  <c r="BI218" i="1"/>
  <c r="BJ218" i="1"/>
  <c r="K220" i="1"/>
  <c r="M220" i="1"/>
  <c r="Z220" i="1"/>
  <c r="AB220" i="1"/>
  <c r="AD220" i="1"/>
  <c r="AE220" i="1"/>
  <c r="AF220" i="1"/>
  <c r="AG220" i="1"/>
  <c r="AH220" i="1"/>
  <c r="AJ220" i="1"/>
  <c r="AK220" i="1"/>
  <c r="AL220" i="1"/>
  <c r="AO220" i="1"/>
  <c r="AP220" i="1"/>
  <c r="L220" i="1"/>
  <c r="AW220" i="1"/>
  <c r="BD220" i="1"/>
  <c r="BF220" i="1"/>
  <c r="BH220" i="1"/>
  <c r="BI220" i="1"/>
  <c r="AC220" i="1"/>
  <c r="BJ220" i="1"/>
  <c r="L223" i="1"/>
  <c r="M223" i="1"/>
  <c r="Z223" i="1"/>
  <c r="AB223" i="1"/>
  <c r="AC223" i="1"/>
  <c r="AD223" i="1"/>
  <c r="AE223" i="1"/>
  <c r="AF223" i="1"/>
  <c r="AG223" i="1"/>
  <c r="AH223" i="1"/>
  <c r="AJ223" i="1"/>
  <c r="AK223" i="1"/>
  <c r="AL223" i="1"/>
  <c r="AO223" i="1"/>
  <c r="K223" i="1"/>
  <c r="AP223" i="1"/>
  <c r="AW223" i="1"/>
  <c r="AV223" i="1"/>
  <c r="AX223" i="1"/>
  <c r="BD223" i="1"/>
  <c r="BF223" i="1"/>
  <c r="BH223" i="1"/>
  <c r="BI223" i="1"/>
  <c r="BJ223" i="1"/>
  <c r="K227" i="1"/>
  <c r="M227" i="1"/>
  <c r="Z227" i="1"/>
  <c r="AD227" i="1"/>
  <c r="AE227" i="1"/>
  <c r="AF227" i="1"/>
  <c r="AG227" i="1"/>
  <c r="AH227" i="1"/>
  <c r="AJ227" i="1"/>
  <c r="AK227" i="1"/>
  <c r="AL227" i="1"/>
  <c r="AO227" i="1"/>
  <c r="AW227" i="1"/>
  <c r="AP227" i="1"/>
  <c r="L227" i="1"/>
  <c r="AX227" i="1"/>
  <c r="BD227" i="1"/>
  <c r="BF227" i="1"/>
  <c r="BI227" i="1"/>
  <c r="AC227" i="1"/>
  <c r="BJ227" i="1"/>
  <c r="M230" i="1"/>
  <c r="Z230" i="1"/>
  <c r="AB230" i="1"/>
  <c r="AC230" i="1"/>
  <c r="AF230" i="1"/>
  <c r="AG230" i="1"/>
  <c r="AH230" i="1"/>
  <c r="AJ230" i="1"/>
  <c r="AK230" i="1"/>
  <c r="AL230" i="1"/>
  <c r="AO230" i="1"/>
  <c r="AW230" i="1"/>
  <c r="AP230" i="1"/>
  <c r="L230" i="1"/>
  <c r="BD230" i="1"/>
  <c r="BF230" i="1"/>
  <c r="BI230" i="1"/>
  <c r="AE230" i="1"/>
  <c r="BJ230" i="1"/>
  <c r="K233" i="1"/>
  <c r="L233" i="1"/>
  <c r="M233" i="1"/>
  <c r="AK233" i="1"/>
  <c r="Z233" i="1"/>
  <c r="AB233" i="1"/>
  <c r="AC233" i="1"/>
  <c r="AF233" i="1"/>
  <c r="AG233" i="1"/>
  <c r="AH233" i="1"/>
  <c r="AJ233" i="1"/>
  <c r="AL233" i="1"/>
  <c r="AO233" i="1"/>
  <c r="AP233" i="1"/>
  <c r="AW233" i="1"/>
  <c r="AV233" i="1"/>
  <c r="AX233" i="1"/>
  <c r="BD233" i="1"/>
  <c r="BF233" i="1"/>
  <c r="BH233" i="1"/>
  <c r="AD233" i="1"/>
  <c r="BI233" i="1"/>
  <c r="AE233" i="1"/>
  <c r="BJ233" i="1"/>
  <c r="L236" i="1"/>
  <c r="M236" i="1"/>
  <c r="Z236" i="1"/>
  <c r="AB236" i="1"/>
  <c r="AC236" i="1"/>
  <c r="AE236" i="1"/>
  <c r="AF236" i="1"/>
  <c r="AG236" i="1"/>
  <c r="AH236" i="1"/>
  <c r="AJ236" i="1"/>
  <c r="AK236" i="1"/>
  <c r="AL236" i="1"/>
  <c r="AO236" i="1"/>
  <c r="K236" i="1"/>
  <c r="AP236" i="1"/>
  <c r="AX236" i="1"/>
  <c r="AW236" i="1"/>
  <c r="BD236" i="1"/>
  <c r="BF236" i="1"/>
  <c r="BH236" i="1"/>
  <c r="AD236" i="1"/>
  <c r="BI236" i="1"/>
  <c r="BJ236" i="1"/>
  <c r="M239" i="1"/>
  <c r="Z239" i="1"/>
  <c r="AB239" i="1"/>
  <c r="AC239" i="1"/>
  <c r="AF239" i="1"/>
  <c r="AG239" i="1"/>
  <c r="AH239" i="1"/>
  <c r="AJ239" i="1"/>
  <c r="AK239" i="1"/>
  <c r="AL239" i="1"/>
  <c r="AO239" i="1"/>
  <c r="K239" i="1"/>
  <c r="AP239" i="1"/>
  <c r="L239" i="1"/>
  <c r="BD239" i="1"/>
  <c r="BF239" i="1"/>
  <c r="BH239" i="1"/>
  <c r="AD239" i="1"/>
  <c r="BI239" i="1"/>
  <c r="AE239" i="1"/>
  <c r="BJ239" i="1"/>
  <c r="K242" i="1"/>
  <c r="L242" i="1"/>
  <c r="M242" i="1"/>
  <c r="Z242" i="1"/>
  <c r="AB242" i="1"/>
  <c r="AC242" i="1"/>
  <c r="AF242" i="1"/>
  <c r="AG242" i="1"/>
  <c r="AH242" i="1"/>
  <c r="AJ242" i="1"/>
  <c r="AK242" i="1"/>
  <c r="AL242" i="1"/>
  <c r="AO242" i="1"/>
  <c r="AP242" i="1"/>
  <c r="AX242" i="1"/>
  <c r="AW242" i="1"/>
  <c r="BD242" i="1"/>
  <c r="BF242" i="1"/>
  <c r="BH242" i="1"/>
  <c r="AD242" i="1"/>
  <c r="BI242" i="1"/>
  <c r="AE242" i="1"/>
  <c r="BJ242" i="1"/>
  <c r="K245" i="1"/>
  <c r="M245" i="1"/>
  <c r="Z245" i="1"/>
  <c r="AB245" i="1"/>
  <c r="AC245" i="1"/>
  <c r="AF245" i="1"/>
  <c r="AG245" i="1"/>
  <c r="AH245" i="1"/>
  <c r="AJ245" i="1"/>
  <c r="AK245" i="1"/>
  <c r="AL245" i="1"/>
  <c r="AO245" i="1"/>
  <c r="AP245" i="1"/>
  <c r="AX245" i="1"/>
  <c r="AW245" i="1"/>
  <c r="BD245" i="1"/>
  <c r="BF245" i="1"/>
  <c r="BH245" i="1"/>
  <c r="AD245" i="1"/>
  <c r="BJ245" i="1"/>
  <c r="M248" i="1"/>
  <c r="AK248" i="1"/>
  <c r="Z248" i="1"/>
  <c r="AB248" i="1"/>
  <c r="AC248" i="1"/>
  <c r="AF248" i="1"/>
  <c r="AG248" i="1"/>
  <c r="AH248" i="1"/>
  <c r="AJ248" i="1"/>
  <c r="AL248" i="1"/>
  <c r="AO248" i="1"/>
  <c r="K248" i="1"/>
  <c r="AP248" i="1"/>
  <c r="L248" i="1"/>
  <c r="BD248" i="1"/>
  <c r="BF248" i="1"/>
  <c r="BH248" i="1"/>
  <c r="AD248" i="1"/>
  <c r="BI248" i="1"/>
  <c r="AE248" i="1"/>
  <c r="BJ248" i="1"/>
  <c r="L250" i="1"/>
  <c r="M250" i="1"/>
  <c r="Z250" i="1"/>
  <c r="AB250" i="1"/>
  <c r="AC250" i="1"/>
  <c r="AF250" i="1"/>
  <c r="AG250" i="1"/>
  <c r="AH250" i="1"/>
  <c r="AJ250" i="1"/>
  <c r="AK250" i="1"/>
  <c r="AL250" i="1"/>
  <c r="AO250" i="1"/>
  <c r="K250" i="1"/>
  <c r="AP250" i="1"/>
  <c r="AX250" i="1"/>
  <c r="AW250" i="1"/>
  <c r="AV250" i="1"/>
  <c r="BD250" i="1"/>
  <c r="BF250" i="1"/>
  <c r="BH250" i="1"/>
  <c r="AD250" i="1"/>
  <c r="BI250" i="1"/>
  <c r="AE250" i="1"/>
  <c r="BJ250" i="1"/>
  <c r="L251" i="1"/>
  <c r="M251" i="1"/>
  <c r="Z251" i="1"/>
  <c r="AB251" i="1"/>
  <c r="AC251" i="1"/>
  <c r="AF251" i="1"/>
  <c r="AG251" i="1"/>
  <c r="AH251" i="1"/>
  <c r="AJ251" i="1"/>
  <c r="AK251" i="1"/>
  <c r="AL251" i="1"/>
  <c r="AO251" i="1"/>
  <c r="K251" i="1"/>
  <c r="AP251" i="1"/>
  <c r="AX251" i="1"/>
  <c r="BD251" i="1"/>
  <c r="BF251" i="1"/>
  <c r="BH251" i="1"/>
  <c r="AD251" i="1"/>
  <c r="BI251" i="1"/>
  <c r="AE251" i="1"/>
  <c r="BJ251" i="1"/>
  <c r="L254" i="1"/>
  <c r="M254" i="1"/>
  <c r="Z254" i="1"/>
  <c r="AB254" i="1"/>
  <c r="AC254" i="1"/>
  <c r="AD254" i="1"/>
  <c r="AE254" i="1"/>
  <c r="AF254" i="1"/>
  <c r="AG254" i="1"/>
  <c r="AH254" i="1"/>
  <c r="AJ254" i="1"/>
  <c r="AK254" i="1"/>
  <c r="AL254" i="1"/>
  <c r="AO254" i="1"/>
  <c r="K254" i="1"/>
  <c r="AP254" i="1"/>
  <c r="AX254" i="1"/>
  <c r="AW254" i="1"/>
  <c r="BC254" i="1"/>
  <c r="BD254" i="1"/>
  <c r="BF254" i="1"/>
  <c r="BH254" i="1"/>
  <c r="BI254" i="1"/>
  <c r="BJ254" i="1"/>
  <c r="M256" i="1"/>
  <c r="Z256" i="1"/>
  <c r="AB256" i="1"/>
  <c r="AC256" i="1"/>
  <c r="AF256" i="1"/>
  <c r="AG256" i="1"/>
  <c r="AH256" i="1"/>
  <c r="AJ256" i="1"/>
  <c r="AK256" i="1"/>
  <c r="AL256" i="1"/>
  <c r="AO256" i="1"/>
  <c r="K256" i="1"/>
  <c r="AP256" i="1"/>
  <c r="L256" i="1"/>
  <c r="BD256" i="1"/>
  <c r="BF256" i="1"/>
  <c r="BH256" i="1"/>
  <c r="AD256" i="1"/>
  <c r="BI256" i="1"/>
  <c r="AE256" i="1"/>
  <c r="BJ256" i="1"/>
  <c r="L259" i="1"/>
  <c r="M259" i="1"/>
  <c r="AK259" i="1"/>
  <c r="Z259" i="1"/>
  <c r="AB259" i="1"/>
  <c r="AC259" i="1"/>
  <c r="AF259" i="1"/>
  <c r="AG259" i="1"/>
  <c r="AH259" i="1"/>
  <c r="AJ259" i="1"/>
  <c r="AL259" i="1"/>
  <c r="AO259" i="1"/>
  <c r="K259" i="1"/>
  <c r="AP259" i="1"/>
  <c r="AW259" i="1"/>
  <c r="BC259" i="1"/>
  <c r="AX259" i="1"/>
  <c r="BD259" i="1"/>
  <c r="BF259" i="1"/>
  <c r="BH259" i="1"/>
  <c r="AD259" i="1"/>
  <c r="BI259" i="1"/>
  <c r="AE259" i="1"/>
  <c r="BJ259" i="1"/>
  <c r="K262" i="1"/>
  <c r="M262" i="1"/>
  <c r="Z262" i="1"/>
  <c r="AB262" i="1"/>
  <c r="AC262" i="1"/>
  <c r="AF262" i="1"/>
  <c r="AG262" i="1"/>
  <c r="AH262" i="1"/>
  <c r="AJ262" i="1"/>
  <c r="AK262" i="1"/>
  <c r="AL262" i="1"/>
  <c r="AO262" i="1"/>
  <c r="AW262" i="1"/>
  <c r="AP262" i="1"/>
  <c r="L262" i="1"/>
  <c r="BD262" i="1"/>
  <c r="BF262" i="1"/>
  <c r="BI262" i="1"/>
  <c r="AE262" i="1"/>
  <c r="BJ262" i="1"/>
  <c r="M265" i="1"/>
  <c r="Z265" i="1"/>
  <c r="AB265" i="1"/>
  <c r="AC265" i="1"/>
  <c r="AF265" i="1"/>
  <c r="AG265" i="1"/>
  <c r="AH265" i="1"/>
  <c r="AJ265" i="1"/>
  <c r="AK265" i="1"/>
  <c r="AL265" i="1"/>
  <c r="AO265" i="1"/>
  <c r="K265" i="1"/>
  <c r="AP265" i="1"/>
  <c r="L265" i="1"/>
  <c r="AW265" i="1"/>
  <c r="BD265" i="1"/>
  <c r="BF265" i="1"/>
  <c r="BH265" i="1"/>
  <c r="AD265" i="1"/>
  <c r="BJ265" i="1"/>
  <c r="L267" i="1"/>
  <c r="M267" i="1"/>
  <c r="Z267" i="1"/>
  <c r="AB267" i="1"/>
  <c r="AC267" i="1"/>
  <c r="AF267" i="1"/>
  <c r="AG267" i="1"/>
  <c r="AH267" i="1"/>
  <c r="AJ267" i="1"/>
  <c r="AK267" i="1"/>
  <c r="AL267" i="1"/>
  <c r="AO267" i="1"/>
  <c r="K267" i="1"/>
  <c r="AP267" i="1"/>
  <c r="AX267" i="1"/>
  <c r="BD267" i="1"/>
  <c r="BF267" i="1"/>
  <c r="BI267" i="1"/>
  <c r="AE267" i="1"/>
  <c r="BJ267" i="1"/>
  <c r="M268" i="1"/>
  <c r="AK268" i="1"/>
  <c r="Z268" i="1"/>
  <c r="AB268" i="1"/>
  <c r="AC268" i="1"/>
  <c r="AF268" i="1"/>
  <c r="AG268" i="1"/>
  <c r="AH268" i="1"/>
  <c r="AJ268" i="1"/>
  <c r="AL268" i="1"/>
  <c r="AO268" i="1"/>
  <c r="K268" i="1"/>
  <c r="AP268" i="1"/>
  <c r="L268" i="1"/>
  <c r="BD268" i="1"/>
  <c r="BF268" i="1"/>
  <c r="BH268" i="1"/>
  <c r="AD268" i="1"/>
  <c r="BI268" i="1"/>
  <c r="AE268" i="1"/>
  <c r="BJ268" i="1"/>
  <c r="M271" i="1"/>
  <c r="Z271" i="1"/>
  <c r="AB271" i="1"/>
  <c r="AC271" i="1"/>
  <c r="AF271" i="1"/>
  <c r="AG271" i="1"/>
  <c r="AH271" i="1"/>
  <c r="AJ271" i="1"/>
  <c r="AK271" i="1"/>
  <c r="AL271" i="1"/>
  <c r="AO271" i="1"/>
  <c r="K271" i="1"/>
  <c r="AP271" i="1"/>
  <c r="L271" i="1"/>
  <c r="BD271" i="1"/>
  <c r="BF271" i="1"/>
  <c r="BH271" i="1"/>
  <c r="AD271" i="1"/>
  <c r="BI271" i="1"/>
  <c r="AE271" i="1"/>
  <c r="BJ271" i="1"/>
  <c r="K274" i="1"/>
  <c r="L274" i="1"/>
  <c r="M274" i="1"/>
  <c r="AK274" i="1"/>
  <c r="Z274" i="1"/>
  <c r="AB274" i="1"/>
  <c r="AC274" i="1"/>
  <c r="AF274" i="1"/>
  <c r="AG274" i="1"/>
  <c r="AH274" i="1"/>
  <c r="AJ274" i="1"/>
  <c r="AL274" i="1"/>
  <c r="AO274" i="1"/>
  <c r="AP274" i="1"/>
  <c r="AX274" i="1"/>
  <c r="AW274" i="1"/>
  <c r="BD274" i="1"/>
  <c r="BF274" i="1"/>
  <c r="BH274" i="1"/>
  <c r="AD274" i="1"/>
  <c r="BJ274" i="1"/>
  <c r="K275" i="1"/>
  <c r="M275" i="1"/>
  <c r="Z275" i="1"/>
  <c r="AB275" i="1"/>
  <c r="AC275" i="1"/>
  <c r="AF275" i="1"/>
  <c r="AG275" i="1"/>
  <c r="AH275" i="1"/>
  <c r="AJ275" i="1"/>
  <c r="AK275" i="1"/>
  <c r="AL275" i="1"/>
  <c r="AO275" i="1"/>
  <c r="AP275" i="1"/>
  <c r="AX275" i="1"/>
  <c r="AW275" i="1"/>
  <c r="BC275" i="1"/>
  <c r="BD275" i="1"/>
  <c r="BF275" i="1"/>
  <c r="BH275" i="1"/>
  <c r="AD275" i="1"/>
  <c r="BI275" i="1"/>
  <c r="AE275" i="1"/>
  <c r="BJ275" i="1"/>
  <c r="K276" i="1"/>
  <c r="M276" i="1"/>
  <c r="Z276" i="1"/>
  <c r="AB276" i="1"/>
  <c r="AC276" i="1"/>
  <c r="AF276" i="1"/>
  <c r="AG276" i="1"/>
  <c r="AH276" i="1"/>
  <c r="AJ276" i="1"/>
  <c r="AK276" i="1"/>
  <c r="AL276" i="1"/>
  <c r="AO276" i="1"/>
  <c r="AW276" i="1"/>
  <c r="AP276" i="1"/>
  <c r="L276" i="1"/>
  <c r="BD276" i="1"/>
  <c r="BF276" i="1"/>
  <c r="BH276" i="1"/>
  <c r="AD276" i="1"/>
  <c r="BI276" i="1"/>
  <c r="AE276" i="1"/>
  <c r="BJ276" i="1"/>
  <c r="K279" i="1"/>
  <c r="M279" i="1"/>
  <c r="AK279" i="1"/>
  <c r="Z279" i="1"/>
  <c r="AB279" i="1"/>
  <c r="AC279" i="1"/>
  <c r="AF279" i="1"/>
  <c r="AG279" i="1"/>
  <c r="AH279" i="1"/>
  <c r="AJ279" i="1"/>
  <c r="AL279" i="1"/>
  <c r="AO279" i="1"/>
  <c r="AW279" i="1"/>
  <c r="AP279" i="1"/>
  <c r="L279" i="1"/>
  <c r="AX279" i="1"/>
  <c r="BD279" i="1"/>
  <c r="BF279" i="1"/>
  <c r="BH279" i="1"/>
  <c r="AD279" i="1"/>
  <c r="BI279" i="1"/>
  <c r="AE279" i="1"/>
  <c r="BJ279" i="1"/>
  <c r="K280" i="1"/>
  <c r="M280" i="1"/>
  <c r="AK280" i="1"/>
  <c r="Z280" i="1"/>
  <c r="AB280" i="1"/>
  <c r="AC280" i="1"/>
  <c r="AF280" i="1"/>
  <c r="AG280" i="1"/>
  <c r="AH280" i="1"/>
  <c r="AJ280" i="1"/>
  <c r="AL280" i="1"/>
  <c r="AO280" i="1"/>
  <c r="AP280" i="1"/>
  <c r="L280" i="1"/>
  <c r="AW280" i="1"/>
  <c r="BD280" i="1"/>
  <c r="BF280" i="1"/>
  <c r="BH280" i="1"/>
  <c r="AD280" i="1"/>
  <c r="BJ280" i="1"/>
  <c r="K282" i="1"/>
  <c r="M282" i="1"/>
  <c r="Z282" i="1"/>
  <c r="AB282" i="1"/>
  <c r="AC282" i="1"/>
  <c r="AF282" i="1"/>
  <c r="AG282" i="1"/>
  <c r="AH282" i="1"/>
  <c r="AJ282" i="1"/>
  <c r="AK282" i="1"/>
  <c r="AL282" i="1"/>
  <c r="AO282" i="1"/>
  <c r="AW282" i="1"/>
  <c r="AP282" i="1"/>
  <c r="AX282" i="1"/>
  <c r="BD282" i="1"/>
  <c r="BF282" i="1"/>
  <c r="BH282" i="1"/>
  <c r="AD282" i="1"/>
  <c r="BJ282" i="1"/>
  <c r="K285" i="1"/>
  <c r="M285" i="1"/>
  <c r="Z285" i="1"/>
  <c r="AB285" i="1"/>
  <c r="AC285" i="1"/>
  <c r="AD285" i="1"/>
  <c r="AF285" i="1"/>
  <c r="AG285" i="1"/>
  <c r="AH285" i="1"/>
  <c r="AJ285" i="1"/>
  <c r="AK285" i="1"/>
  <c r="AL285" i="1"/>
  <c r="AO285" i="1"/>
  <c r="AW285" i="1"/>
  <c r="AP285" i="1"/>
  <c r="L285" i="1"/>
  <c r="BD285" i="1"/>
  <c r="BF285" i="1"/>
  <c r="BH285" i="1"/>
  <c r="BI285" i="1"/>
  <c r="AE285" i="1"/>
  <c r="BJ285" i="1"/>
  <c r="K288" i="1"/>
  <c r="L288" i="1"/>
  <c r="M288" i="1"/>
  <c r="Z288" i="1"/>
  <c r="AB288" i="1"/>
  <c r="AC288" i="1"/>
  <c r="AF288" i="1"/>
  <c r="AG288" i="1"/>
  <c r="AH288" i="1"/>
  <c r="AJ288" i="1"/>
  <c r="AK288" i="1"/>
  <c r="AL288" i="1"/>
  <c r="AO288" i="1"/>
  <c r="AP288" i="1"/>
  <c r="AX288" i="1"/>
  <c r="BC288" i="1"/>
  <c r="AW288" i="1"/>
  <c r="BD288" i="1"/>
  <c r="BF288" i="1"/>
  <c r="BH288" i="1"/>
  <c r="AD288" i="1"/>
  <c r="BI288" i="1"/>
  <c r="AE288" i="1"/>
  <c r="BJ288" i="1"/>
  <c r="K290" i="1"/>
  <c r="L290" i="1"/>
  <c r="M290" i="1"/>
  <c r="Z290" i="1"/>
  <c r="AB290" i="1"/>
  <c r="AC290" i="1"/>
  <c r="AF290" i="1"/>
  <c r="AG290" i="1"/>
  <c r="AH290" i="1"/>
  <c r="AJ290" i="1"/>
  <c r="AK290" i="1"/>
  <c r="AL290" i="1"/>
  <c r="AO290" i="1"/>
  <c r="AP290" i="1"/>
  <c r="AX290" i="1"/>
  <c r="AW290" i="1"/>
  <c r="BD290" i="1"/>
  <c r="BF290" i="1"/>
  <c r="BH290" i="1"/>
  <c r="AD290" i="1"/>
  <c r="BI290" i="1"/>
  <c r="AE290" i="1"/>
  <c r="BJ290" i="1"/>
  <c r="K291" i="1"/>
  <c r="M291" i="1"/>
  <c r="Z291" i="1"/>
  <c r="AB291" i="1"/>
  <c r="AC291" i="1"/>
  <c r="AF291" i="1"/>
  <c r="AG291" i="1"/>
  <c r="AH291" i="1"/>
  <c r="AJ291" i="1"/>
  <c r="AK291" i="1"/>
  <c r="AL291" i="1"/>
  <c r="AO291" i="1"/>
  <c r="AW291" i="1"/>
  <c r="AP291" i="1"/>
  <c r="L291" i="1"/>
  <c r="BD291" i="1"/>
  <c r="BF291" i="1"/>
  <c r="BH291" i="1"/>
  <c r="AD291" i="1"/>
  <c r="BI291" i="1"/>
  <c r="AE291" i="1"/>
  <c r="BJ291" i="1"/>
  <c r="M292" i="1"/>
  <c r="Z292" i="1"/>
  <c r="AB292" i="1"/>
  <c r="AC292" i="1"/>
  <c r="AF292" i="1"/>
  <c r="AG292" i="1"/>
  <c r="AH292" i="1"/>
  <c r="AJ292" i="1"/>
  <c r="AK292" i="1"/>
  <c r="AL292" i="1"/>
  <c r="AO292" i="1"/>
  <c r="K292" i="1"/>
  <c r="AP292" i="1"/>
  <c r="L292" i="1"/>
  <c r="BD292" i="1"/>
  <c r="BF292" i="1"/>
  <c r="BH292" i="1"/>
  <c r="AD292" i="1"/>
  <c r="BI292" i="1"/>
  <c r="AE292" i="1"/>
  <c r="BJ292" i="1"/>
  <c r="K295" i="1"/>
  <c r="M295" i="1"/>
  <c r="AK295" i="1"/>
  <c r="AB295" i="1"/>
  <c r="AC295" i="1"/>
  <c r="AD295" i="1"/>
  <c r="AE295" i="1"/>
  <c r="AF295" i="1"/>
  <c r="AG295" i="1"/>
  <c r="AH295" i="1"/>
  <c r="AJ295" i="1"/>
  <c r="AL295" i="1"/>
  <c r="AO295" i="1"/>
  <c r="AP295" i="1"/>
  <c r="L295" i="1"/>
  <c r="AW295" i="1"/>
  <c r="BD295" i="1"/>
  <c r="BF295" i="1"/>
  <c r="BH295" i="1"/>
  <c r="BI295" i="1"/>
  <c r="BJ295" i="1"/>
  <c r="Z295" i="1"/>
  <c r="M297" i="1"/>
  <c r="Z297" i="1"/>
  <c r="AB297" i="1"/>
  <c r="AC297" i="1"/>
  <c r="AF297" i="1"/>
  <c r="AG297" i="1"/>
  <c r="AH297" i="1"/>
  <c r="AJ297" i="1"/>
  <c r="AK297" i="1"/>
  <c r="AL297" i="1"/>
  <c r="AO297" i="1"/>
  <c r="K297" i="1"/>
  <c r="AP297" i="1"/>
  <c r="AX297" i="1"/>
  <c r="BD297" i="1"/>
  <c r="BF297" i="1"/>
  <c r="BH297" i="1"/>
  <c r="AD297" i="1"/>
  <c r="BI297" i="1"/>
  <c r="AE297" i="1"/>
  <c r="BJ297" i="1"/>
  <c r="M300" i="1"/>
  <c r="Z300" i="1"/>
  <c r="AB300" i="1"/>
  <c r="AC300" i="1"/>
  <c r="AF300" i="1"/>
  <c r="AG300" i="1"/>
  <c r="AH300" i="1"/>
  <c r="AJ300" i="1"/>
  <c r="AK300" i="1"/>
  <c r="AL300" i="1"/>
  <c r="AO300" i="1"/>
  <c r="BH300" i="1"/>
  <c r="AD300" i="1"/>
  <c r="AP300" i="1"/>
  <c r="L300" i="1"/>
  <c r="AX300" i="1"/>
  <c r="BD300" i="1"/>
  <c r="BF300" i="1"/>
  <c r="BI300" i="1"/>
  <c r="AE300" i="1"/>
  <c r="BJ300" i="1"/>
  <c r="K301" i="1"/>
  <c r="L301" i="1"/>
  <c r="M301" i="1"/>
  <c r="Z301" i="1"/>
  <c r="AB301" i="1"/>
  <c r="AC301" i="1"/>
  <c r="AF301" i="1"/>
  <c r="AG301" i="1"/>
  <c r="AH301" i="1"/>
  <c r="AJ301" i="1"/>
  <c r="AL301" i="1"/>
  <c r="AO301" i="1"/>
  <c r="AP301" i="1"/>
  <c r="BI301" i="1"/>
  <c r="AE301" i="1"/>
  <c r="AW301" i="1"/>
  <c r="BC301" i="1"/>
  <c r="AX301" i="1"/>
  <c r="BD301" i="1"/>
  <c r="BF301" i="1"/>
  <c r="BH301" i="1"/>
  <c r="AD301" i="1"/>
  <c r="BJ301" i="1"/>
  <c r="K303" i="1"/>
  <c r="L303" i="1"/>
  <c r="M303" i="1"/>
  <c r="AK303" i="1"/>
  <c r="Z303" i="1"/>
  <c r="AB303" i="1"/>
  <c r="AC303" i="1"/>
  <c r="AE303" i="1"/>
  <c r="AF303" i="1"/>
  <c r="AG303" i="1"/>
  <c r="AH303" i="1"/>
  <c r="AJ303" i="1"/>
  <c r="AL303" i="1"/>
  <c r="AO303" i="1"/>
  <c r="AP303" i="1"/>
  <c r="AW303" i="1"/>
  <c r="BC303" i="1"/>
  <c r="AX303" i="1"/>
  <c r="BD303" i="1"/>
  <c r="BF303" i="1"/>
  <c r="BH303" i="1"/>
  <c r="AD303" i="1"/>
  <c r="BI303" i="1"/>
  <c r="BJ303" i="1"/>
  <c r="K305" i="1"/>
  <c r="L305" i="1"/>
  <c r="M305" i="1"/>
  <c r="Z305" i="1"/>
  <c r="AB305" i="1"/>
  <c r="AC305" i="1"/>
  <c r="AF305" i="1"/>
  <c r="AG305" i="1"/>
  <c r="AH305" i="1"/>
  <c r="AJ305" i="1"/>
  <c r="AK305" i="1"/>
  <c r="AL305" i="1"/>
  <c r="AO305" i="1"/>
  <c r="AP305" i="1"/>
  <c r="AX305" i="1"/>
  <c r="AW305" i="1"/>
  <c r="BD305" i="1"/>
  <c r="BF305" i="1"/>
  <c r="BH305" i="1"/>
  <c r="AD305" i="1"/>
  <c r="BJ305" i="1"/>
  <c r="M307" i="1"/>
  <c r="Z307" i="1"/>
  <c r="AB307" i="1"/>
  <c r="AC307" i="1"/>
  <c r="AF307" i="1"/>
  <c r="AG307" i="1"/>
  <c r="AH307" i="1"/>
  <c r="AJ307" i="1"/>
  <c r="AK307" i="1"/>
  <c r="AL307" i="1"/>
  <c r="AO307" i="1"/>
  <c r="K307" i="1"/>
  <c r="AP307" i="1"/>
  <c r="L307" i="1"/>
  <c r="AX307" i="1"/>
  <c r="BD307" i="1"/>
  <c r="BF307" i="1"/>
  <c r="BH307" i="1"/>
  <c r="AD307" i="1"/>
  <c r="BI307" i="1"/>
  <c r="AE307" i="1"/>
  <c r="BJ307" i="1"/>
  <c r="M308" i="1"/>
  <c r="Z308" i="1"/>
  <c r="AB308" i="1"/>
  <c r="AC308" i="1"/>
  <c r="AF308" i="1"/>
  <c r="AG308" i="1"/>
  <c r="AH308" i="1"/>
  <c r="AJ308" i="1"/>
  <c r="AK308" i="1"/>
  <c r="AL308" i="1"/>
  <c r="AO308" i="1"/>
  <c r="K308" i="1"/>
  <c r="AP308" i="1"/>
  <c r="L308" i="1"/>
  <c r="AX308" i="1"/>
  <c r="BD308" i="1"/>
  <c r="BF308" i="1"/>
  <c r="BH308" i="1"/>
  <c r="AD308" i="1"/>
  <c r="BI308" i="1"/>
  <c r="AE308" i="1"/>
  <c r="BJ308" i="1"/>
  <c r="K310" i="1"/>
  <c r="L310" i="1"/>
  <c r="M310" i="1"/>
  <c r="AK310" i="1"/>
  <c r="Z310" i="1"/>
  <c r="AB310" i="1"/>
  <c r="AC310" i="1"/>
  <c r="AF310" i="1"/>
  <c r="AG310" i="1"/>
  <c r="AH310" i="1"/>
  <c r="AJ310" i="1"/>
  <c r="AL310" i="1"/>
  <c r="AO310" i="1"/>
  <c r="AP310" i="1"/>
  <c r="AW310" i="1"/>
  <c r="AV310" i="1"/>
  <c r="AX310" i="1"/>
  <c r="BC310" i="1"/>
  <c r="BD310" i="1"/>
  <c r="BF310" i="1"/>
  <c r="BH310" i="1"/>
  <c r="AD310" i="1"/>
  <c r="BI310" i="1"/>
  <c r="AE310" i="1"/>
  <c r="BJ310" i="1"/>
  <c r="K312" i="1"/>
  <c r="L312" i="1"/>
  <c r="M312" i="1"/>
  <c r="AK312" i="1"/>
  <c r="Z312" i="1"/>
  <c r="AB312" i="1"/>
  <c r="AC312" i="1"/>
  <c r="AF312" i="1"/>
  <c r="AG312" i="1"/>
  <c r="AH312" i="1"/>
  <c r="AJ312" i="1"/>
  <c r="AL312" i="1"/>
  <c r="AO312" i="1"/>
  <c r="AP312" i="1"/>
  <c r="AW312" i="1"/>
  <c r="BC312" i="1"/>
  <c r="AX312" i="1"/>
  <c r="BD312" i="1"/>
  <c r="BF312" i="1"/>
  <c r="BH312" i="1"/>
  <c r="AD312" i="1"/>
  <c r="BI312" i="1"/>
  <c r="AE312" i="1"/>
  <c r="BJ312" i="1"/>
  <c r="L314" i="1"/>
  <c r="M314" i="1"/>
  <c r="Z314" i="1"/>
  <c r="AB314" i="1"/>
  <c r="AC314" i="1"/>
  <c r="AF314" i="1"/>
  <c r="AG314" i="1"/>
  <c r="AH314" i="1"/>
  <c r="AJ314" i="1"/>
  <c r="AK314" i="1"/>
  <c r="AL314" i="1"/>
  <c r="AO314" i="1"/>
  <c r="K314" i="1"/>
  <c r="AP314" i="1"/>
  <c r="AX314" i="1"/>
  <c r="AW314" i="1"/>
  <c r="BD314" i="1"/>
  <c r="BF314" i="1"/>
  <c r="BH314" i="1"/>
  <c r="AD314" i="1"/>
  <c r="BI314" i="1"/>
  <c r="AE314" i="1"/>
  <c r="BJ314" i="1"/>
  <c r="L317" i="1"/>
  <c r="M317" i="1"/>
  <c r="Z317" i="1"/>
  <c r="AB317" i="1"/>
  <c r="AC317" i="1"/>
  <c r="AF317" i="1"/>
  <c r="AG317" i="1"/>
  <c r="AH317" i="1"/>
  <c r="AJ317" i="1"/>
  <c r="AK317" i="1"/>
  <c r="AL317" i="1"/>
  <c r="AO317" i="1"/>
  <c r="K317" i="1"/>
  <c r="AP317" i="1"/>
  <c r="AX317" i="1"/>
  <c r="BD317" i="1"/>
  <c r="BF317" i="1"/>
  <c r="BH317" i="1"/>
  <c r="AD317" i="1"/>
  <c r="BI317" i="1"/>
  <c r="AE317" i="1"/>
  <c r="BJ317" i="1"/>
  <c r="K318" i="1"/>
  <c r="M318" i="1"/>
  <c r="Z318" i="1"/>
  <c r="AB318" i="1"/>
  <c r="AC318" i="1"/>
  <c r="AF318" i="1"/>
  <c r="AG318" i="1"/>
  <c r="AH318" i="1"/>
  <c r="AJ318" i="1"/>
  <c r="AK318" i="1"/>
  <c r="AL318" i="1"/>
  <c r="AO318" i="1"/>
  <c r="AP318" i="1"/>
  <c r="L318" i="1"/>
  <c r="AW318" i="1"/>
  <c r="AV318" i="1"/>
  <c r="AX318" i="1"/>
  <c r="BC318" i="1"/>
  <c r="BD318" i="1"/>
  <c r="BF318" i="1"/>
  <c r="BH318" i="1"/>
  <c r="AD318" i="1"/>
  <c r="BI318" i="1"/>
  <c r="AE318" i="1"/>
  <c r="BJ318" i="1"/>
  <c r="K321" i="1"/>
  <c r="M321" i="1"/>
  <c r="Z321" i="1"/>
  <c r="AB321" i="1"/>
  <c r="AC321" i="1"/>
  <c r="AF321" i="1"/>
  <c r="AG321" i="1"/>
  <c r="AH321" i="1"/>
  <c r="AJ321" i="1"/>
  <c r="AK321" i="1"/>
  <c r="AL321" i="1"/>
  <c r="AO321" i="1"/>
  <c r="AW321" i="1"/>
  <c r="AP321" i="1"/>
  <c r="L321" i="1"/>
  <c r="BD321" i="1"/>
  <c r="BF321" i="1"/>
  <c r="BH321" i="1"/>
  <c r="AD321" i="1"/>
  <c r="BI321" i="1"/>
  <c r="AE321" i="1"/>
  <c r="BJ321" i="1"/>
  <c r="M322" i="1"/>
  <c r="Z322" i="1"/>
  <c r="AB322" i="1"/>
  <c r="AC322" i="1"/>
  <c r="AF322" i="1"/>
  <c r="AG322" i="1"/>
  <c r="AH322" i="1"/>
  <c r="AJ322" i="1"/>
  <c r="AK322" i="1"/>
  <c r="AL322" i="1"/>
  <c r="AO322" i="1"/>
  <c r="K322" i="1"/>
  <c r="AP322" i="1"/>
  <c r="L322" i="1"/>
  <c r="BD322" i="1"/>
  <c r="BF322" i="1"/>
  <c r="BI322" i="1"/>
  <c r="AE322" i="1"/>
  <c r="BJ322" i="1"/>
  <c r="L323" i="1"/>
  <c r="M323" i="1"/>
  <c r="Z323" i="1"/>
  <c r="AB323" i="1"/>
  <c r="AC323" i="1"/>
  <c r="AD323" i="1"/>
  <c r="AF323" i="1"/>
  <c r="AG323" i="1"/>
  <c r="AH323" i="1"/>
  <c r="AJ323" i="1"/>
  <c r="AK323" i="1"/>
  <c r="AL323" i="1"/>
  <c r="AO323" i="1"/>
  <c r="K323" i="1"/>
  <c r="AP323" i="1"/>
  <c r="AX323" i="1"/>
  <c r="BD323" i="1"/>
  <c r="BF323" i="1"/>
  <c r="BH323" i="1"/>
  <c r="BI323" i="1"/>
  <c r="AE323" i="1"/>
  <c r="BJ323" i="1"/>
  <c r="M324" i="1"/>
  <c r="Z324" i="1"/>
  <c r="AB324" i="1"/>
  <c r="AC324" i="1"/>
  <c r="AF324" i="1"/>
  <c r="AG324" i="1"/>
  <c r="AH324" i="1"/>
  <c r="AJ324" i="1"/>
  <c r="AK324" i="1"/>
  <c r="AL324" i="1"/>
  <c r="AO324" i="1"/>
  <c r="K324" i="1"/>
  <c r="AP324" i="1"/>
  <c r="L324" i="1"/>
  <c r="BD324" i="1"/>
  <c r="BF324" i="1"/>
  <c r="BH324" i="1"/>
  <c r="AD324" i="1"/>
  <c r="BI324" i="1"/>
  <c r="AE324" i="1"/>
  <c r="BJ324" i="1"/>
  <c r="K326" i="1"/>
  <c r="M326" i="1"/>
  <c r="Z326" i="1"/>
  <c r="AB326" i="1"/>
  <c r="AC326" i="1"/>
  <c r="AF326" i="1"/>
  <c r="AG326" i="1"/>
  <c r="AH326" i="1"/>
  <c r="AJ326" i="1"/>
  <c r="AK326" i="1"/>
  <c r="AL326" i="1"/>
  <c r="AO326" i="1"/>
  <c r="AW326" i="1"/>
  <c r="AP326" i="1"/>
  <c r="L326" i="1"/>
  <c r="BD326" i="1"/>
  <c r="BF326" i="1"/>
  <c r="BH326" i="1"/>
  <c r="AD326" i="1"/>
  <c r="BI326" i="1"/>
  <c r="AE326" i="1"/>
  <c r="BJ326" i="1"/>
  <c r="K328" i="1"/>
  <c r="M328" i="1"/>
  <c r="AB328" i="1"/>
  <c r="AC328" i="1"/>
  <c r="AD328" i="1"/>
  <c r="AE328" i="1"/>
  <c r="AF328" i="1"/>
  <c r="AG328" i="1"/>
  <c r="AH328" i="1"/>
  <c r="AJ328" i="1"/>
  <c r="AK328" i="1"/>
  <c r="AL328" i="1"/>
  <c r="AO328" i="1"/>
  <c r="AW328" i="1"/>
  <c r="AP328" i="1"/>
  <c r="L328" i="1"/>
  <c r="BD328" i="1"/>
  <c r="BF328" i="1"/>
  <c r="BH328" i="1"/>
  <c r="BI328" i="1"/>
  <c r="BJ328" i="1"/>
  <c r="Z328" i="1"/>
  <c r="K330" i="1"/>
  <c r="M330" i="1"/>
  <c r="M329" i="1"/>
  <c r="G28" i="3"/>
  <c r="I28" i="3"/>
  <c r="Z330" i="1"/>
  <c r="AB330" i="1"/>
  <c r="AC330" i="1"/>
  <c r="AF330" i="1"/>
  <c r="AG330" i="1"/>
  <c r="AH330" i="1"/>
  <c r="AJ330" i="1"/>
  <c r="AK330" i="1"/>
  <c r="AL330" i="1"/>
  <c r="AO330" i="1"/>
  <c r="AW330" i="1"/>
  <c r="AP330" i="1"/>
  <c r="L330" i="1"/>
  <c r="BD330" i="1"/>
  <c r="BF330" i="1"/>
  <c r="BH330" i="1"/>
  <c r="AD330" i="1"/>
  <c r="BJ330" i="1"/>
  <c r="K333" i="1"/>
  <c r="M333" i="1"/>
  <c r="AK333" i="1"/>
  <c r="AT329" i="1"/>
  <c r="AB333" i="1"/>
  <c r="AC333" i="1"/>
  <c r="AD333" i="1"/>
  <c r="AE333" i="1"/>
  <c r="AF333" i="1"/>
  <c r="AG333" i="1"/>
  <c r="AH333" i="1"/>
  <c r="AJ333" i="1"/>
  <c r="AS329" i="1"/>
  <c r="AL333" i="1"/>
  <c r="AU329" i="1"/>
  <c r="AO333" i="1"/>
  <c r="AW333" i="1"/>
  <c r="AP333" i="1"/>
  <c r="L333" i="1"/>
  <c r="AX333" i="1"/>
  <c r="BD333" i="1"/>
  <c r="BF333" i="1"/>
  <c r="BH333" i="1"/>
  <c r="BI333" i="1"/>
  <c r="BJ333" i="1"/>
  <c r="Z333" i="1"/>
  <c r="L334" i="1"/>
  <c r="F29" i="3"/>
  <c r="L335" i="1"/>
  <c r="M335" i="1"/>
  <c r="Z335" i="1"/>
  <c r="AB335" i="1"/>
  <c r="AC335" i="1"/>
  <c r="AF335" i="1"/>
  <c r="AG335" i="1"/>
  <c r="AH335" i="1"/>
  <c r="AJ335" i="1"/>
  <c r="AK335" i="1"/>
  <c r="AL335" i="1"/>
  <c r="AO335" i="1"/>
  <c r="K335" i="1"/>
  <c r="AP335" i="1"/>
  <c r="AW335" i="1"/>
  <c r="AV335" i="1"/>
  <c r="AX335" i="1"/>
  <c r="BC335" i="1"/>
  <c r="BD335" i="1"/>
  <c r="BF335" i="1"/>
  <c r="BH335" i="1"/>
  <c r="AD335" i="1"/>
  <c r="BI335" i="1"/>
  <c r="AE335" i="1"/>
  <c r="BJ335" i="1"/>
  <c r="L337" i="1"/>
  <c r="M337" i="1"/>
  <c r="Z337" i="1"/>
  <c r="AB337" i="1"/>
  <c r="AC337" i="1"/>
  <c r="AF337" i="1"/>
  <c r="AG337" i="1"/>
  <c r="AH337" i="1"/>
  <c r="AJ337" i="1"/>
  <c r="AK337" i="1"/>
  <c r="AL337" i="1"/>
  <c r="AO337" i="1"/>
  <c r="BH337" i="1"/>
  <c r="AD337" i="1"/>
  <c r="AP337" i="1"/>
  <c r="AW337" i="1"/>
  <c r="AV337" i="1"/>
  <c r="AX337" i="1"/>
  <c r="BC337" i="1"/>
  <c r="BD337" i="1"/>
  <c r="BF337" i="1"/>
  <c r="BI337" i="1"/>
  <c r="AE337" i="1"/>
  <c r="BJ337" i="1"/>
  <c r="K338" i="1"/>
  <c r="L338" i="1"/>
  <c r="M338" i="1"/>
  <c r="AK338" i="1"/>
  <c r="Z338" i="1"/>
  <c r="AB338" i="1"/>
  <c r="AC338" i="1"/>
  <c r="AF338" i="1"/>
  <c r="AG338" i="1"/>
  <c r="AH338" i="1"/>
  <c r="AJ338" i="1"/>
  <c r="AL338" i="1"/>
  <c r="AO338" i="1"/>
  <c r="AP338" i="1"/>
  <c r="AV338" i="1"/>
  <c r="AW338" i="1"/>
  <c r="BC338" i="1"/>
  <c r="AX338" i="1"/>
  <c r="BD338" i="1"/>
  <c r="BF338" i="1"/>
  <c r="BH338" i="1"/>
  <c r="AD338" i="1"/>
  <c r="BI338" i="1"/>
  <c r="AE338" i="1"/>
  <c r="BJ338" i="1"/>
  <c r="L341" i="1"/>
  <c r="M341" i="1"/>
  <c r="AB341" i="1"/>
  <c r="AC341" i="1"/>
  <c r="AD341" i="1"/>
  <c r="AE341" i="1"/>
  <c r="AF341" i="1"/>
  <c r="AG341" i="1"/>
  <c r="AH341" i="1"/>
  <c r="AJ341" i="1"/>
  <c r="AK341" i="1"/>
  <c r="AL341" i="1"/>
  <c r="AO341" i="1"/>
  <c r="K341" i="1"/>
  <c r="AP341" i="1"/>
  <c r="AX341" i="1"/>
  <c r="BD341" i="1"/>
  <c r="BF341" i="1"/>
  <c r="BH341" i="1"/>
  <c r="BI341" i="1"/>
  <c r="BJ341" i="1"/>
  <c r="Z341" i="1"/>
  <c r="M343" i="1"/>
  <c r="Z343" i="1"/>
  <c r="AB343" i="1"/>
  <c r="AC343" i="1"/>
  <c r="AF343" i="1"/>
  <c r="AG343" i="1"/>
  <c r="AH343" i="1"/>
  <c r="AJ343" i="1"/>
  <c r="AK343" i="1"/>
  <c r="AL343" i="1"/>
  <c r="AO343" i="1"/>
  <c r="K343" i="1"/>
  <c r="AP343" i="1"/>
  <c r="L343" i="1"/>
  <c r="AX343" i="1"/>
  <c r="BD343" i="1"/>
  <c r="BF343" i="1"/>
  <c r="BH343" i="1"/>
  <c r="AD343" i="1"/>
  <c r="BI343" i="1"/>
  <c r="AE343" i="1"/>
  <c r="BJ343" i="1"/>
  <c r="M346" i="1"/>
  <c r="Z346" i="1"/>
  <c r="AB346" i="1"/>
  <c r="AC346" i="1"/>
  <c r="AF346" i="1"/>
  <c r="AG346" i="1"/>
  <c r="AH346" i="1"/>
  <c r="AJ346" i="1"/>
  <c r="AK346" i="1"/>
  <c r="AL346" i="1"/>
  <c r="AO346" i="1"/>
  <c r="K346" i="1"/>
  <c r="AP346" i="1"/>
  <c r="L346" i="1"/>
  <c r="BD346" i="1"/>
  <c r="BF346" i="1"/>
  <c r="BH346" i="1"/>
  <c r="AD346" i="1"/>
  <c r="BI346" i="1"/>
  <c r="AE346" i="1"/>
  <c r="BJ346" i="1"/>
  <c r="M349" i="1"/>
  <c r="Z349" i="1"/>
  <c r="AB349" i="1"/>
  <c r="AC349" i="1"/>
  <c r="AD349" i="1"/>
  <c r="AF349" i="1"/>
  <c r="AG349" i="1"/>
  <c r="AH349" i="1"/>
  <c r="AJ349" i="1"/>
  <c r="AK349" i="1"/>
  <c r="AL349" i="1"/>
  <c r="AO349" i="1"/>
  <c r="K349" i="1"/>
  <c r="AP349" i="1"/>
  <c r="L349" i="1"/>
  <c r="BD349" i="1"/>
  <c r="BF349" i="1"/>
  <c r="BH349" i="1"/>
  <c r="BI349" i="1"/>
  <c r="AE349" i="1"/>
  <c r="BJ349" i="1"/>
  <c r="M351" i="1"/>
  <c r="Z351" i="1"/>
  <c r="AB351" i="1"/>
  <c r="AC351" i="1"/>
  <c r="AF351" i="1"/>
  <c r="AG351" i="1"/>
  <c r="AH351" i="1"/>
  <c r="AJ351" i="1"/>
  <c r="AK351" i="1"/>
  <c r="AL351" i="1"/>
  <c r="AO351" i="1"/>
  <c r="K351" i="1"/>
  <c r="AP351" i="1"/>
  <c r="L351" i="1"/>
  <c r="AX351" i="1"/>
  <c r="BD351" i="1"/>
  <c r="BF351" i="1"/>
  <c r="BH351" i="1"/>
  <c r="AD351" i="1"/>
  <c r="BI351" i="1"/>
  <c r="AE351" i="1"/>
  <c r="BJ351" i="1"/>
  <c r="M353" i="1"/>
  <c r="AK353" i="1"/>
  <c r="Z353" i="1"/>
  <c r="AB353" i="1"/>
  <c r="AC353" i="1"/>
  <c r="AF353" i="1"/>
  <c r="AG353" i="1"/>
  <c r="AH353" i="1"/>
  <c r="AJ353" i="1"/>
  <c r="AL353" i="1"/>
  <c r="AO353" i="1"/>
  <c r="K353" i="1"/>
  <c r="AP353" i="1"/>
  <c r="L353" i="1"/>
  <c r="AX353" i="1"/>
  <c r="BD353" i="1"/>
  <c r="BF353" i="1"/>
  <c r="BH353" i="1"/>
  <c r="AD353" i="1"/>
  <c r="BI353" i="1"/>
  <c r="AE353" i="1"/>
  <c r="BJ353" i="1"/>
  <c r="K355" i="1"/>
  <c r="L355" i="1"/>
  <c r="M355" i="1"/>
  <c r="AK355" i="1"/>
  <c r="Z355" i="1"/>
  <c r="AB355" i="1"/>
  <c r="AC355" i="1"/>
  <c r="AF355" i="1"/>
  <c r="AG355" i="1"/>
  <c r="AH355" i="1"/>
  <c r="AJ355" i="1"/>
  <c r="AL355" i="1"/>
  <c r="AO355" i="1"/>
  <c r="AP355" i="1"/>
  <c r="AW355" i="1"/>
  <c r="AV355" i="1"/>
  <c r="AX355" i="1"/>
  <c r="BC355" i="1"/>
  <c r="BD355" i="1"/>
  <c r="BF355" i="1"/>
  <c r="BH355" i="1"/>
  <c r="AD355" i="1"/>
  <c r="BI355" i="1"/>
  <c r="AE355" i="1"/>
  <c r="BJ355" i="1"/>
  <c r="L357" i="1"/>
  <c r="M357" i="1"/>
  <c r="Z357" i="1"/>
  <c r="AB357" i="1"/>
  <c r="AC357" i="1"/>
  <c r="AD357" i="1"/>
  <c r="AE357" i="1"/>
  <c r="AF357" i="1"/>
  <c r="AG357" i="1"/>
  <c r="AH357" i="1"/>
  <c r="AJ357" i="1"/>
  <c r="AK357" i="1"/>
  <c r="AL357" i="1"/>
  <c r="AO357" i="1"/>
  <c r="K357" i="1"/>
  <c r="AP357" i="1"/>
  <c r="AX357" i="1"/>
  <c r="BD357" i="1"/>
  <c r="BF357" i="1"/>
  <c r="BH357" i="1"/>
  <c r="BI357" i="1"/>
  <c r="BJ357" i="1"/>
  <c r="M359" i="1"/>
  <c r="Z359" i="1"/>
  <c r="AB359" i="1"/>
  <c r="AC359" i="1"/>
  <c r="AF359" i="1"/>
  <c r="AG359" i="1"/>
  <c r="AH359" i="1"/>
  <c r="AJ359" i="1"/>
  <c r="AK359" i="1"/>
  <c r="AL359" i="1"/>
  <c r="AO359" i="1"/>
  <c r="K359" i="1"/>
  <c r="AP359" i="1"/>
  <c r="AX359" i="1"/>
  <c r="AW359" i="1"/>
  <c r="BC359" i="1"/>
  <c r="BD359" i="1"/>
  <c r="BF359" i="1"/>
  <c r="BH359" i="1"/>
  <c r="AD359" i="1"/>
  <c r="BJ359" i="1"/>
  <c r="M362" i="1"/>
  <c r="AK362" i="1"/>
  <c r="Z362" i="1"/>
  <c r="AB362" i="1"/>
  <c r="AC362" i="1"/>
  <c r="AF362" i="1"/>
  <c r="AG362" i="1"/>
  <c r="AH362" i="1"/>
  <c r="AJ362" i="1"/>
  <c r="AL362" i="1"/>
  <c r="AO362" i="1"/>
  <c r="K362" i="1"/>
  <c r="AP362" i="1"/>
  <c r="L362" i="1"/>
  <c r="AX362" i="1"/>
  <c r="BD362" i="1"/>
  <c r="BF362" i="1"/>
  <c r="BH362" i="1"/>
  <c r="AD362" i="1"/>
  <c r="BI362" i="1"/>
  <c r="AE362" i="1"/>
  <c r="BJ362" i="1"/>
  <c r="M365" i="1"/>
  <c r="AK365" i="1"/>
  <c r="Z365" i="1"/>
  <c r="AB365" i="1"/>
  <c r="AC365" i="1"/>
  <c r="AF365" i="1"/>
  <c r="AG365" i="1"/>
  <c r="AH365" i="1"/>
  <c r="AJ365" i="1"/>
  <c r="AL365" i="1"/>
  <c r="AO365" i="1"/>
  <c r="K365" i="1"/>
  <c r="AP365" i="1"/>
  <c r="L365" i="1"/>
  <c r="AX365" i="1"/>
  <c r="BD365" i="1"/>
  <c r="BF365" i="1"/>
  <c r="BH365" i="1"/>
  <c r="AD365" i="1"/>
  <c r="BI365" i="1"/>
  <c r="AE365" i="1"/>
  <c r="BJ365" i="1"/>
  <c r="M367" i="1"/>
  <c r="Z367" i="1"/>
  <c r="AB367" i="1"/>
  <c r="AC367" i="1"/>
  <c r="AF367" i="1"/>
  <c r="AG367" i="1"/>
  <c r="AH367" i="1"/>
  <c r="AJ367" i="1"/>
  <c r="AK367" i="1"/>
  <c r="AL367" i="1"/>
  <c r="AO367" i="1"/>
  <c r="K367" i="1"/>
  <c r="AP367" i="1"/>
  <c r="L367" i="1"/>
  <c r="BD367" i="1"/>
  <c r="BF367" i="1"/>
  <c r="BH367" i="1"/>
  <c r="AD367" i="1"/>
  <c r="BI367" i="1"/>
  <c r="AE367" i="1"/>
  <c r="BJ367" i="1"/>
  <c r="L369" i="1"/>
  <c r="M369" i="1"/>
  <c r="AK369" i="1"/>
  <c r="Z369" i="1"/>
  <c r="AB369" i="1"/>
  <c r="AC369" i="1"/>
  <c r="AF369" i="1"/>
  <c r="AG369" i="1"/>
  <c r="AH369" i="1"/>
  <c r="AJ369" i="1"/>
  <c r="AL369" i="1"/>
  <c r="AO369" i="1"/>
  <c r="K369" i="1"/>
  <c r="AP369" i="1"/>
  <c r="AW369" i="1"/>
  <c r="AV369" i="1"/>
  <c r="AX369" i="1"/>
  <c r="BC369" i="1"/>
  <c r="BD369" i="1"/>
  <c r="BF369" i="1"/>
  <c r="BH369" i="1"/>
  <c r="AD369" i="1"/>
  <c r="BI369" i="1"/>
  <c r="AE369" i="1"/>
  <c r="BJ369" i="1"/>
  <c r="K371" i="1"/>
  <c r="M371" i="1"/>
  <c r="AK371" i="1"/>
  <c r="Z371" i="1"/>
  <c r="AB371" i="1"/>
  <c r="AC371" i="1"/>
  <c r="AE371" i="1"/>
  <c r="AF371" i="1"/>
  <c r="AG371" i="1"/>
  <c r="AH371" i="1"/>
  <c r="AJ371" i="1"/>
  <c r="AL371" i="1"/>
  <c r="AO371" i="1"/>
  <c r="AW371" i="1"/>
  <c r="AP371" i="1"/>
  <c r="L371" i="1"/>
  <c r="AX371" i="1"/>
  <c r="BD371" i="1"/>
  <c r="BF371" i="1"/>
  <c r="BH371" i="1"/>
  <c r="AD371" i="1"/>
  <c r="BI371" i="1"/>
  <c r="BJ371" i="1"/>
  <c r="K373" i="1"/>
  <c r="M373" i="1"/>
  <c r="AK373" i="1"/>
  <c r="Z373" i="1"/>
  <c r="AB373" i="1"/>
  <c r="AC373" i="1"/>
  <c r="AF373" i="1"/>
  <c r="AG373" i="1"/>
  <c r="AH373" i="1"/>
  <c r="AJ373" i="1"/>
  <c r="AL373" i="1"/>
  <c r="AO373" i="1"/>
  <c r="AW373" i="1"/>
  <c r="AP373" i="1"/>
  <c r="L373" i="1"/>
  <c r="AX373" i="1"/>
  <c r="BD373" i="1"/>
  <c r="BF373" i="1"/>
  <c r="BH373" i="1"/>
  <c r="AD373" i="1"/>
  <c r="BI373" i="1"/>
  <c r="AE373" i="1"/>
  <c r="BJ373" i="1"/>
  <c r="M375" i="1"/>
  <c r="AK375" i="1"/>
  <c r="Z375" i="1"/>
  <c r="AB375" i="1"/>
  <c r="AC375" i="1"/>
  <c r="AF375" i="1"/>
  <c r="AG375" i="1"/>
  <c r="AH375" i="1"/>
  <c r="AJ375" i="1"/>
  <c r="AL375" i="1"/>
  <c r="AO375" i="1"/>
  <c r="K375" i="1"/>
  <c r="AP375" i="1"/>
  <c r="L375" i="1"/>
  <c r="AX375" i="1"/>
  <c r="BD375" i="1"/>
  <c r="BF375" i="1"/>
  <c r="BH375" i="1"/>
  <c r="AD375" i="1"/>
  <c r="BI375" i="1"/>
  <c r="AE375" i="1"/>
  <c r="BJ375" i="1"/>
  <c r="M377" i="1"/>
  <c r="Z377" i="1"/>
  <c r="AB377" i="1"/>
  <c r="AC377" i="1"/>
  <c r="AF377" i="1"/>
  <c r="AG377" i="1"/>
  <c r="AH377" i="1"/>
  <c r="AJ377" i="1"/>
  <c r="AK377" i="1"/>
  <c r="AL377" i="1"/>
  <c r="AO377" i="1"/>
  <c r="K377" i="1"/>
  <c r="AP377" i="1"/>
  <c r="AX377" i="1"/>
  <c r="AW377" i="1"/>
  <c r="BD377" i="1"/>
  <c r="BF377" i="1"/>
  <c r="BH377" i="1"/>
  <c r="AD377" i="1"/>
  <c r="BJ377" i="1"/>
  <c r="K379" i="1"/>
  <c r="M379" i="1"/>
  <c r="Z379" i="1"/>
  <c r="AB379" i="1"/>
  <c r="AC379" i="1"/>
  <c r="AF379" i="1"/>
  <c r="AG379" i="1"/>
  <c r="AH379" i="1"/>
  <c r="AJ379" i="1"/>
  <c r="AK379" i="1"/>
  <c r="AL379" i="1"/>
  <c r="AO379" i="1"/>
  <c r="AW379" i="1"/>
  <c r="AP379" i="1"/>
  <c r="L379" i="1"/>
  <c r="AX379" i="1"/>
  <c r="BD379" i="1"/>
  <c r="BF379" i="1"/>
  <c r="BH379" i="1"/>
  <c r="AD379" i="1"/>
  <c r="BI379" i="1"/>
  <c r="AE379" i="1"/>
  <c r="BJ379" i="1"/>
  <c r="L381" i="1"/>
  <c r="M381" i="1"/>
  <c r="Z381" i="1"/>
  <c r="AB381" i="1"/>
  <c r="AC381" i="1"/>
  <c r="AF381" i="1"/>
  <c r="AG381" i="1"/>
  <c r="AH381" i="1"/>
  <c r="AJ381" i="1"/>
  <c r="AK381" i="1"/>
  <c r="AL381" i="1"/>
  <c r="AO381" i="1"/>
  <c r="K381" i="1"/>
  <c r="AP381" i="1"/>
  <c r="AX381" i="1"/>
  <c r="BC381" i="1"/>
  <c r="AW381" i="1"/>
  <c r="AV381" i="1"/>
  <c r="BD381" i="1"/>
  <c r="BF381" i="1"/>
  <c r="BH381" i="1"/>
  <c r="AD381" i="1"/>
  <c r="BI381" i="1"/>
  <c r="AE381" i="1"/>
  <c r="BJ381" i="1"/>
  <c r="L383" i="1"/>
  <c r="M383" i="1"/>
  <c r="AK383" i="1"/>
  <c r="Z383" i="1"/>
  <c r="AB383" i="1"/>
  <c r="AC383" i="1"/>
  <c r="AF383" i="1"/>
  <c r="AG383" i="1"/>
  <c r="AH383" i="1"/>
  <c r="AJ383" i="1"/>
  <c r="AL383" i="1"/>
  <c r="AO383" i="1"/>
  <c r="K383" i="1"/>
  <c r="AP383" i="1"/>
  <c r="AW383" i="1"/>
  <c r="BC383" i="1"/>
  <c r="AX383" i="1"/>
  <c r="BD383" i="1"/>
  <c r="BF383" i="1"/>
  <c r="BH383" i="1"/>
  <c r="AD383" i="1"/>
  <c r="BI383" i="1"/>
  <c r="AE383" i="1"/>
  <c r="BJ383" i="1"/>
  <c r="M385" i="1"/>
  <c r="Z385" i="1"/>
  <c r="AB385" i="1"/>
  <c r="AC385" i="1"/>
  <c r="AF385" i="1"/>
  <c r="AG385" i="1"/>
  <c r="AH385" i="1"/>
  <c r="AJ385" i="1"/>
  <c r="AK385" i="1"/>
  <c r="AL385" i="1"/>
  <c r="AO385" i="1"/>
  <c r="K385" i="1"/>
  <c r="AP385" i="1"/>
  <c r="L385" i="1"/>
  <c r="BD385" i="1"/>
  <c r="BF385" i="1"/>
  <c r="BH385" i="1"/>
  <c r="AD385" i="1"/>
  <c r="BJ385" i="1"/>
  <c r="M387" i="1"/>
  <c r="Z387" i="1"/>
  <c r="AB387" i="1"/>
  <c r="AC387" i="1"/>
  <c r="AF387" i="1"/>
  <c r="AG387" i="1"/>
  <c r="AH387" i="1"/>
  <c r="AJ387" i="1"/>
  <c r="AK387" i="1"/>
  <c r="AL387" i="1"/>
  <c r="AO387" i="1"/>
  <c r="K387" i="1"/>
  <c r="AP387" i="1"/>
  <c r="BI387" i="1"/>
  <c r="AE387" i="1"/>
  <c r="BD387" i="1"/>
  <c r="BF387" i="1"/>
  <c r="BJ387" i="1"/>
  <c r="M389" i="1"/>
  <c r="AK389" i="1"/>
  <c r="Z389" i="1"/>
  <c r="AB389" i="1"/>
  <c r="AC389" i="1"/>
  <c r="AF389" i="1"/>
  <c r="AG389" i="1"/>
  <c r="AH389" i="1"/>
  <c r="AJ389" i="1"/>
  <c r="AL389" i="1"/>
  <c r="AO389" i="1"/>
  <c r="K389" i="1"/>
  <c r="AP389" i="1"/>
  <c r="L389" i="1"/>
  <c r="BD389" i="1"/>
  <c r="BF389" i="1"/>
  <c r="BH389" i="1"/>
  <c r="AD389" i="1"/>
  <c r="BI389" i="1"/>
  <c r="AE389" i="1"/>
  <c r="BJ389" i="1"/>
  <c r="K390" i="1"/>
  <c r="M390" i="1"/>
  <c r="Z390" i="1"/>
  <c r="AB390" i="1"/>
  <c r="AC390" i="1"/>
  <c r="AF390" i="1"/>
  <c r="AG390" i="1"/>
  <c r="AH390" i="1"/>
  <c r="AJ390" i="1"/>
  <c r="AK390" i="1"/>
  <c r="AL390" i="1"/>
  <c r="AO390" i="1"/>
  <c r="AW390" i="1"/>
  <c r="AP390" i="1"/>
  <c r="L390" i="1"/>
  <c r="BD390" i="1"/>
  <c r="BF390" i="1"/>
  <c r="BH390" i="1"/>
  <c r="AD390" i="1"/>
  <c r="BI390" i="1"/>
  <c r="AE390" i="1"/>
  <c r="BJ390" i="1"/>
  <c r="L392" i="1"/>
  <c r="M392" i="1"/>
  <c r="Z392" i="1"/>
  <c r="AB392" i="1"/>
  <c r="AC392" i="1"/>
  <c r="AD392" i="1"/>
  <c r="AF392" i="1"/>
  <c r="AG392" i="1"/>
  <c r="AH392" i="1"/>
  <c r="AJ392" i="1"/>
  <c r="AK392" i="1"/>
  <c r="AL392" i="1"/>
  <c r="AO392" i="1"/>
  <c r="K392" i="1"/>
  <c r="AP392" i="1"/>
  <c r="AX392" i="1"/>
  <c r="BD392" i="1"/>
  <c r="BF392" i="1"/>
  <c r="BH392" i="1"/>
  <c r="BI392" i="1"/>
  <c r="AE392" i="1"/>
  <c r="BJ392" i="1"/>
  <c r="L394" i="1"/>
  <c r="M394" i="1"/>
  <c r="AK394" i="1"/>
  <c r="Z394" i="1"/>
  <c r="AB394" i="1"/>
  <c r="AC394" i="1"/>
  <c r="AF394" i="1"/>
  <c r="AG394" i="1"/>
  <c r="AH394" i="1"/>
  <c r="AJ394" i="1"/>
  <c r="AL394" i="1"/>
  <c r="AO394" i="1"/>
  <c r="K394" i="1"/>
  <c r="AP394" i="1"/>
  <c r="AW394" i="1"/>
  <c r="BC394" i="1"/>
  <c r="AX394" i="1"/>
  <c r="BD394" i="1"/>
  <c r="BF394" i="1"/>
  <c r="BH394" i="1"/>
  <c r="AD394" i="1"/>
  <c r="BI394" i="1"/>
  <c r="AE394" i="1"/>
  <c r="BJ394" i="1"/>
  <c r="M396" i="1"/>
  <c r="Z396" i="1"/>
  <c r="AB396" i="1"/>
  <c r="AC396" i="1"/>
  <c r="AF396" i="1"/>
  <c r="AG396" i="1"/>
  <c r="AH396" i="1"/>
  <c r="AJ396" i="1"/>
  <c r="AK396" i="1"/>
  <c r="AL396" i="1"/>
  <c r="AO396" i="1"/>
  <c r="K396" i="1"/>
  <c r="AP396" i="1"/>
  <c r="L396" i="1"/>
  <c r="AX396" i="1"/>
  <c r="BD396" i="1"/>
  <c r="BF396" i="1"/>
  <c r="BH396" i="1"/>
  <c r="AD396" i="1"/>
  <c r="BI396" i="1"/>
  <c r="AE396" i="1"/>
  <c r="BJ396" i="1"/>
  <c r="M398" i="1"/>
  <c r="Z398" i="1"/>
  <c r="AB398" i="1"/>
  <c r="AC398" i="1"/>
  <c r="AF398" i="1"/>
  <c r="AG398" i="1"/>
  <c r="AH398" i="1"/>
  <c r="AJ398" i="1"/>
  <c r="AK398" i="1"/>
  <c r="AL398" i="1"/>
  <c r="AO398" i="1"/>
  <c r="AW398" i="1"/>
  <c r="AP398" i="1"/>
  <c r="L398" i="1"/>
  <c r="BD398" i="1"/>
  <c r="BF398" i="1"/>
  <c r="BH398" i="1"/>
  <c r="AD398" i="1"/>
  <c r="BI398" i="1"/>
  <c r="AE398" i="1"/>
  <c r="BJ398" i="1"/>
  <c r="L399" i="1"/>
  <c r="M399" i="1"/>
  <c r="Z399" i="1"/>
  <c r="AB399" i="1"/>
  <c r="AC399" i="1"/>
  <c r="AF399" i="1"/>
  <c r="AG399" i="1"/>
  <c r="AH399" i="1"/>
  <c r="AJ399" i="1"/>
  <c r="AK399" i="1"/>
  <c r="AL399" i="1"/>
  <c r="AO399" i="1"/>
  <c r="K399" i="1"/>
  <c r="AP399" i="1"/>
  <c r="AW399" i="1"/>
  <c r="AV399" i="1"/>
  <c r="AX399" i="1"/>
  <c r="BC399" i="1"/>
  <c r="BD399" i="1"/>
  <c r="BF399" i="1"/>
  <c r="BH399" i="1"/>
  <c r="AD399" i="1"/>
  <c r="BI399" i="1"/>
  <c r="AE399" i="1"/>
  <c r="BJ399" i="1"/>
  <c r="M400" i="1"/>
  <c r="Z400" i="1"/>
  <c r="AB400" i="1"/>
  <c r="AC400" i="1"/>
  <c r="AF400" i="1"/>
  <c r="AG400" i="1"/>
  <c r="AH400" i="1"/>
  <c r="AJ400" i="1"/>
  <c r="AK400" i="1"/>
  <c r="AL400" i="1"/>
  <c r="AO400" i="1"/>
  <c r="BH400" i="1"/>
  <c r="AD400" i="1"/>
  <c r="AP400" i="1"/>
  <c r="L400" i="1"/>
  <c r="BD400" i="1"/>
  <c r="BF400" i="1"/>
  <c r="BI400" i="1"/>
  <c r="AE400" i="1"/>
  <c r="BJ400" i="1"/>
  <c r="M401" i="1"/>
  <c r="Z401" i="1"/>
  <c r="AB401" i="1"/>
  <c r="AC401" i="1"/>
  <c r="AF401" i="1"/>
  <c r="AG401" i="1"/>
  <c r="AH401" i="1"/>
  <c r="AJ401" i="1"/>
  <c r="AK401" i="1"/>
  <c r="AL401" i="1"/>
  <c r="AO401" i="1"/>
  <c r="K401" i="1"/>
  <c r="AP401" i="1"/>
  <c r="L401" i="1"/>
  <c r="AW401" i="1"/>
  <c r="AV401" i="1"/>
  <c r="AX401" i="1"/>
  <c r="BC401" i="1"/>
  <c r="BD401" i="1"/>
  <c r="BF401" i="1"/>
  <c r="BH401" i="1"/>
  <c r="AD401" i="1"/>
  <c r="BI401" i="1"/>
  <c r="AE401" i="1"/>
  <c r="BJ401" i="1"/>
  <c r="K402" i="1"/>
  <c r="L402" i="1"/>
  <c r="M402" i="1"/>
  <c r="Z402" i="1"/>
  <c r="AB402" i="1"/>
  <c r="AC402" i="1"/>
  <c r="AF402" i="1"/>
  <c r="AG402" i="1"/>
  <c r="AH402" i="1"/>
  <c r="AJ402" i="1"/>
  <c r="AK402" i="1"/>
  <c r="AL402" i="1"/>
  <c r="AO402" i="1"/>
  <c r="AP402" i="1"/>
  <c r="AW402" i="1"/>
  <c r="AX402" i="1"/>
  <c r="AV402" i="1"/>
  <c r="BC402" i="1"/>
  <c r="BD402" i="1"/>
  <c r="BF402" i="1"/>
  <c r="BH402" i="1"/>
  <c r="AD402" i="1"/>
  <c r="BI402" i="1"/>
  <c r="AE402" i="1"/>
  <c r="BJ402" i="1"/>
  <c r="K404" i="1"/>
  <c r="L404" i="1"/>
  <c r="M404" i="1"/>
  <c r="Z404" i="1"/>
  <c r="AB404" i="1"/>
  <c r="AC404" i="1"/>
  <c r="AF404" i="1"/>
  <c r="AG404" i="1"/>
  <c r="AH404" i="1"/>
  <c r="AJ404" i="1"/>
  <c r="AK404" i="1"/>
  <c r="AL404" i="1"/>
  <c r="AO404" i="1"/>
  <c r="AP404" i="1"/>
  <c r="AW404" i="1"/>
  <c r="AV404" i="1"/>
  <c r="AX404" i="1"/>
  <c r="BC404" i="1"/>
  <c r="BD404" i="1"/>
  <c r="BF404" i="1"/>
  <c r="BH404" i="1"/>
  <c r="AD404" i="1"/>
  <c r="BI404" i="1"/>
  <c r="AE404" i="1"/>
  <c r="BJ404" i="1"/>
  <c r="M405" i="1"/>
  <c r="AB405" i="1"/>
  <c r="AC405" i="1"/>
  <c r="AD405" i="1"/>
  <c r="AE405" i="1"/>
  <c r="AF405" i="1"/>
  <c r="AG405" i="1"/>
  <c r="AH405" i="1"/>
  <c r="AJ405" i="1"/>
  <c r="AK405" i="1"/>
  <c r="AL405" i="1"/>
  <c r="AO405" i="1"/>
  <c r="K405" i="1"/>
  <c r="AP405" i="1"/>
  <c r="L405" i="1"/>
  <c r="BD405" i="1"/>
  <c r="BF405" i="1"/>
  <c r="BH405" i="1"/>
  <c r="BI405" i="1"/>
  <c r="BJ405" i="1"/>
  <c r="Z405" i="1"/>
  <c r="M407" i="1"/>
  <c r="Z407" i="1"/>
  <c r="AB407" i="1"/>
  <c r="AC407" i="1"/>
  <c r="AF407" i="1"/>
  <c r="AG407" i="1"/>
  <c r="AH407" i="1"/>
  <c r="AJ407" i="1"/>
  <c r="AK407" i="1"/>
  <c r="AL407" i="1"/>
  <c r="AO407" i="1"/>
  <c r="K407" i="1"/>
  <c r="AP407" i="1"/>
  <c r="L407" i="1"/>
  <c r="BD407" i="1"/>
  <c r="BF407" i="1"/>
  <c r="BH407" i="1"/>
  <c r="AD407" i="1"/>
  <c r="BI407" i="1"/>
  <c r="AE407" i="1"/>
  <c r="BJ407" i="1"/>
  <c r="M409" i="1"/>
  <c r="Z409" i="1"/>
  <c r="AB409" i="1"/>
  <c r="AC409" i="1"/>
  <c r="AF409" i="1"/>
  <c r="AG409" i="1"/>
  <c r="AH409" i="1"/>
  <c r="AJ409" i="1"/>
  <c r="AK409" i="1"/>
  <c r="AL409" i="1"/>
  <c r="AO409" i="1"/>
  <c r="AW409" i="1"/>
  <c r="AP409" i="1"/>
  <c r="L409" i="1"/>
  <c r="BD409" i="1"/>
  <c r="BF409" i="1"/>
  <c r="BJ409" i="1"/>
  <c r="K411" i="1"/>
  <c r="L411" i="1"/>
  <c r="M411" i="1"/>
  <c r="AK411" i="1"/>
  <c r="Z411" i="1"/>
  <c r="AB411" i="1"/>
  <c r="AC411" i="1"/>
  <c r="AF411" i="1"/>
  <c r="AG411" i="1"/>
  <c r="AH411" i="1"/>
  <c r="AJ411" i="1"/>
  <c r="AL411" i="1"/>
  <c r="AO411" i="1"/>
  <c r="AP411" i="1"/>
  <c r="BI411" i="1"/>
  <c r="AE411" i="1"/>
  <c r="AW411" i="1"/>
  <c r="BC411" i="1"/>
  <c r="AX411" i="1"/>
  <c r="BD411" i="1"/>
  <c r="BF411" i="1"/>
  <c r="BH411" i="1"/>
  <c r="AD411" i="1"/>
  <c r="BJ411" i="1"/>
  <c r="L414" i="1"/>
  <c r="M414" i="1"/>
  <c r="AK414" i="1"/>
  <c r="Z414" i="1"/>
  <c r="AB414" i="1"/>
  <c r="AC414" i="1"/>
  <c r="AF414" i="1"/>
  <c r="AG414" i="1"/>
  <c r="AH414" i="1"/>
  <c r="AJ414" i="1"/>
  <c r="AL414" i="1"/>
  <c r="AO414" i="1"/>
  <c r="K414" i="1"/>
  <c r="AP414" i="1"/>
  <c r="AW414" i="1"/>
  <c r="BC414" i="1"/>
  <c r="AX414" i="1"/>
  <c r="BD414" i="1"/>
  <c r="BF414" i="1"/>
  <c r="BH414" i="1"/>
  <c r="AD414" i="1"/>
  <c r="BI414" i="1"/>
  <c r="AE414" i="1"/>
  <c r="BJ414" i="1"/>
  <c r="K416" i="1"/>
  <c r="L416" i="1"/>
  <c r="M416" i="1"/>
  <c r="AK416" i="1"/>
  <c r="Z416" i="1"/>
  <c r="AB416" i="1"/>
  <c r="AC416" i="1"/>
  <c r="AF416" i="1"/>
  <c r="AG416" i="1"/>
  <c r="AH416" i="1"/>
  <c r="AJ416" i="1"/>
  <c r="AL416" i="1"/>
  <c r="AO416" i="1"/>
  <c r="AP416" i="1"/>
  <c r="AW416" i="1"/>
  <c r="AV416" i="1"/>
  <c r="AX416" i="1"/>
  <c r="BD416" i="1"/>
  <c r="BF416" i="1"/>
  <c r="BH416" i="1"/>
  <c r="AD416" i="1"/>
  <c r="BI416" i="1"/>
  <c r="AE416" i="1"/>
  <c r="BJ416" i="1"/>
  <c r="K418" i="1"/>
  <c r="L418" i="1"/>
  <c r="M418" i="1"/>
  <c r="AK418" i="1"/>
  <c r="Z418" i="1"/>
  <c r="AB418" i="1"/>
  <c r="AC418" i="1"/>
  <c r="AF418" i="1"/>
  <c r="AG418" i="1"/>
  <c r="AH418" i="1"/>
  <c r="AJ418" i="1"/>
  <c r="AL418" i="1"/>
  <c r="AO418" i="1"/>
  <c r="AP418" i="1"/>
  <c r="AW418" i="1"/>
  <c r="AV418" i="1"/>
  <c r="AX418" i="1"/>
  <c r="BC418" i="1"/>
  <c r="BD418" i="1"/>
  <c r="BF418" i="1"/>
  <c r="BH418" i="1"/>
  <c r="AD418" i="1"/>
  <c r="BI418" i="1"/>
  <c r="AE418" i="1"/>
  <c r="BJ418" i="1"/>
  <c r="M419" i="1"/>
  <c r="Z419" i="1"/>
  <c r="AB419" i="1"/>
  <c r="AC419" i="1"/>
  <c r="AF419" i="1"/>
  <c r="AG419" i="1"/>
  <c r="AH419" i="1"/>
  <c r="AJ419" i="1"/>
  <c r="AK419" i="1"/>
  <c r="AL419" i="1"/>
  <c r="AO419" i="1"/>
  <c r="K419" i="1"/>
  <c r="AP419" i="1"/>
  <c r="AX419" i="1"/>
  <c r="BD419" i="1"/>
  <c r="BF419" i="1"/>
  <c r="BH419" i="1"/>
  <c r="AD419" i="1"/>
  <c r="BJ419" i="1"/>
  <c r="M421" i="1"/>
  <c r="Z421" i="1"/>
  <c r="AB421" i="1"/>
  <c r="AC421" i="1"/>
  <c r="AF421" i="1"/>
  <c r="AG421" i="1"/>
  <c r="AH421" i="1"/>
  <c r="AJ421" i="1"/>
  <c r="AK421" i="1"/>
  <c r="AL421" i="1"/>
  <c r="AO421" i="1"/>
  <c r="K421" i="1"/>
  <c r="AP421" i="1"/>
  <c r="L421" i="1"/>
  <c r="BD421" i="1"/>
  <c r="BF421" i="1"/>
  <c r="BI421" i="1"/>
  <c r="AE421" i="1"/>
  <c r="BJ421" i="1"/>
  <c r="M423" i="1"/>
  <c r="AK423" i="1"/>
  <c r="Z423" i="1"/>
  <c r="AB423" i="1"/>
  <c r="AC423" i="1"/>
  <c r="AF423" i="1"/>
  <c r="AG423" i="1"/>
  <c r="AH423" i="1"/>
  <c r="AJ423" i="1"/>
  <c r="AL423" i="1"/>
  <c r="AO423" i="1"/>
  <c r="K423" i="1"/>
  <c r="AP423" i="1"/>
  <c r="L423" i="1"/>
  <c r="AX423" i="1"/>
  <c r="BD423" i="1"/>
  <c r="BF423" i="1"/>
  <c r="BH423" i="1"/>
  <c r="AD423" i="1"/>
  <c r="BI423" i="1"/>
  <c r="AE423" i="1"/>
  <c r="BJ423" i="1"/>
  <c r="M425" i="1"/>
  <c r="Z425" i="1"/>
  <c r="AB425" i="1"/>
  <c r="AC425" i="1"/>
  <c r="AF425" i="1"/>
  <c r="AG425" i="1"/>
  <c r="AH425" i="1"/>
  <c r="AJ425" i="1"/>
  <c r="AK425" i="1"/>
  <c r="AL425" i="1"/>
  <c r="AO425" i="1"/>
  <c r="K425" i="1"/>
  <c r="AP425" i="1"/>
  <c r="L425" i="1"/>
  <c r="BD425" i="1"/>
  <c r="BF425" i="1"/>
  <c r="BH425" i="1"/>
  <c r="AD425" i="1"/>
  <c r="BI425" i="1"/>
  <c r="AE425" i="1"/>
  <c r="BJ425" i="1"/>
  <c r="M426" i="1"/>
  <c r="AK426" i="1"/>
  <c r="Z426" i="1"/>
  <c r="AB426" i="1"/>
  <c r="AC426" i="1"/>
  <c r="AF426" i="1"/>
  <c r="AG426" i="1"/>
  <c r="AH426" i="1"/>
  <c r="AJ426" i="1"/>
  <c r="AL426" i="1"/>
  <c r="AO426" i="1"/>
  <c r="K426" i="1"/>
  <c r="AP426" i="1"/>
  <c r="AX426" i="1"/>
  <c r="AW426" i="1"/>
  <c r="BD426" i="1"/>
  <c r="BF426" i="1"/>
  <c r="BH426" i="1"/>
  <c r="AD426" i="1"/>
  <c r="BJ426" i="1"/>
  <c r="L428" i="1"/>
  <c r="M428" i="1"/>
  <c r="AK428" i="1"/>
  <c r="Z428" i="1"/>
  <c r="AB428" i="1"/>
  <c r="AC428" i="1"/>
  <c r="AF428" i="1"/>
  <c r="AG428" i="1"/>
  <c r="AH428" i="1"/>
  <c r="AJ428" i="1"/>
  <c r="AL428" i="1"/>
  <c r="AO428" i="1"/>
  <c r="K428" i="1"/>
  <c r="AP428" i="1"/>
  <c r="AW428" i="1"/>
  <c r="AV428" i="1"/>
  <c r="AX428" i="1"/>
  <c r="BD428" i="1"/>
  <c r="BF428" i="1"/>
  <c r="BH428" i="1"/>
  <c r="AD428" i="1"/>
  <c r="BI428" i="1"/>
  <c r="AE428" i="1"/>
  <c r="BJ428" i="1"/>
  <c r="K430" i="1"/>
  <c r="M430" i="1"/>
  <c r="Z430" i="1"/>
  <c r="AB430" i="1"/>
  <c r="AC430" i="1"/>
  <c r="AF430" i="1"/>
  <c r="AG430" i="1"/>
  <c r="AH430" i="1"/>
  <c r="AJ430" i="1"/>
  <c r="AK430" i="1"/>
  <c r="AL430" i="1"/>
  <c r="AO430" i="1"/>
  <c r="AP430" i="1"/>
  <c r="L430" i="1"/>
  <c r="AV430" i="1"/>
  <c r="AW430" i="1"/>
  <c r="BC430" i="1"/>
  <c r="AX430" i="1"/>
  <c r="BD430" i="1"/>
  <c r="BF430" i="1"/>
  <c r="BH430" i="1"/>
  <c r="AD430" i="1"/>
  <c r="BI430" i="1"/>
  <c r="AE430" i="1"/>
  <c r="BJ430" i="1"/>
  <c r="M432" i="1"/>
  <c r="Z432" i="1"/>
  <c r="AB432" i="1"/>
  <c r="AC432" i="1"/>
  <c r="AF432" i="1"/>
  <c r="AG432" i="1"/>
  <c r="AH432" i="1"/>
  <c r="AJ432" i="1"/>
  <c r="AK432" i="1"/>
  <c r="AL432" i="1"/>
  <c r="AO432" i="1"/>
  <c r="K432" i="1"/>
  <c r="AP432" i="1"/>
  <c r="L432" i="1"/>
  <c r="AX432" i="1"/>
  <c r="BD432" i="1"/>
  <c r="BF432" i="1"/>
  <c r="BH432" i="1"/>
  <c r="AD432" i="1"/>
  <c r="BI432" i="1"/>
  <c r="AE432" i="1"/>
  <c r="BJ432" i="1"/>
  <c r="K433" i="1"/>
  <c r="M433" i="1"/>
  <c r="Z433" i="1"/>
  <c r="AB433" i="1"/>
  <c r="AC433" i="1"/>
  <c r="AF433" i="1"/>
  <c r="AG433" i="1"/>
  <c r="AH433" i="1"/>
  <c r="AJ433" i="1"/>
  <c r="AK433" i="1"/>
  <c r="AL433" i="1"/>
  <c r="AO433" i="1"/>
  <c r="AW433" i="1"/>
  <c r="AP433" i="1"/>
  <c r="L433" i="1"/>
  <c r="BD433" i="1"/>
  <c r="BF433" i="1"/>
  <c r="BH433" i="1"/>
  <c r="AD433" i="1"/>
  <c r="BI433" i="1"/>
  <c r="AE433" i="1"/>
  <c r="BJ433" i="1"/>
  <c r="K435" i="1"/>
  <c r="M435" i="1"/>
  <c r="Z435" i="1"/>
  <c r="AB435" i="1"/>
  <c r="AC435" i="1"/>
  <c r="AD435" i="1"/>
  <c r="AE435" i="1"/>
  <c r="AF435" i="1"/>
  <c r="AG435" i="1"/>
  <c r="AH435" i="1"/>
  <c r="AJ435" i="1"/>
  <c r="AK435" i="1"/>
  <c r="AL435" i="1"/>
  <c r="AO435" i="1"/>
  <c r="AW435" i="1"/>
  <c r="AP435" i="1"/>
  <c r="L435" i="1"/>
  <c r="BD435" i="1"/>
  <c r="BF435" i="1"/>
  <c r="BH435" i="1"/>
  <c r="BI435" i="1"/>
  <c r="BJ435" i="1"/>
  <c r="M437" i="1"/>
  <c r="Z437" i="1"/>
  <c r="AB437" i="1"/>
  <c r="AC437" i="1"/>
  <c r="AE437" i="1"/>
  <c r="AF437" i="1"/>
  <c r="AG437" i="1"/>
  <c r="AH437" i="1"/>
  <c r="AJ437" i="1"/>
  <c r="AK437" i="1"/>
  <c r="AL437" i="1"/>
  <c r="AO437" i="1"/>
  <c r="K437" i="1"/>
  <c r="AP437" i="1"/>
  <c r="L437" i="1"/>
  <c r="BD437" i="1"/>
  <c r="BF437" i="1"/>
  <c r="BH437" i="1"/>
  <c r="AD437" i="1"/>
  <c r="BI437" i="1"/>
  <c r="BJ437" i="1"/>
  <c r="K439" i="1"/>
  <c r="L439" i="1"/>
  <c r="M439" i="1"/>
  <c r="AK439" i="1"/>
  <c r="Z439" i="1"/>
  <c r="AB439" i="1"/>
  <c r="AC439" i="1"/>
  <c r="AF439" i="1"/>
  <c r="AG439" i="1"/>
  <c r="AH439" i="1"/>
  <c r="AJ439" i="1"/>
  <c r="AL439" i="1"/>
  <c r="AO439" i="1"/>
  <c r="AW439" i="1"/>
  <c r="AP439" i="1"/>
  <c r="AX439" i="1"/>
  <c r="BD439" i="1"/>
  <c r="BF439" i="1"/>
  <c r="BH439" i="1"/>
  <c r="AD439" i="1"/>
  <c r="BI439" i="1"/>
  <c r="AE439" i="1"/>
  <c r="BJ439" i="1"/>
  <c r="M442" i="1"/>
  <c r="AB442" i="1"/>
  <c r="AC442" i="1"/>
  <c r="AD442" i="1"/>
  <c r="AE442" i="1"/>
  <c r="AF442" i="1"/>
  <c r="AG442" i="1"/>
  <c r="AH442" i="1"/>
  <c r="AJ442" i="1"/>
  <c r="AK442" i="1"/>
  <c r="AL442" i="1"/>
  <c r="AO442" i="1"/>
  <c r="K442" i="1"/>
  <c r="AP442" i="1"/>
  <c r="L442" i="1"/>
  <c r="AW442" i="1"/>
  <c r="BD442" i="1"/>
  <c r="BF442" i="1"/>
  <c r="BH442" i="1"/>
  <c r="BI442" i="1"/>
  <c r="BJ442" i="1"/>
  <c r="Z442" i="1"/>
  <c r="M444" i="1"/>
  <c r="Z444" i="1"/>
  <c r="AB444" i="1"/>
  <c r="AC444" i="1"/>
  <c r="AF444" i="1"/>
  <c r="AG444" i="1"/>
  <c r="AH444" i="1"/>
  <c r="AJ444" i="1"/>
  <c r="AL444" i="1"/>
  <c r="AO444" i="1"/>
  <c r="K444" i="1"/>
  <c r="AP444" i="1"/>
  <c r="L444" i="1"/>
  <c r="AX444" i="1"/>
  <c r="BD444" i="1"/>
  <c r="BF444" i="1"/>
  <c r="BI444" i="1"/>
  <c r="AE444" i="1"/>
  <c r="BJ444" i="1"/>
  <c r="L446" i="1"/>
  <c r="M446" i="1"/>
  <c r="AK446" i="1"/>
  <c r="Z446" i="1"/>
  <c r="AB446" i="1"/>
  <c r="AC446" i="1"/>
  <c r="AF446" i="1"/>
  <c r="AG446" i="1"/>
  <c r="AH446" i="1"/>
  <c r="AJ446" i="1"/>
  <c r="AL446" i="1"/>
  <c r="AO446" i="1"/>
  <c r="K446" i="1"/>
  <c r="AP446" i="1"/>
  <c r="AW446" i="1"/>
  <c r="AV446" i="1"/>
  <c r="AX446" i="1"/>
  <c r="BC446" i="1"/>
  <c r="BD446" i="1"/>
  <c r="BF446" i="1"/>
  <c r="BH446" i="1"/>
  <c r="AD446" i="1"/>
  <c r="BI446" i="1"/>
  <c r="AE446" i="1"/>
  <c r="BJ446" i="1"/>
  <c r="M449" i="1"/>
  <c r="Z449" i="1"/>
  <c r="AB449" i="1"/>
  <c r="AC449" i="1"/>
  <c r="AF449" i="1"/>
  <c r="AG449" i="1"/>
  <c r="AH449" i="1"/>
  <c r="AJ449" i="1"/>
  <c r="AK449" i="1"/>
  <c r="AL449" i="1"/>
  <c r="AO449" i="1"/>
  <c r="AW449" i="1"/>
  <c r="AP449" i="1"/>
  <c r="L449" i="1"/>
  <c r="AX449" i="1"/>
  <c r="BD449" i="1"/>
  <c r="BF449" i="1"/>
  <c r="BH449" i="1"/>
  <c r="AD449" i="1"/>
  <c r="BI449" i="1"/>
  <c r="AE449" i="1"/>
  <c r="BJ449" i="1"/>
  <c r="L451" i="1"/>
  <c r="M451" i="1"/>
  <c r="Z451" i="1"/>
  <c r="AB451" i="1"/>
  <c r="AC451" i="1"/>
  <c r="AF451" i="1"/>
  <c r="AG451" i="1"/>
  <c r="AH451" i="1"/>
  <c r="AJ451" i="1"/>
  <c r="AK451" i="1"/>
  <c r="AL451" i="1"/>
  <c r="AO451" i="1"/>
  <c r="K451" i="1"/>
  <c r="AP451" i="1"/>
  <c r="AX451" i="1"/>
  <c r="BD451" i="1"/>
  <c r="BF451" i="1"/>
  <c r="BH451" i="1"/>
  <c r="AD451" i="1"/>
  <c r="BI451" i="1"/>
  <c r="AE451" i="1"/>
  <c r="BJ451" i="1"/>
  <c r="L452" i="1"/>
  <c r="M452" i="1"/>
  <c r="Z452" i="1"/>
  <c r="AB452" i="1"/>
  <c r="AC452" i="1"/>
  <c r="AF452" i="1"/>
  <c r="AG452" i="1"/>
  <c r="AH452" i="1"/>
  <c r="AJ452" i="1"/>
  <c r="AK452" i="1"/>
  <c r="AL452" i="1"/>
  <c r="AO452" i="1"/>
  <c r="K452" i="1"/>
  <c r="AP452" i="1"/>
  <c r="AX452" i="1"/>
  <c r="BC452" i="1"/>
  <c r="AW452" i="1"/>
  <c r="BD452" i="1"/>
  <c r="BF452" i="1"/>
  <c r="BH452" i="1"/>
  <c r="AD452" i="1"/>
  <c r="BI452" i="1"/>
  <c r="AE452" i="1"/>
  <c r="BJ452" i="1"/>
  <c r="K453" i="1"/>
  <c r="M453" i="1"/>
  <c r="Z453" i="1"/>
  <c r="AB453" i="1"/>
  <c r="AC453" i="1"/>
  <c r="AF453" i="1"/>
  <c r="AG453" i="1"/>
  <c r="AH453" i="1"/>
  <c r="AJ453" i="1"/>
  <c r="AK453" i="1"/>
  <c r="AL453" i="1"/>
  <c r="AO453" i="1"/>
  <c r="AP453" i="1"/>
  <c r="L453" i="1"/>
  <c r="AV453" i="1"/>
  <c r="AW453" i="1"/>
  <c r="AX453" i="1"/>
  <c r="BC453" i="1"/>
  <c r="BD453" i="1"/>
  <c r="BF453" i="1"/>
  <c r="BH453" i="1"/>
  <c r="AD453" i="1"/>
  <c r="BI453" i="1"/>
  <c r="AE453" i="1"/>
  <c r="BJ453" i="1"/>
  <c r="M454" i="1"/>
  <c r="Z454" i="1"/>
  <c r="AB454" i="1"/>
  <c r="AC454" i="1"/>
  <c r="AF454" i="1"/>
  <c r="AG454" i="1"/>
  <c r="AH454" i="1"/>
  <c r="AJ454" i="1"/>
  <c r="AK454" i="1"/>
  <c r="AL454" i="1"/>
  <c r="AO454" i="1"/>
  <c r="BH454" i="1"/>
  <c r="AD454" i="1"/>
  <c r="AP454" i="1"/>
  <c r="AX454" i="1"/>
  <c r="BD454" i="1"/>
  <c r="BF454" i="1"/>
  <c r="BJ454" i="1"/>
  <c r="K457" i="1"/>
  <c r="L457" i="1"/>
  <c r="M457" i="1"/>
  <c r="AB457" i="1"/>
  <c r="AC457" i="1"/>
  <c r="AD457" i="1"/>
  <c r="AE457" i="1"/>
  <c r="AF457" i="1"/>
  <c r="AG457" i="1"/>
  <c r="AH457" i="1"/>
  <c r="AJ457" i="1"/>
  <c r="AK457" i="1"/>
  <c r="AL457" i="1"/>
  <c r="AO457" i="1"/>
  <c r="AP457" i="1"/>
  <c r="AX457" i="1"/>
  <c r="AW457" i="1"/>
  <c r="BD457" i="1"/>
  <c r="BF457" i="1"/>
  <c r="BH457" i="1"/>
  <c r="BI457" i="1"/>
  <c r="BJ457" i="1"/>
  <c r="Z457" i="1"/>
  <c r="M459" i="1"/>
  <c r="Z459" i="1"/>
  <c r="AB459" i="1"/>
  <c r="AC459" i="1"/>
  <c r="AF459" i="1"/>
  <c r="AG459" i="1"/>
  <c r="AH459" i="1"/>
  <c r="AJ459" i="1"/>
  <c r="AK459" i="1"/>
  <c r="AL459" i="1"/>
  <c r="AO459" i="1"/>
  <c r="K459" i="1"/>
  <c r="AP459" i="1"/>
  <c r="L459" i="1"/>
  <c r="BD459" i="1"/>
  <c r="BF459" i="1"/>
  <c r="BI459" i="1"/>
  <c r="AE459" i="1"/>
  <c r="BJ459" i="1"/>
  <c r="M461" i="1"/>
  <c r="AK461" i="1"/>
  <c r="Z461" i="1"/>
  <c r="AB461" i="1"/>
  <c r="AC461" i="1"/>
  <c r="AF461" i="1"/>
  <c r="AG461" i="1"/>
  <c r="AH461" i="1"/>
  <c r="AJ461" i="1"/>
  <c r="AL461" i="1"/>
  <c r="AO461" i="1"/>
  <c r="BH461" i="1"/>
  <c r="AD461" i="1"/>
  <c r="AP461" i="1"/>
  <c r="L461" i="1"/>
  <c r="AX461" i="1"/>
  <c r="BD461" i="1"/>
  <c r="BF461" i="1"/>
  <c r="BI461" i="1"/>
  <c r="AE461" i="1"/>
  <c r="BJ461" i="1"/>
  <c r="M463" i="1"/>
  <c r="Z463" i="1"/>
  <c r="AB463" i="1"/>
  <c r="AC463" i="1"/>
  <c r="AD463" i="1"/>
  <c r="AF463" i="1"/>
  <c r="AG463" i="1"/>
  <c r="AH463" i="1"/>
  <c r="AJ463" i="1"/>
  <c r="AK463" i="1"/>
  <c r="AL463" i="1"/>
  <c r="AO463" i="1"/>
  <c r="K463" i="1"/>
  <c r="AP463" i="1"/>
  <c r="L463" i="1"/>
  <c r="BD463" i="1"/>
  <c r="BF463" i="1"/>
  <c r="BH463" i="1"/>
  <c r="BI463" i="1"/>
  <c r="AE463" i="1"/>
  <c r="BJ463" i="1"/>
  <c r="M465" i="1"/>
  <c r="AK465" i="1"/>
  <c r="Z465" i="1"/>
  <c r="AB465" i="1"/>
  <c r="AC465" i="1"/>
  <c r="AF465" i="1"/>
  <c r="AG465" i="1"/>
  <c r="AH465" i="1"/>
  <c r="AJ465" i="1"/>
  <c r="AL465" i="1"/>
  <c r="AO465" i="1"/>
  <c r="K465" i="1"/>
  <c r="AP465" i="1"/>
  <c r="AX465" i="1"/>
  <c r="AW465" i="1"/>
  <c r="BD465" i="1"/>
  <c r="BF465" i="1"/>
  <c r="BH465" i="1"/>
  <c r="AD465" i="1"/>
  <c r="BJ465" i="1"/>
  <c r="M466" i="1"/>
  <c r="Z466" i="1"/>
  <c r="AB466" i="1"/>
  <c r="AC466" i="1"/>
  <c r="AF466" i="1"/>
  <c r="AG466" i="1"/>
  <c r="AH466" i="1"/>
  <c r="AJ466" i="1"/>
  <c r="AK466" i="1"/>
  <c r="AL466" i="1"/>
  <c r="AO466" i="1"/>
  <c r="K466" i="1"/>
  <c r="AP466" i="1"/>
  <c r="L466" i="1"/>
  <c r="BD466" i="1"/>
  <c r="BF466" i="1"/>
  <c r="BH466" i="1"/>
  <c r="AD466" i="1"/>
  <c r="BI466" i="1"/>
  <c r="AE466" i="1"/>
  <c r="BJ466" i="1"/>
  <c r="M468" i="1"/>
  <c r="Z468" i="1"/>
  <c r="AB468" i="1"/>
  <c r="AC468" i="1"/>
  <c r="AF468" i="1"/>
  <c r="AG468" i="1"/>
  <c r="AH468" i="1"/>
  <c r="AJ468" i="1"/>
  <c r="AK468" i="1"/>
  <c r="AL468" i="1"/>
  <c r="AO468" i="1"/>
  <c r="K468" i="1"/>
  <c r="AP468" i="1"/>
  <c r="L468" i="1"/>
  <c r="BD468" i="1"/>
  <c r="BF468" i="1"/>
  <c r="BH468" i="1"/>
  <c r="AD468" i="1"/>
  <c r="BI468" i="1"/>
  <c r="AE468" i="1"/>
  <c r="BJ468" i="1"/>
  <c r="L469" i="1"/>
  <c r="M469" i="1"/>
  <c r="AK469" i="1"/>
  <c r="Z469" i="1"/>
  <c r="AB469" i="1"/>
  <c r="AC469" i="1"/>
  <c r="AF469" i="1"/>
  <c r="AG469" i="1"/>
  <c r="AH469" i="1"/>
  <c r="AJ469" i="1"/>
  <c r="AL469" i="1"/>
  <c r="AO469" i="1"/>
  <c r="K469" i="1"/>
  <c r="AP469" i="1"/>
  <c r="AW469" i="1"/>
  <c r="BC469" i="1"/>
  <c r="AX469" i="1"/>
  <c r="BD469" i="1"/>
  <c r="BF469" i="1"/>
  <c r="BH469" i="1"/>
  <c r="AD469" i="1"/>
  <c r="BI469" i="1"/>
  <c r="AE469" i="1"/>
  <c r="BJ469" i="1"/>
  <c r="K471" i="1"/>
  <c r="M471" i="1"/>
  <c r="AK471" i="1"/>
  <c r="AB471" i="1"/>
  <c r="AC471" i="1"/>
  <c r="AD471" i="1"/>
  <c r="AE471" i="1"/>
  <c r="AF471" i="1"/>
  <c r="AG471" i="1"/>
  <c r="AH471" i="1"/>
  <c r="AJ471" i="1"/>
  <c r="AL471" i="1"/>
  <c r="AO471" i="1"/>
  <c r="AP471" i="1"/>
  <c r="L471" i="1"/>
  <c r="AW471" i="1"/>
  <c r="BD471" i="1"/>
  <c r="BF471" i="1"/>
  <c r="BH471" i="1"/>
  <c r="BJ471" i="1"/>
  <c r="Z471" i="1"/>
  <c r="M473" i="1"/>
  <c r="Z473" i="1"/>
  <c r="AB473" i="1"/>
  <c r="AC473" i="1"/>
  <c r="AF473" i="1"/>
  <c r="AG473" i="1"/>
  <c r="AH473" i="1"/>
  <c r="AJ473" i="1"/>
  <c r="AK473" i="1"/>
  <c r="AL473" i="1"/>
  <c r="AO473" i="1"/>
  <c r="K473" i="1"/>
  <c r="AP473" i="1"/>
  <c r="L473" i="1"/>
  <c r="AW473" i="1"/>
  <c r="BD473" i="1"/>
  <c r="BF473" i="1"/>
  <c r="BH473" i="1"/>
  <c r="AD473" i="1"/>
  <c r="BJ473" i="1"/>
  <c r="L476" i="1"/>
  <c r="M476" i="1"/>
  <c r="AK476" i="1"/>
  <c r="Z476" i="1"/>
  <c r="AB476" i="1"/>
  <c r="AC476" i="1"/>
  <c r="AF476" i="1"/>
  <c r="AG476" i="1"/>
  <c r="AH476" i="1"/>
  <c r="AJ476" i="1"/>
  <c r="AL476" i="1"/>
  <c r="AO476" i="1"/>
  <c r="K476" i="1"/>
  <c r="AP476" i="1"/>
  <c r="AW476" i="1"/>
  <c r="AV476" i="1"/>
  <c r="AX476" i="1"/>
  <c r="BD476" i="1"/>
  <c r="BF476" i="1"/>
  <c r="BH476" i="1"/>
  <c r="AD476" i="1"/>
  <c r="BI476" i="1"/>
  <c r="AE476" i="1"/>
  <c r="BJ476" i="1"/>
  <c r="M478" i="1"/>
  <c r="Z478" i="1"/>
  <c r="AB478" i="1"/>
  <c r="AC478" i="1"/>
  <c r="AF478" i="1"/>
  <c r="AG478" i="1"/>
  <c r="AH478" i="1"/>
  <c r="AJ478" i="1"/>
  <c r="AK478" i="1"/>
  <c r="AL478" i="1"/>
  <c r="AO478" i="1"/>
  <c r="K478" i="1"/>
  <c r="AP478" i="1"/>
  <c r="AX478" i="1"/>
  <c r="BD478" i="1"/>
  <c r="BF478" i="1"/>
  <c r="BH478" i="1"/>
  <c r="AD478" i="1"/>
  <c r="BJ478" i="1"/>
  <c r="K479" i="1"/>
  <c r="M479" i="1"/>
  <c r="Z479" i="1"/>
  <c r="AB479" i="1"/>
  <c r="AC479" i="1"/>
  <c r="AF479" i="1"/>
  <c r="AG479" i="1"/>
  <c r="AH479" i="1"/>
  <c r="AJ479" i="1"/>
  <c r="AK479" i="1"/>
  <c r="AL479" i="1"/>
  <c r="AO479" i="1"/>
  <c r="AW479" i="1"/>
  <c r="AP479" i="1"/>
  <c r="L479" i="1"/>
  <c r="BD479" i="1"/>
  <c r="BF479" i="1"/>
  <c r="BH479" i="1"/>
  <c r="AD479" i="1"/>
  <c r="BJ479" i="1"/>
  <c r="M481" i="1"/>
  <c r="AB481" i="1"/>
  <c r="AC481" i="1"/>
  <c r="AD481" i="1"/>
  <c r="AE481" i="1"/>
  <c r="AF481" i="1"/>
  <c r="AG481" i="1"/>
  <c r="AH481" i="1"/>
  <c r="AJ481" i="1"/>
  <c r="AK481" i="1"/>
  <c r="AL481" i="1"/>
  <c r="AO481" i="1"/>
  <c r="K481" i="1"/>
  <c r="AP481" i="1"/>
  <c r="L481" i="1"/>
  <c r="AW481" i="1"/>
  <c r="BD481" i="1"/>
  <c r="BF481" i="1"/>
  <c r="BH481" i="1"/>
  <c r="BI481" i="1"/>
  <c r="BJ481" i="1"/>
  <c r="Z481" i="1"/>
  <c r="L483" i="1"/>
  <c r="M483" i="1"/>
  <c r="Z483" i="1"/>
  <c r="AB483" i="1"/>
  <c r="AC483" i="1"/>
  <c r="AF483" i="1"/>
  <c r="AG483" i="1"/>
  <c r="AH483" i="1"/>
  <c r="AJ483" i="1"/>
  <c r="AK483" i="1"/>
  <c r="AL483" i="1"/>
  <c r="AO483" i="1"/>
  <c r="AW483" i="1"/>
  <c r="AP483" i="1"/>
  <c r="AX483" i="1"/>
  <c r="BD483" i="1"/>
  <c r="BF483" i="1"/>
  <c r="BH483" i="1"/>
  <c r="AD483" i="1"/>
  <c r="BI483" i="1"/>
  <c r="AE483" i="1"/>
  <c r="BJ483" i="1"/>
  <c r="M485" i="1"/>
  <c r="M482" i="1"/>
  <c r="G36" i="3"/>
  <c r="I36" i="3"/>
  <c r="Z485" i="1"/>
  <c r="AB485" i="1"/>
  <c r="AC485" i="1"/>
  <c r="AF485" i="1"/>
  <c r="AG485" i="1"/>
  <c r="AH485" i="1"/>
  <c r="AJ485" i="1"/>
  <c r="AS482" i="1"/>
  <c r="AL485" i="1"/>
  <c r="AO485" i="1"/>
  <c r="BH485" i="1"/>
  <c r="AD485" i="1"/>
  <c r="AP485" i="1"/>
  <c r="L485" i="1"/>
  <c r="AX485" i="1"/>
  <c r="BD485" i="1"/>
  <c r="BF485" i="1"/>
  <c r="BI485" i="1"/>
  <c r="AE485" i="1"/>
  <c r="BJ485" i="1"/>
  <c r="K487" i="1"/>
  <c r="M487" i="1"/>
  <c r="Z487" i="1"/>
  <c r="AB487" i="1"/>
  <c r="AC487" i="1"/>
  <c r="AF487" i="1"/>
  <c r="AG487" i="1"/>
  <c r="AH487" i="1"/>
  <c r="AJ487" i="1"/>
  <c r="AK487" i="1"/>
  <c r="AL487" i="1"/>
  <c r="AO487" i="1"/>
  <c r="AP487" i="1"/>
  <c r="AX487" i="1"/>
  <c r="AV487" i="1"/>
  <c r="AW487" i="1"/>
  <c r="BC487" i="1"/>
  <c r="BD487" i="1"/>
  <c r="BF487" i="1"/>
  <c r="BH487" i="1"/>
  <c r="AD487" i="1"/>
  <c r="BJ487" i="1"/>
  <c r="M489" i="1"/>
  <c r="Z489" i="1"/>
  <c r="AB489" i="1"/>
  <c r="AC489" i="1"/>
  <c r="AF489" i="1"/>
  <c r="AG489" i="1"/>
  <c r="AH489" i="1"/>
  <c r="AJ489" i="1"/>
  <c r="AK489" i="1"/>
  <c r="AL489" i="1"/>
  <c r="AO489" i="1"/>
  <c r="K489" i="1"/>
  <c r="AP489" i="1"/>
  <c r="L489" i="1"/>
  <c r="BD489" i="1"/>
  <c r="BF489" i="1"/>
  <c r="BH489" i="1"/>
  <c r="AD489" i="1"/>
  <c r="BI489" i="1"/>
  <c r="AE489" i="1"/>
  <c r="BJ489" i="1"/>
  <c r="L491" i="1"/>
  <c r="M491" i="1"/>
  <c r="M490" i="1"/>
  <c r="G37" i="3"/>
  <c r="I37" i="3"/>
  <c r="Z491" i="1"/>
  <c r="AB491" i="1"/>
  <c r="AC491" i="1"/>
  <c r="AF491" i="1"/>
  <c r="AG491" i="1"/>
  <c r="AH491" i="1"/>
  <c r="AJ491" i="1"/>
  <c r="AK491" i="1"/>
  <c r="AL491" i="1"/>
  <c r="AO491" i="1"/>
  <c r="K491" i="1"/>
  <c r="AP491" i="1"/>
  <c r="AX491" i="1"/>
  <c r="AW491" i="1"/>
  <c r="BC491" i="1"/>
  <c r="BD491" i="1"/>
  <c r="BF491" i="1"/>
  <c r="BH491" i="1"/>
  <c r="AD491" i="1"/>
  <c r="BI491" i="1"/>
  <c r="AE491" i="1"/>
  <c r="BJ491" i="1"/>
  <c r="L493" i="1"/>
  <c r="M493" i="1"/>
  <c r="Z493" i="1"/>
  <c r="AB493" i="1"/>
  <c r="AC493" i="1"/>
  <c r="AF493" i="1"/>
  <c r="AG493" i="1"/>
  <c r="AH493" i="1"/>
  <c r="AJ493" i="1"/>
  <c r="AK493" i="1"/>
  <c r="AL493" i="1"/>
  <c r="AU490" i="1"/>
  <c r="AO493" i="1"/>
  <c r="K493" i="1"/>
  <c r="AP493" i="1"/>
  <c r="AX493" i="1"/>
  <c r="AW493" i="1"/>
  <c r="BD493" i="1"/>
  <c r="BF493" i="1"/>
  <c r="BH493" i="1"/>
  <c r="AD493" i="1"/>
  <c r="BI493" i="1"/>
  <c r="AE493" i="1"/>
  <c r="BJ493" i="1"/>
  <c r="L495" i="1"/>
  <c r="M495" i="1"/>
  <c r="Z495" i="1"/>
  <c r="AB495" i="1"/>
  <c r="AC495" i="1"/>
  <c r="AF495" i="1"/>
  <c r="AG495" i="1"/>
  <c r="AH495" i="1"/>
  <c r="AJ495" i="1"/>
  <c r="AK495" i="1"/>
  <c r="AL495" i="1"/>
  <c r="AU494" i="1"/>
  <c r="AO495" i="1"/>
  <c r="K495" i="1"/>
  <c r="AP495" i="1"/>
  <c r="AX495" i="1"/>
  <c r="AW495" i="1"/>
  <c r="BD495" i="1"/>
  <c r="BF495" i="1"/>
  <c r="BH495" i="1"/>
  <c r="AD495" i="1"/>
  <c r="BI495" i="1"/>
  <c r="AE495" i="1"/>
  <c r="BJ495" i="1"/>
  <c r="K498" i="1"/>
  <c r="M498" i="1"/>
  <c r="M494" i="1"/>
  <c r="G38" i="3"/>
  <c r="I38" i="3"/>
  <c r="Z498" i="1"/>
  <c r="AB498" i="1"/>
  <c r="AC498" i="1"/>
  <c r="AD498" i="1"/>
  <c r="AE498" i="1"/>
  <c r="AF498" i="1"/>
  <c r="AG498" i="1"/>
  <c r="AH498" i="1"/>
  <c r="AJ498" i="1"/>
  <c r="AL498" i="1"/>
  <c r="AO498" i="1"/>
  <c r="AP498" i="1"/>
  <c r="L498" i="1"/>
  <c r="AW498" i="1"/>
  <c r="AX498" i="1"/>
  <c r="AV498" i="1"/>
  <c r="BC498" i="1"/>
  <c r="BD498" i="1"/>
  <c r="BF498" i="1"/>
  <c r="BH498" i="1"/>
  <c r="BI498" i="1"/>
  <c r="BJ498" i="1"/>
  <c r="K500" i="1"/>
  <c r="M500" i="1"/>
  <c r="Z500" i="1"/>
  <c r="AD500" i="1"/>
  <c r="AE500" i="1"/>
  <c r="AF500" i="1"/>
  <c r="AG500" i="1"/>
  <c r="AH500" i="1"/>
  <c r="AJ500" i="1"/>
  <c r="AL500" i="1"/>
  <c r="AO500" i="1"/>
  <c r="AW500" i="1"/>
  <c r="AP500" i="1"/>
  <c r="L500" i="1"/>
  <c r="AX500" i="1"/>
  <c r="BD500" i="1"/>
  <c r="BF500" i="1"/>
  <c r="BH500" i="1"/>
  <c r="AB500" i="1"/>
  <c r="BI500" i="1"/>
  <c r="AC500" i="1"/>
  <c r="BJ500" i="1"/>
  <c r="M503" i="1"/>
  <c r="Z503" i="1"/>
  <c r="AD503" i="1"/>
  <c r="AE503" i="1"/>
  <c r="AF503" i="1"/>
  <c r="AG503" i="1"/>
  <c r="AH503" i="1"/>
  <c r="AJ503" i="1"/>
  <c r="AK503" i="1"/>
  <c r="AL503" i="1"/>
  <c r="AO503" i="1"/>
  <c r="K503" i="1"/>
  <c r="AP503" i="1"/>
  <c r="L503" i="1"/>
  <c r="BD503" i="1"/>
  <c r="BF503" i="1"/>
  <c r="BH503" i="1"/>
  <c r="AB503" i="1"/>
  <c r="BI503" i="1"/>
  <c r="AC503" i="1"/>
  <c r="BJ503" i="1"/>
  <c r="L505" i="1"/>
  <c r="M505" i="1"/>
  <c r="AK505" i="1"/>
  <c r="Z505" i="1"/>
  <c r="AB505" i="1"/>
  <c r="AC505" i="1"/>
  <c r="AD505" i="1"/>
  <c r="AE505" i="1"/>
  <c r="AF505" i="1"/>
  <c r="AG505" i="1"/>
  <c r="AH505" i="1"/>
  <c r="AJ505" i="1"/>
  <c r="AL505" i="1"/>
  <c r="AO505" i="1"/>
  <c r="K505" i="1"/>
  <c r="AP505" i="1"/>
  <c r="AW505" i="1"/>
  <c r="AV505" i="1"/>
  <c r="AX505" i="1"/>
  <c r="BC505" i="1"/>
  <c r="BD505" i="1"/>
  <c r="BF505" i="1"/>
  <c r="BH505" i="1"/>
  <c r="BI505" i="1"/>
  <c r="BJ505" i="1"/>
  <c r="M507" i="1"/>
  <c r="Z507" i="1"/>
  <c r="AB507" i="1"/>
  <c r="AC507" i="1"/>
  <c r="AD507" i="1"/>
  <c r="AE507" i="1"/>
  <c r="AF507" i="1"/>
  <c r="AG507" i="1"/>
  <c r="AH507" i="1"/>
  <c r="AJ507" i="1"/>
  <c r="AK507" i="1"/>
  <c r="AL507" i="1"/>
  <c r="AO507" i="1"/>
  <c r="K507" i="1"/>
  <c r="AP507" i="1"/>
  <c r="L507" i="1"/>
  <c r="AV507" i="1"/>
  <c r="AW507" i="1"/>
  <c r="BC507" i="1"/>
  <c r="AX507" i="1"/>
  <c r="BD507" i="1"/>
  <c r="BF507" i="1"/>
  <c r="BH507" i="1"/>
  <c r="BI507" i="1"/>
  <c r="BJ507" i="1"/>
  <c r="M509" i="1"/>
  <c r="M508" i="1"/>
  <c r="G40" i="3"/>
  <c r="I40" i="3"/>
  <c r="Z509" i="1"/>
  <c r="AD509" i="1"/>
  <c r="AE509" i="1"/>
  <c r="AF509" i="1"/>
  <c r="AG509" i="1"/>
  <c r="AH509" i="1"/>
  <c r="AJ509" i="1"/>
  <c r="AS508" i="1"/>
  <c r="AK509" i="1"/>
  <c r="AL509" i="1"/>
  <c r="AO509" i="1"/>
  <c r="K509" i="1"/>
  <c r="AP509" i="1"/>
  <c r="L509" i="1"/>
  <c r="BD509" i="1"/>
  <c r="BF509" i="1"/>
  <c r="BH509" i="1"/>
  <c r="AB509" i="1"/>
  <c r="BJ509" i="1"/>
  <c r="K511" i="1"/>
  <c r="M511" i="1"/>
  <c r="Z511" i="1"/>
  <c r="AB511" i="1"/>
  <c r="AD511" i="1"/>
  <c r="AE511" i="1"/>
  <c r="AF511" i="1"/>
  <c r="AG511" i="1"/>
  <c r="AH511" i="1"/>
  <c r="AJ511" i="1"/>
  <c r="AK511" i="1"/>
  <c r="AL511" i="1"/>
  <c r="AO511" i="1"/>
  <c r="AP511" i="1"/>
  <c r="AX511" i="1"/>
  <c r="AW511" i="1"/>
  <c r="BD511" i="1"/>
  <c r="BF511" i="1"/>
  <c r="BH511" i="1"/>
  <c r="BI511" i="1"/>
  <c r="AC511" i="1"/>
  <c r="BJ511" i="1"/>
  <c r="M512" i="1"/>
  <c r="Z512" i="1"/>
  <c r="AB512" i="1"/>
  <c r="AC512" i="1"/>
  <c r="AD512" i="1"/>
  <c r="AE512" i="1"/>
  <c r="AF512" i="1"/>
  <c r="AG512" i="1"/>
  <c r="AH512" i="1"/>
  <c r="AJ512" i="1"/>
  <c r="AK512" i="1"/>
  <c r="AL512" i="1"/>
  <c r="AO512" i="1"/>
  <c r="K512" i="1"/>
  <c r="AP512" i="1"/>
  <c r="L512" i="1"/>
  <c r="BD512" i="1"/>
  <c r="BF512" i="1"/>
  <c r="BH512" i="1"/>
  <c r="BI512" i="1"/>
  <c r="BJ512" i="1"/>
  <c r="K514" i="1"/>
  <c r="M514" i="1"/>
  <c r="Z514" i="1"/>
  <c r="AD514" i="1"/>
  <c r="AE514" i="1"/>
  <c r="AF514" i="1"/>
  <c r="AG514" i="1"/>
  <c r="AH514" i="1"/>
  <c r="AJ514" i="1"/>
  <c r="AK514" i="1"/>
  <c r="AL514" i="1"/>
  <c r="AO514" i="1"/>
  <c r="BH514" i="1"/>
  <c r="AB514" i="1"/>
  <c r="AP514" i="1"/>
  <c r="BI514" i="1"/>
  <c r="AC514" i="1"/>
  <c r="AW514" i="1"/>
  <c r="BD514" i="1"/>
  <c r="BF514" i="1"/>
  <c r="BJ514" i="1"/>
  <c r="AU515" i="1"/>
  <c r="L516" i="1"/>
  <c r="L515" i="1"/>
  <c r="F41" i="3"/>
  <c r="M516" i="1"/>
  <c r="M515" i="1"/>
  <c r="G41" i="3"/>
  <c r="I41" i="3"/>
  <c r="Z516" i="1"/>
  <c r="AB516" i="1"/>
  <c r="AC516" i="1"/>
  <c r="AD516" i="1"/>
  <c r="AE516" i="1"/>
  <c r="AF516" i="1"/>
  <c r="AG516" i="1"/>
  <c r="AH516" i="1"/>
  <c r="AJ516" i="1"/>
  <c r="AS515" i="1"/>
  <c r="AK516" i="1"/>
  <c r="AT515" i="1"/>
  <c r="AL516" i="1"/>
  <c r="AO516" i="1"/>
  <c r="K516" i="1"/>
  <c r="K515" i="1"/>
  <c r="E41" i="3"/>
  <c r="AP516" i="1"/>
  <c r="AX516" i="1"/>
  <c r="AW516" i="1"/>
  <c r="BD516" i="1"/>
  <c r="BF516" i="1"/>
  <c r="BH516" i="1"/>
  <c r="BI516" i="1"/>
  <c r="BJ516" i="1"/>
  <c r="M518" i="1"/>
  <c r="Z518" i="1"/>
  <c r="AB518" i="1"/>
  <c r="AC518" i="1"/>
  <c r="AD518" i="1"/>
  <c r="AE518" i="1"/>
  <c r="AG518" i="1"/>
  <c r="AH518" i="1"/>
  <c r="AJ518" i="1"/>
  <c r="AK518" i="1"/>
  <c r="AL518" i="1"/>
  <c r="AU517" i="1"/>
  <c r="AO518" i="1"/>
  <c r="AW518" i="1"/>
  <c r="AP518" i="1"/>
  <c r="L518" i="1"/>
  <c r="AX518" i="1"/>
  <c r="BD518" i="1"/>
  <c r="BF518" i="1"/>
  <c r="BI518" i="1"/>
  <c r="BJ518" i="1"/>
  <c r="K520" i="1"/>
  <c r="L520" i="1"/>
  <c r="M520" i="1"/>
  <c r="AK520" i="1"/>
  <c r="Z520" i="1"/>
  <c r="AD520" i="1"/>
  <c r="AE520" i="1"/>
  <c r="AF520" i="1"/>
  <c r="AG520" i="1"/>
  <c r="AH520" i="1"/>
  <c r="AJ520" i="1"/>
  <c r="AL520" i="1"/>
  <c r="AO520" i="1"/>
  <c r="AP520" i="1"/>
  <c r="AW520" i="1"/>
  <c r="AV520" i="1"/>
  <c r="AX520" i="1"/>
  <c r="BD520" i="1"/>
  <c r="BF520" i="1"/>
  <c r="BH520" i="1"/>
  <c r="AB520" i="1"/>
  <c r="BI520" i="1"/>
  <c r="AC520" i="1"/>
  <c r="BJ520" i="1"/>
  <c r="M521" i="1"/>
  <c r="M517" i="1"/>
  <c r="G42" i="3"/>
  <c r="I42" i="3"/>
  <c r="Z521" i="1"/>
  <c r="AB521" i="1"/>
  <c r="AD521" i="1"/>
  <c r="AE521" i="1"/>
  <c r="AF521" i="1"/>
  <c r="AG521" i="1"/>
  <c r="AH521" i="1"/>
  <c r="AJ521" i="1"/>
  <c r="AL521" i="1"/>
  <c r="AO521" i="1"/>
  <c r="K521" i="1"/>
  <c r="AP521" i="1"/>
  <c r="L521" i="1"/>
  <c r="AX521" i="1"/>
  <c r="BD521" i="1"/>
  <c r="BF521" i="1"/>
  <c r="BH521" i="1"/>
  <c r="BI521" i="1"/>
  <c r="AC521" i="1"/>
  <c r="BJ521" i="1"/>
  <c r="L522" i="1"/>
  <c r="M522" i="1"/>
  <c r="AK522" i="1"/>
  <c r="Z522" i="1"/>
  <c r="AD522" i="1"/>
  <c r="AE522" i="1"/>
  <c r="AF522" i="1"/>
  <c r="AG522" i="1"/>
  <c r="AH522" i="1"/>
  <c r="AJ522" i="1"/>
  <c r="AL522" i="1"/>
  <c r="AO522" i="1"/>
  <c r="K522" i="1"/>
  <c r="AP522" i="1"/>
  <c r="AW522" i="1"/>
  <c r="AV522" i="1"/>
  <c r="AX522" i="1"/>
  <c r="BD522" i="1"/>
  <c r="BF522" i="1"/>
  <c r="BH522" i="1"/>
  <c r="AB522" i="1"/>
  <c r="BI522" i="1"/>
  <c r="AC522" i="1"/>
  <c r="BJ522" i="1"/>
  <c r="AS525" i="1"/>
  <c r="M526" i="1"/>
  <c r="Z526" i="1"/>
  <c r="AC526" i="1"/>
  <c r="AD526" i="1"/>
  <c r="AE526" i="1"/>
  <c r="AF526" i="1"/>
  <c r="AG526" i="1"/>
  <c r="AH526" i="1"/>
  <c r="AJ526" i="1"/>
  <c r="AK526" i="1"/>
  <c r="AL526" i="1"/>
  <c r="AU525" i="1"/>
  <c r="AO526" i="1"/>
  <c r="K526" i="1"/>
  <c r="AP526" i="1"/>
  <c r="L526" i="1"/>
  <c r="BD526" i="1"/>
  <c r="BF526" i="1"/>
  <c r="BH526" i="1"/>
  <c r="AB526" i="1"/>
  <c r="BI526" i="1"/>
  <c r="BJ526" i="1"/>
  <c r="K528" i="1"/>
  <c r="M528" i="1"/>
  <c r="Z528" i="1"/>
  <c r="AB528" i="1"/>
  <c r="AD528" i="1"/>
  <c r="AE528" i="1"/>
  <c r="AF528" i="1"/>
  <c r="AG528" i="1"/>
  <c r="AH528" i="1"/>
  <c r="AJ528" i="1"/>
  <c r="AK528" i="1"/>
  <c r="AT525" i="1"/>
  <c r="AL528" i="1"/>
  <c r="AO528" i="1"/>
  <c r="AP528" i="1"/>
  <c r="L528" i="1"/>
  <c r="AW528" i="1"/>
  <c r="BD528" i="1"/>
  <c r="BF528" i="1"/>
  <c r="BH528" i="1"/>
  <c r="BI528" i="1"/>
  <c r="AC528" i="1"/>
  <c r="BJ528" i="1"/>
  <c r="AS530" i="1"/>
  <c r="M531" i="1"/>
  <c r="M530" i="1"/>
  <c r="G45" i="3"/>
  <c r="I45" i="3"/>
  <c r="Z531" i="1"/>
  <c r="AC531" i="1"/>
  <c r="AD531" i="1"/>
  <c r="AE531" i="1"/>
  <c r="AF531" i="1"/>
  <c r="AG531" i="1"/>
  <c r="AH531" i="1"/>
  <c r="AJ531" i="1"/>
  <c r="AK531" i="1"/>
  <c r="AT530" i="1"/>
  <c r="AL531" i="1"/>
  <c r="AU530" i="1"/>
  <c r="AO531" i="1"/>
  <c r="K531" i="1"/>
  <c r="K530" i="1"/>
  <c r="E45" i="3"/>
  <c r="AP531" i="1"/>
  <c r="L531" i="1"/>
  <c r="L530" i="1"/>
  <c r="F45" i="3"/>
  <c r="AW531" i="1"/>
  <c r="BD531" i="1"/>
  <c r="BF531" i="1"/>
  <c r="BH531" i="1"/>
  <c r="AB531" i="1"/>
  <c r="BI531" i="1"/>
  <c r="BJ531" i="1"/>
  <c r="M534" i="1"/>
  <c r="M533" i="1"/>
  <c r="G46" i="3"/>
  <c r="I46" i="3"/>
  <c r="Z534" i="1"/>
  <c r="AD534" i="1"/>
  <c r="AE534" i="1"/>
  <c r="AF534" i="1"/>
  <c r="AG534" i="1"/>
  <c r="AH534" i="1"/>
  <c r="AJ534" i="1"/>
  <c r="AS533" i="1"/>
  <c r="AK534" i="1"/>
  <c r="AT533" i="1"/>
  <c r="AL534" i="1"/>
  <c r="AU533" i="1"/>
  <c r="AO534" i="1"/>
  <c r="K534" i="1"/>
  <c r="K533" i="1"/>
  <c r="E46" i="3"/>
  <c r="AP534" i="1"/>
  <c r="L534" i="1"/>
  <c r="L533" i="1"/>
  <c r="F46" i="3"/>
  <c r="BD534" i="1"/>
  <c r="BF534" i="1"/>
  <c r="BH534" i="1"/>
  <c r="AB534" i="1"/>
  <c r="BI534" i="1"/>
  <c r="AC534" i="1"/>
  <c r="BJ534" i="1"/>
  <c r="AS535" i="1"/>
  <c r="K536" i="1"/>
  <c r="M536" i="1"/>
  <c r="Z536" i="1"/>
  <c r="AC536" i="1"/>
  <c r="AD536" i="1"/>
  <c r="AE536" i="1"/>
  <c r="AF536" i="1"/>
  <c r="AG536" i="1"/>
  <c r="AH536" i="1"/>
  <c r="AJ536" i="1"/>
  <c r="AL536" i="1"/>
  <c r="AO536" i="1"/>
  <c r="AW536" i="1"/>
  <c r="AP536" i="1"/>
  <c r="L536" i="1"/>
  <c r="AX536" i="1"/>
  <c r="BD536" i="1"/>
  <c r="BF536" i="1"/>
  <c r="BH536" i="1"/>
  <c r="AB536" i="1"/>
  <c r="BI536" i="1"/>
  <c r="BJ536" i="1"/>
  <c r="K539" i="1"/>
  <c r="M539" i="1"/>
  <c r="AK539" i="1"/>
  <c r="Z539" i="1"/>
  <c r="AB539" i="1"/>
  <c r="AD539" i="1"/>
  <c r="AE539" i="1"/>
  <c r="AF539" i="1"/>
  <c r="AG539" i="1"/>
  <c r="AH539" i="1"/>
  <c r="AJ539" i="1"/>
  <c r="AL539" i="1"/>
  <c r="AO539" i="1"/>
  <c r="AW539" i="1"/>
  <c r="AP539" i="1"/>
  <c r="BI539" i="1"/>
  <c r="AC539" i="1"/>
  <c r="AX539" i="1"/>
  <c r="BD539" i="1"/>
  <c r="BF539" i="1"/>
  <c r="BH539" i="1"/>
  <c r="BJ539" i="1"/>
  <c r="K542" i="1"/>
  <c r="L542" i="1"/>
  <c r="M542" i="1"/>
  <c r="AK542" i="1"/>
  <c r="Z542" i="1"/>
  <c r="AC542" i="1"/>
  <c r="AD542" i="1"/>
  <c r="AE542" i="1"/>
  <c r="AF542" i="1"/>
  <c r="AG542" i="1"/>
  <c r="AH542" i="1"/>
  <c r="AJ542" i="1"/>
  <c r="AL542" i="1"/>
  <c r="AO542" i="1"/>
  <c r="AW542" i="1"/>
  <c r="AP542" i="1"/>
  <c r="AX542" i="1"/>
  <c r="BD542" i="1"/>
  <c r="BF542" i="1"/>
  <c r="BH542" i="1"/>
  <c r="AB542" i="1"/>
  <c r="BI542" i="1"/>
  <c r="BJ542" i="1"/>
  <c r="M545" i="1"/>
  <c r="AK545" i="1"/>
  <c r="Z545" i="1"/>
  <c r="AC545" i="1"/>
  <c r="AD545" i="1"/>
  <c r="AE545" i="1"/>
  <c r="AF545" i="1"/>
  <c r="AG545" i="1"/>
  <c r="AH545" i="1"/>
  <c r="AJ545" i="1"/>
  <c r="AL545" i="1"/>
  <c r="AO545" i="1"/>
  <c r="K545" i="1"/>
  <c r="AP545" i="1"/>
  <c r="L545" i="1"/>
  <c r="AX545" i="1"/>
  <c r="BD545" i="1"/>
  <c r="BF545" i="1"/>
  <c r="BI545" i="1"/>
  <c r="BJ545" i="1"/>
  <c r="M549" i="1"/>
  <c r="Z549" i="1"/>
  <c r="AB549" i="1"/>
  <c r="AD549" i="1"/>
  <c r="AE549" i="1"/>
  <c r="AF549" i="1"/>
  <c r="AG549" i="1"/>
  <c r="AH549" i="1"/>
  <c r="AJ549" i="1"/>
  <c r="AK549" i="1"/>
  <c r="AL549" i="1"/>
  <c r="AO549" i="1"/>
  <c r="K549" i="1"/>
  <c r="AP549" i="1"/>
  <c r="L549" i="1"/>
  <c r="BD549" i="1"/>
  <c r="BF549" i="1"/>
  <c r="BH549" i="1"/>
  <c r="BI549" i="1"/>
  <c r="AC549" i="1"/>
  <c r="BJ549" i="1"/>
  <c r="L551" i="1"/>
  <c r="M551" i="1"/>
  <c r="Z551" i="1"/>
  <c r="AD551" i="1"/>
  <c r="AE551" i="1"/>
  <c r="AF551" i="1"/>
  <c r="AG551" i="1"/>
  <c r="AH551" i="1"/>
  <c r="AJ551" i="1"/>
  <c r="AK551" i="1"/>
  <c r="AL551" i="1"/>
  <c r="AO551" i="1"/>
  <c r="K551" i="1"/>
  <c r="AP551" i="1"/>
  <c r="BI551" i="1"/>
  <c r="AC551" i="1"/>
  <c r="AW551" i="1"/>
  <c r="BD551" i="1"/>
  <c r="BF551" i="1"/>
  <c r="BH551" i="1"/>
  <c r="AB551" i="1"/>
  <c r="BJ551" i="1"/>
  <c r="K552" i="1"/>
  <c r="M552" i="1"/>
  <c r="Z552" i="1"/>
  <c r="AB552" i="1"/>
  <c r="AD552" i="1"/>
  <c r="AE552" i="1"/>
  <c r="AF552" i="1"/>
  <c r="AG552" i="1"/>
  <c r="AH552" i="1"/>
  <c r="AJ552" i="1"/>
  <c r="AK552" i="1"/>
  <c r="AL552" i="1"/>
  <c r="AO552" i="1"/>
  <c r="AW552" i="1"/>
  <c r="AP552" i="1"/>
  <c r="L552" i="1"/>
  <c r="BD552" i="1"/>
  <c r="BF552" i="1"/>
  <c r="BH552" i="1"/>
  <c r="BI552" i="1"/>
  <c r="AC552" i="1"/>
  <c r="BJ552" i="1"/>
  <c r="K555" i="1"/>
  <c r="L555" i="1"/>
  <c r="M555" i="1"/>
  <c r="Z555" i="1"/>
  <c r="AB555" i="1"/>
  <c r="AC555" i="1"/>
  <c r="AD555" i="1"/>
  <c r="AE555" i="1"/>
  <c r="AF555" i="1"/>
  <c r="AG555" i="1"/>
  <c r="AH555" i="1"/>
  <c r="AJ555" i="1"/>
  <c r="AK555" i="1"/>
  <c r="AL555" i="1"/>
  <c r="AO555" i="1"/>
  <c r="AP555" i="1"/>
  <c r="AX555" i="1"/>
  <c r="BC555" i="1"/>
  <c r="AW555" i="1"/>
  <c r="AV555" i="1"/>
  <c r="BD555" i="1"/>
  <c r="BF555" i="1"/>
  <c r="BH555" i="1"/>
  <c r="BI555" i="1"/>
  <c r="BJ555" i="1"/>
  <c r="M558" i="1"/>
  <c r="M548" i="1"/>
  <c r="G48" i="3"/>
  <c r="I48" i="3"/>
  <c r="Z558" i="1"/>
  <c r="AD558" i="1"/>
  <c r="AE558" i="1"/>
  <c r="AF558" i="1"/>
  <c r="AG558" i="1"/>
  <c r="AH558" i="1"/>
  <c r="AJ558" i="1"/>
  <c r="AK558" i="1"/>
  <c r="AL558" i="1"/>
  <c r="AU548" i="1"/>
  <c r="AO558" i="1"/>
  <c r="K558" i="1"/>
  <c r="AP558" i="1"/>
  <c r="L558" i="1"/>
  <c r="BD558" i="1"/>
  <c r="BF558" i="1"/>
  <c r="BH558" i="1"/>
  <c r="AB558" i="1"/>
  <c r="BI558" i="1"/>
  <c r="AC558" i="1"/>
  <c r="BJ558" i="1"/>
  <c r="M561" i="1"/>
  <c r="Z561" i="1"/>
  <c r="AD561" i="1"/>
  <c r="AE561" i="1"/>
  <c r="AF561" i="1"/>
  <c r="AG561" i="1"/>
  <c r="AH561" i="1"/>
  <c r="AJ561" i="1"/>
  <c r="AK561" i="1"/>
  <c r="AL561" i="1"/>
  <c r="AO561" i="1"/>
  <c r="AW561" i="1"/>
  <c r="AP561" i="1"/>
  <c r="L561" i="1"/>
  <c r="BD561" i="1"/>
  <c r="BF561" i="1"/>
  <c r="BH561" i="1"/>
  <c r="AB561" i="1"/>
  <c r="BI561" i="1"/>
  <c r="AC561" i="1"/>
  <c r="BJ561" i="1"/>
  <c r="M563" i="1"/>
  <c r="Z563" i="1"/>
  <c r="AB563" i="1"/>
  <c r="AC563" i="1"/>
  <c r="AF563" i="1"/>
  <c r="AG563" i="1"/>
  <c r="AH563" i="1"/>
  <c r="AJ563" i="1"/>
  <c r="AK563" i="1"/>
  <c r="AL563" i="1"/>
  <c r="AO563" i="1"/>
  <c r="K563" i="1"/>
  <c r="AP563" i="1"/>
  <c r="L563" i="1"/>
  <c r="AX563" i="1"/>
  <c r="BD563" i="1"/>
  <c r="BF563" i="1"/>
  <c r="BH563" i="1"/>
  <c r="AD563" i="1"/>
  <c r="BI563" i="1"/>
  <c r="AE563" i="1"/>
  <c r="BJ563" i="1"/>
  <c r="M565" i="1"/>
  <c r="Z565" i="1"/>
  <c r="AB565" i="1"/>
  <c r="AC565" i="1"/>
  <c r="AF565" i="1"/>
  <c r="AG565" i="1"/>
  <c r="AH565" i="1"/>
  <c r="AJ565" i="1"/>
  <c r="AK565" i="1"/>
  <c r="AL565" i="1"/>
  <c r="AO565" i="1"/>
  <c r="K565" i="1"/>
  <c r="AP565" i="1"/>
  <c r="L565" i="1"/>
  <c r="BD565" i="1"/>
  <c r="BF565" i="1"/>
  <c r="BH565" i="1"/>
  <c r="AD565" i="1"/>
  <c r="BJ565" i="1"/>
  <c r="M566" i="1"/>
  <c r="AK566" i="1"/>
  <c r="Z566" i="1"/>
  <c r="AB566" i="1"/>
  <c r="AC566" i="1"/>
  <c r="AF566" i="1"/>
  <c r="AG566" i="1"/>
  <c r="AH566" i="1"/>
  <c r="AJ566" i="1"/>
  <c r="AL566" i="1"/>
  <c r="AO566" i="1"/>
  <c r="K566" i="1"/>
  <c r="AP566" i="1"/>
  <c r="L566" i="1"/>
  <c r="AX566" i="1"/>
  <c r="BD566" i="1"/>
  <c r="BF566" i="1"/>
  <c r="BH566" i="1"/>
  <c r="AD566" i="1"/>
  <c r="BI566" i="1"/>
  <c r="AE566" i="1"/>
  <c r="BJ566" i="1"/>
  <c r="K568" i="1"/>
  <c r="L568" i="1"/>
  <c r="M568" i="1"/>
  <c r="AK568" i="1"/>
  <c r="Z568" i="1"/>
  <c r="AB568" i="1"/>
  <c r="AC568" i="1"/>
  <c r="AD568" i="1"/>
  <c r="AF568" i="1"/>
  <c r="AG568" i="1"/>
  <c r="AH568" i="1"/>
  <c r="AJ568" i="1"/>
  <c r="AL568" i="1"/>
  <c r="AO568" i="1"/>
  <c r="AP568" i="1"/>
  <c r="AW568" i="1"/>
  <c r="AV568" i="1"/>
  <c r="AX568" i="1"/>
  <c r="BD568" i="1"/>
  <c r="BF568" i="1"/>
  <c r="BH568" i="1"/>
  <c r="BI568" i="1"/>
  <c r="AE568" i="1"/>
  <c r="BJ568" i="1"/>
  <c r="M569" i="1"/>
  <c r="Z569" i="1"/>
  <c r="AB569" i="1"/>
  <c r="AC569" i="1"/>
  <c r="AF569" i="1"/>
  <c r="AG569" i="1"/>
  <c r="AH569" i="1"/>
  <c r="AJ569" i="1"/>
  <c r="AK569" i="1"/>
  <c r="AL569" i="1"/>
  <c r="AO569" i="1"/>
  <c r="K569" i="1"/>
  <c r="AP569" i="1"/>
  <c r="L569" i="1"/>
  <c r="BD569" i="1"/>
  <c r="BF569" i="1"/>
  <c r="BJ569" i="1"/>
  <c r="AU570" i="1"/>
  <c r="L571" i="1"/>
  <c r="L570" i="1"/>
  <c r="F50" i="3"/>
  <c r="M571" i="1"/>
  <c r="M570" i="1"/>
  <c r="G50" i="3"/>
  <c r="I50" i="3"/>
  <c r="Z571" i="1"/>
  <c r="AD571" i="1"/>
  <c r="AE571" i="1"/>
  <c r="AF571" i="1"/>
  <c r="AG571" i="1"/>
  <c r="AH571" i="1"/>
  <c r="AJ571" i="1"/>
  <c r="AS570" i="1"/>
  <c r="AK571" i="1"/>
  <c r="AT570" i="1"/>
  <c r="AL571" i="1"/>
  <c r="AO571" i="1"/>
  <c r="K571" i="1"/>
  <c r="K570" i="1"/>
  <c r="E50" i="3"/>
  <c r="AP571" i="1"/>
  <c r="AX571" i="1"/>
  <c r="AW571" i="1"/>
  <c r="BD571" i="1"/>
  <c r="BF571" i="1"/>
  <c r="BH571" i="1"/>
  <c r="AB571" i="1"/>
  <c r="BI571" i="1"/>
  <c r="AC571" i="1"/>
  <c r="BJ571" i="1"/>
  <c r="M574" i="1"/>
  <c r="G51" i="3"/>
  <c r="I51" i="3"/>
  <c r="AS574" i="1"/>
  <c r="M575" i="1"/>
  <c r="Z575" i="1"/>
  <c r="AB575" i="1"/>
  <c r="AC575" i="1"/>
  <c r="AD575" i="1"/>
  <c r="AE575" i="1"/>
  <c r="AF575" i="1"/>
  <c r="AG575" i="1"/>
  <c r="AH575" i="1"/>
  <c r="AJ575" i="1"/>
  <c r="AK575" i="1"/>
  <c r="AT574" i="1"/>
  <c r="AL575" i="1"/>
  <c r="AU574" i="1"/>
  <c r="AO575" i="1"/>
  <c r="K575" i="1"/>
  <c r="K574" i="1"/>
  <c r="E51" i="3"/>
  <c r="AP575" i="1"/>
  <c r="L575" i="1"/>
  <c r="L574" i="1"/>
  <c r="F51" i="3"/>
  <c r="BD575" i="1"/>
  <c r="BF575" i="1"/>
  <c r="BH575" i="1"/>
  <c r="BI575" i="1"/>
  <c r="BJ575" i="1"/>
  <c r="K577" i="1"/>
  <c r="M577" i="1"/>
  <c r="AB577" i="1"/>
  <c r="AC577" i="1"/>
  <c r="AD577" i="1"/>
  <c r="AE577" i="1"/>
  <c r="AF577" i="1"/>
  <c r="AG577" i="1"/>
  <c r="AH577" i="1"/>
  <c r="AJ577" i="1"/>
  <c r="AK577" i="1"/>
  <c r="AL577" i="1"/>
  <c r="AO577" i="1"/>
  <c r="AW577" i="1"/>
  <c r="AP577" i="1"/>
  <c r="L577" i="1"/>
  <c r="BD577" i="1"/>
  <c r="BF577" i="1"/>
  <c r="BH577" i="1"/>
  <c r="BI577" i="1"/>
  <c r="BJ577" i="1"/>
  <c r="Z577" i="1"/>
  <c r="M579" i="1"/>
  <c r="Z579" i="1"/>
  <c r="AB579" i="1"/>
  <c r="AC579" i="1"/>
  <c r="AD579" i="1"/>
  <c r="AE579" i="1"/>
  <c r="AF579" i="1"/>
  <c r="AG579" i="1"/>
  <c r="AH579" i="1"/>
  <c r="AJ579" i="1"/>
  <c r="AK579" i="1"/>
  <c r="AL579" i="1"/>
  <c r="AO579" i="1"/>
  <c r="K579" i="1"/>
  <c r="AP579" i="1"/>
  <c r="L579" i="1"/>
  <c r="AX579" i="1"/>
  <c r="BD579" i="1"/>
  <c r="BF579" i="1"/>
  <c r="BH579" i="1"/>
  <c r="BI579" i="1"/>
  <c r="BJ579" i="1"/>
  <c r="M581" i="1"/>
  <c r="AB581" i="1"/>
  <c r="AC581" i="1"/>
  <c r="AD581" i="1"/>
  <c r="AE581" i="1"/>
  <c r="AF581" i="1"/>
  <c r="AG581" i="1"/>
  <c r="AH581" i="1"/>
  <c r="AJ581" i="1"/>
  <c r="AK581" i="1"/>
  <c r="AL581" i="1"/>
  <c r="AO581" i="1"/>
  <c r="K581" i="1"/>
  <c r="AP581" i="1"/>
  <c r="BI581" i="1"/>
  <c r="BD581" i="1"/>
  <c r="BF581" i="1"/>
  <c r="BH581" i="1"/>
  <c r="BJ581" i="1"/>
  <c r="Z581" i="1"/>
  <c r="AS584" i="1"/>
  <c r="M585" i="1"/>
  <c r="M584" i="1"/>
  <c r="Z585" i="1"/>
  <c r="AB585" i="1"/>
  <c r="AC585" i="1"/>
  <c r="AD585" i="1"/>
  <c r="AE585" i="1"/>
  <c r="AF585" i="1"/>
  <c r="AG585" i="1"/>
  <c r="AH585" i="1"/>
  <c r="AJ585" i="1"/>
  <c r="AL585" i="1"/>
  <c r="AU584" i="1"/>
  <c r="AO585" i="1"/>
  <c r="K585" i="1"/>
  <c r="K584" i="1"/>
  <c r="AP585" i="1"/>
  <c r="L585" i="1"/>
  <c r="L584" i="1"/>
  <c r="AX585" i="1"/>
  <c r="BD585" i="1"/>
  <c r="BF585" i="1"/>
  <c r="BH585" i="1"/>
  <c r="BI585" i="1"/>
  <c r="BJ585" i="1"/>
  <c r="M587" i="1"/>
  <c r="G55" i="3"/>
  <c r="I55" i="3"/>
  <c r="AT587" i="1"/>
  <c r="M588" i="1"/>
  <c r="Z588" i="1"/>
  <c r="AD588" i="1"/>
  <c r="AE588" i="1"/>
  <c r="AF588" i="1"/>
  <c r="AG588" i="1"/>
  <c r="AH588" i="1"/>
  <c r="AJ588" i="1"/>
  <c r="AS587" i="1"/>
  <c r="AK588" i="1"/>
  <c r="AL588" i="1"/>
  <c r="AU587" i="1"/>
  <c r="AO588" i="1"/>
  <c r="AW588" i="1"/>
  <c r="AP588" i="1"/>
  <c r="L588" i="1"/>
  <c r="L587" i="1"/>
  <c r="F55" i="3"/>
  <c r="BD588" i="1"/>
  <c r="BF588" i="1"/>
  <c r="BH588" i="1"/>
  <c r="AB588" i="1"/>
  <c r="BI588" i="1"/>
  <c r="AC588" i="1"/>
  <c r="BJ588" i="1"/>
  <c r="K590" i="1"/>
  <c r="E56" i="3"/>
  <c r="AU590" i="1"/>
  <c r="K591" i="1"/>
  <c r="M591" i="1"/>
  <c r="M590" i="1"/>
  <c r="G56" i="3"/>
  <c r="I56" i="3"/>
  <c r="Z591" i="1"/>
  <c r="AD591" i="1"/>
  <c r="AE591" i="1"/>
  <c r="AF591" i="1"/>
  <c r="AG591" i="1"/>
  <c r="AH591" i="1"/>
  <c r="AJ591" i="1"/>
  <c r="AS590" i="1"/>
  <c r="AL591" i="1"/>
  <c r="AO591" i="1"/>
  <c r="AP591" i="1"/>
  <c r="L591" i="1"/>
  <c r="L590" i="1"/>
  <c r="F56" i="3"/>
  <c r="AW591" i="1"/>
  <c r="AV591" i="1"/>
  <c r="AX591" i="1"/>
  <c r="BC591" i="1"/>
  <c r="BD591" i="1"/>
  <c r="BF591" i="1"/>
  <c r="BH591" i="1"/>
  <c r="AB591" i="1"/>
  <c r="BI591" i="1"/>
  <c r="AC591" i="1"/>
  <c r="BJ591" i="1"/>
  <c r="M594" i="1"/>
  <c r="Z594" i="1"/>
  <c r="AC594" i="1"/>
  <c r="AD594" i="1"/>
  <c r="AE594" i="1"/>
  <c r="AF594" i="1"/>
  <c r="AG594" i="1"/>
  <c r="AH594" i="1"/>
  <c r="AJ594" i="1"/>
  <c r="AL594" i="1"/>
  <c r="AO594" i="1"/>
  <c r="K594" i="1"/>
  <c r="AP594" i="1"/>
  <c r="L594" i="1"/>
  <c r="BD594" i="1"/>
  <c r="BF594" i="1"/>
  <c r="BH594" i="1"/>
  <c r="AB594" i="1"/>
  <c r="BI594" i="1"/>
  <c r="BJ594" i="1"/>
  <c r="L597" i="1"/>
  <c r="M597" i="1"/>
  <c r="AK597" i="1"/>
  <c r="Z597" i="1"/>
  <c r="AD597" i="1"/>
  <c r="AE597" i="1"/>
  <c r="AF597" i="1"/>
  <c r="AG597" i="1"/>
  <c r="AH597" i="1"/>
  <c r="AJ597" i="1"/>
  <c r="AL597" i="1"/>
  <c r="AO597" i="1"/>
  <c r="K597" i="1"/>
  <c r="AP597" i="1"/>
  <c r="AW597" i="1"/>
  <c r="AV597" i="1"/>
  <c r="AX597" i="1"/>
  <c r="BD597" i="1"/>
  <c r="BF597" i="1"/>
  <c r="BH597" i="1"/>
  <c r="AB597" i="1"/>
  <c r="BI597" i="1"/>
  <c r="AC597" i="1"/>
  <c r="BJ597" i="1"/>
  <c r="M599" i="1"/>
  <c r="Z599" i="1"/>
  <c r="AD599" i="1"/>
  <c r="AE599" i="1"/>
  <c r="AF599" i="1"/>
  <c r="AG599" i="1"/>
  <c r="AH599" i="1"/>
  <c r="AJ599" i="1"/>
  <c r="AK599" i="1"/>
  <c r="AL599" i="1"/>
  <c r="AO599" i="1"/>
  <c r="K599" i="1"/>
  <c r="AP599" i="1"/>
  <c r="AX599" i="1"/>
  <c r="BD599" i="1"/>
  <c r="BF599" i="1"/>
  <c r="BH599" i="1"/>
  <c r="AB599" i="1"/>
  <c r="BJ599" i="1"/>
  <c r="K601" i="1"/>
  <c r="M601" i="1"/>
  <c r="Z601" i="1"/>
  <c r="AD601" i="1"/>
  <c r="AE601" i="1"/>
  <c r="AF601" i="1"/>
  <c r="AG601" i="1"/>
  <c r="AH601" i="1"/>
  <c r="AJ601" i="1"/>
  <c r="AK601" i="1"/>
  <c r="AL601" i="1"/>
  <c r="AO601" i="1"/>
  <c r="AW601" i="1"/>
  <c r="AP601" i="1"/>
  <c r="L601" i="1"/>
  <c r="BD601" i="1"/>
  <c r="BF601" i="1"/>
  <c r="BH601" i="1"/>
  <c r="AB601" i="1"/>
  <c r="BI601" i="1"/>
  <c r="AC601" i="1"/>
  <c r="BJ601" i="1"/>
  <c r="M605" i="1"/>
  <c r="Z605" i="1"/>
  <c r="AD605" i="1"/>
  <c r="AE605" i="1"/>
  <c r="AF605" i="1"/>
  <c r="AG605" i="1"/>
  <c r="AH605" i="1"/>
  <c r="AJ605" i="1"/>
  <c r="AK605" i="1"/>
  <c r="AL605" i="1"/>
  <c r="AO605" i="1"/>
  <c r="AW605" i="1"/>
  <c r="AP605" i="1"/>
  <c r="L605" i="1"/>
  <c r="BD605" i="1"/>
  <c r="BF605" i="1"/>
  <c r="BI605" i="1"/>
  <c r="AC605" i="1"/>
  <c r="BJ605" i="1"/>
  <c r="M607" i="1"/>
  <c r="Z607" i="1"/>
  <c r="AB607" i="1"/>
  <c r="AD607" i="1"/>
  <c r="AE607" i="1"/>
  <c r="AF607" i="1"/>
  <c r="AG607" i="1"/>
  <c r="AH607" i="1"/>
  <c r="AJ607" i="1"/>
  <c r="AK607" i="1"/>
  <c r="AL607" i="1"/>
  <c r="AO607" i="1"/>
  <c r="K607" i="1"/>
  <c r="AP607" i="1"/>
  <c r="L607" i="1"/>
  <c r="BD607" i="1"/>
  <c r="BF607" i="1"/>
  <c r="BH607" i="1"/>
  <c r="BJ607" i="1"/>
  <c r="K608" i="1"/>
  <c r="L608" i="1"/>
  <c r="M608" i="1"/>
  <c r="Z608" i="1"/>
  <c r="AB608" i="1"/>
  <c r="AC608" i="1"/>
  <c r="AD608" i="1"/>
  <c r="AE608" i="1"/>
  <c r="AF608" i="1"/>
  <c r="AG608" i="1"/>
  <c r="AH608" i="1"/>
  <c r="AJ608" i="1"/>
  <c r="AK608" i="1"/>
  <c r="AL608" i="1"/>
  <c r="AO608" i="1"/>
  <c r="AP608" i="1"/>
  <c r="AX608" i="1"/>
  <c r="BC608" i="1"/>
  <c r="AW608" i="1"/>
  <c r="AV608" i="1"/>
  <c r="BD608" i="1"/>
  <c r="BF608" i="1"/>
  <c r="BH608" i="1"/>
  <c r="BI608" i="1"/>
  <c r="BJ608" i="1"/>
  <c r="M610" i="1"/>
  <c r="Z610" i="1"/>
  <c r="AC610" i="1"/>
  <c r="AD610" i="1"/>
  <c r="AE610" i="1"/>
  <c r="AF610" i="1"/>
  <c r="AG610" i="1"/>
  <c r="AH610" i="1"/>
  <c r="AJ610" i="1"/>
  <c r="AK610" i="1"/>
  <c r="AL610" i="1"/>
  <c r="AO610" i="1"/>
  <c r="AW610" i="1"/>
  <c r="AP610" i="1"/>
  <c r="L610" i="1"/>
  <c r="AX610" i="1"/>
  <c r="BD610" i="1"/>
  <c r="BF610" i="1"/>
  <c r="BH610" i="1"/>
  <c r="AB610" i="1"/>
  <c r="BI610" i="1"/>
  <c r="BJ610" i="1"/>
  <c r="L612" i="1"/>
  <c r="M612" i="1"/>
  <c r="AK612" i="1"/>
  <c r="Z612" i="1"/>
  <c r="AB612" i="1"/>
  <c r="AC612" i="1"/>
  <c r="AF612" i="1"/>
  <c r="AG612" i="1"/>
  <c r="AH612" i="1"/>
  <c r="AJ612" i="1"/>
  <c r="AL612" i="1"/>
  <c r="AO612" i="1"/>
  <c r="K612" i="1"/>
  <c r="AP612" i="1"/>
  <c r="AW612" i="1"/>
  <c r="AV612" i="1"/>
  <c r="AX612" i="1"/>
  <c r="BD612" i="1"/>
  <c r="BF612" i="1"/>
  <c r="BH612" i="1"/>
  <c r="AD612" i="1"/>
  <c r="BI612" i="1"/>
  <c r="AE612" i="1"/>
  <c r="BJ612" i="1"/>
  <c r="K615" i="1"/>
  <c r="M615" i="1"/>
  <c r="Z615" i="1"/>
  <c r="AB615" i="1"/>
  <c r="AC615" i="1"/>
  <c r="AF615" i="1"/>
  <c r="AG615" i="1"/>
  <c r="AH615" i="1"/>
  <c r="AJ615" i="1"/>
  <c r="AK615" i="1"/>
  <c r="AL615" i="1"/>
  <c r="AU611" i="1"/>
  <c r="AO615" i="1"/>
  <c r="AW615" i="1"/>
  <c r="AP615" i="1"/>
  <c r="L615" i="1"/>
  <c r="AX615" i="1"/>
  <c r="BD615" i="1"/>
  <c r="BF615" i="1"/>
  <c r="BH615" i="1"/>
  <c r="AD615" i="1"/>
  <c r="BI615" i="1"/>
  <c r="AE615" i="1"/>
  <c r="BJ615" i="1"/>
  <c r="K616" i="1"/>
  <c r="M616" i="1"/>
  <c r="Z616" i="1"/>
  <c r="AB616" i="1"/>
  <c r="AC616" i="1"/>
  <c r="AF616" i="1"/>
  <c r="AG616" i="1"/>
  <c r="AH616" i="1"/>
  <c r="AJ616" i="1"/>
  <c r="AL616" i="1"/>
  <c r="AO616" i="1"/>
  <c r="AP616" i="1"/>
  <c r="L616" i="1"/>
  <c r="AW616" i="1"/>
  <c r="AV616" i="1"/>
  <c r="AX616" i="1"/>
  <c r="BC616" i="1"/>
  <c r="BD616" i="1"/>
  <c r="BF616" i="1"/>
  <c r="BH616" i="1"/>
  <c r="AD616" i="1"/>
  <c r="BI616" i="1"/>
  <c r="AE616" i="1"/>
  <c r="BJ616" i="1"/>
  <c r="L617" i="1"/>
  <c r="M617" i="1"/>
  <c r="AK617" i="1"/>
  <c r="Z617" i="1"/>
  <c r="AB617" i="1"/>
  <c r="AC617" i="1"/>
  <c r="AD617" i="1"/>
  <c r="AF617" i="1"/>
  <c r="AG617" i="1"/>
  <c r="AH617" i="1"/>
  <c r="AJ617" i="1"/>
  <c r="AL617" i="1"/>
  <c r="AO617" i="1"/>
  <c r="K617" i="1"/>
  <c r="AP617" i="1"/>
  <c r="AW617" i="1"/>
  <c r="AV617" i="1"/>
  <c r="AX617" i="1"/>
  <c r="BD617" i="1"/>
  <c r="BF617" i="1"/>
  <c r="BH617" i="1"/>
  <c r="BI617" i="1"/>
  <c r="AE617" i="1"/>
  <c r="BJ617" i="1"/>
  <c r="K618" i="1"/>
  <c r="L618" i="1"/>
  <c r="M618" i="1"/>
  <c r="AK618" i="1"/>
  <c r="Z618" i="1"/>
  <c r="AB618" i="1"/>
  <c r="AC618" i="1"/>
  <c r="AF618" i="1"/>
  <c r="AG618" i="1"/>
  <c r="AH618" i="1"/>
  <c r="AJ618" i="1"/>
  <c r="AL618" i="1"/>
  <c r="AO618" i="1"/>
  <c r="AP618" i="1"/>
  <c r="BI618" i="1"/>
  <c r="AE618" i="1"/>
  <c r="AW618" i="1"/>
  <c r="BD618" i="1"/>
  <c r="BF618" i="1"/>
  <c r="BH618" i="1"/>
  <c r="AD618" i="1"/>
  <c r="BJ618" i="1"/>
  <c r="K619" i="1"/>
  <c r="M619" i="1"/>
  <c r="Z619" i="1"/>
  <c r="AB619" i="1"/>
  <c r="AC619" i="1"/>
  <c r="AF619" i="1"/>
  <c r="AG619" i="1"/>
  <c r="AH619" i="1"/>
  <c r="AJ619" i="1"/>
  <c r="AK619" i="1"/>
  <c r="AL619" i="1"/>
  <c r="AO619" i="1"/>
  <c r="BH619" i="1"/>
  <c r="AD619" i="1"/>
  <c r="AP619" i="1"/>
  <c r="L619" i="1"/>
  <c r="BD619" i="1"/>
  <c r="BF619" i="1"/>
  <c r="BI619" i="1"/>
  <c r="AE619" i="1"/>
  <c r="BJ619" i="1"/>
  <c r="M620" i="1"/>
  <c r="AB620" i="1"/>
  <c r="AC620" i="1"/>
  <c r="AD620" i="1"/>
  <c r="AE620" i="1"/>
  <c r="AF620" i="1"/>
  <c r="AG620" i="1"/>
  <c r="AH620" i="1"/>
  <c r="AJ620" i="1"/>
  <c r="AK620" i="1"/>
  <c r="AL620" i="1"/>
  <c r="AO620" i="1"/>
  <c r="BH620" i="1"/>
  <c r="AP620" i="1"/>
  <c r="L620" i="1"/>
  <c r="BD620" i="1"/>
  <c r="BF620" i="1"/>
  <c r="BI620" i="1"/>
  <c r="BJ620" i="1"/>
  <c r="Z620" i="1"/>
  <c r="AS621" i="1"/>
  <c r="M622" i="1"/>
  <c r="M621" i="1"/>
  <c r="G60" i="3"/>
  <c r="I60" i="3"/>
  <c r="AB622" i="1"/>
  <c r="AC622" i="1"/>
  <c r="AD622" i="1"/>
  <c r="AE622" i="1"/>
  <c r="AF622" i="1"/>
  <c r="AG622" i="1"/>
  <c r="AH622" i="1"/>
  <c r="AJ622" i="1"/>
  <c r="AK622" i="1"/>
  <c r="AT621" i="1"/>
  <c r="AL622" i="1"/>
  <c r="AU621" i="1"/>
  <c r="AO622" i="1"/>
  <c r="K622" i="1"/>
  <c r="K621" i="1"/>
  <c r="E60" i="3"/>
  <c r="AP622" i="1"/>
  <c r="BI622" i="1"/>
  <c r="AW622" i="1"/>
  <c r="BD622" i="1"/>
  <c r="BF622" i="1"/>
  <c r="BH622" i="1"/>
  <c r="BJ622" i="1"/>
  <c r="Z622" i="1"/>
  <c r="C2" i="3"/>
  <c r="G2" i="3"/>
  <c r="C4" i="3"/>
  <c r="G4" i="3"/>
  <c r="C6" i="3"/>
  <c r="G6" i="3"/>
  <c r="C8" i="3"/>
  <c r="G8" i="3"/>
  <c r="I11" i="3"/>
  <c r="I43" i="3"/>
  <c r="I53" i="3"/>
  <c r="C2" i="6"/>
  <c r="F2" i="6"/>
  <c r="C4" i="6"/>
  <c r="F4" i="6"/>
  <c r="C6" i="6"/>
  <c r="F6" i="6"/>
  <c r="C8" i="6"/>
  <c r="F8" i="6"/>
  <c r="C10" i="6"/>
  <c r="F10" i="6"/>
  <c r="I10" i="6"/>
  <c r="I15" i="6"/>
  <c r="I18" i="6"/>
  <c r="I16" i="6"/>
  <c r="F15" i="5"/>
  <c r="I17" i="6"/>
  <c r="F16" i="5"/>
  <c r="I21" i="6"/>
  <c r="I22" i="6"/>
  <c r="I15" i="5"/>
  <c r="I23" i="6"/>
  <c r="I16" i="5"/>
  <c r="I24" i="6"/>
  <c r="I17" i="5"/>
  <c r="I25" i="6"/>
  <c r="I18" i="5"/>
  <c r="I26" i="6"/>
  <c r="I19" i="5"/>
  <c r="I35" i="6"/>
  <c r="I24" i="5"/>
  <c r="C2" i="4"/>
  <c r="F2" i="4"/>
  <c r="C4" i="4"/>
  <c r="F4" i="4"/>
  <c r="C6" i="4"/>
  <c r="F6" i="4"/>
  <c r="C8" i="4"/>
  <c r="F8" i="4"/>
  <c r="AX622" i="1"/>
  <c r="BC622" i="1"/>
  <c r="L622" i="1"/>
  <c r="L621" i="1"/>
  <c r="F60" i="3"/>
  <c r="AX620" i="1"/>
  <c r="AW620" i="1"/>
  <c r="K620" i="1"/>
  <c r="AS611" i="1"/>
  <c r="BC612" i="1"/>
  <c r="K611" i="1"/>
  <c r="E59" i="3"/>
  <c r="M611" i="1"/>
  <c r="G59" i="3"/>
  <c r="I59" i="3"/>
  <c r="AV615" i="1"/>
  <c r="BC615" i="1"/>
  <c r="AV618" i="1"/>
  <c r="L611" i="1"/>
  <c r="F59" i="3"/>
  <c r="AX619" i="1"/>
  <c r="AW619" i="1"/>
  <c r="AX618" i="1"/>
  <c r="BC618" i="1"/>
  <c r="BC617" i="1"/>
  <c r="AK616" i="1"/>
  <c r="AT611" i="1"/>
  <c r="BC610" i="1"/>
  <c r="AV610" i="1"/>
  <c r="K610" i="1"/>
  <c r="AU604" i="1"/>
  <c r="AW599" i="1"/>
  <c r="L599" i="1"/>
  <c r="L593" i="1"/>
  <c r="F57" i="3"/>
  <c r="BI599" i="1"/>
  <c r="AC599" i="1"/>
  <c r="AT604" i="1"/>
  <c r="AX607" i="1"/>
  <c r="BI607" i="1"/>
  <c r="AC607" i="1"/>
  <c r="AW607" i="1"/>
  <c r="M604" i="1"/>
  <c r="G58" i="3"/>
  <c r="I58" i="3"/>
  <c r="L604" i="1"/>
  <c r="F58" i="3"/>
  <c r="AS604" i="1"/>
  <c r="K605" i="1"/>
  <c r="K604" i="1"/>
  <c r="E58" i="3"/>
  <c r="BH605" i="1"/>
  <c r="AB605" i="1"/>
  <c r="AX605" i="1"/>
  <c r="BC605" i="1"/>
  <c r="AS593" i="1"/>
  <c r="AX601" i="1"/>
  <c r="BC601" i="1"/>
  <c r="BC597" i="1"/>
  <c r="K593" i="1"/>
  <c r="E57" i="3"/>
  <c r="AU593" i="1"/>
  <c r="M593" i="1"/>
  <c r="G57" i="3"/>
  <c r="I57" i="3"/>
  <c r="AK594" i="1"/>
  <c r="AT593" i="1"/>
  <c r="AX594" i="1"/>
  <c r="AW594" i="1"/>
  <c r="AK591" i="1"/>
  <c r="AT590" i="1"/>
  <c r="K588" i="1"/>
  <c r="K587" i="1"/>
  <c r="E55" i="3"/>
  <c r="AX588" i="1"/>
  <c r="BC588" i="1"/>
  <c r="G54" i="3"/>
  <c r="I54" i="3"/>
  <c r="E54" i="3"/>
  <c r="F54" i="3"/>
  <c r="AK585" i="1"/>
  <c r="AT584" i="1"/>
  <c r="AW585" i="1"/>
  <c r="AX581" i="1"/>
  <c r="AW581" i="1"/>
  <c r="L581" i="1"/>
  <c r="L576" i="1"/>
  <c r="F52" i="3"/>
  <c r="AW579" i="1"/>
  <c r="AU576" i="1"/>
  <c r="AT576" i="1"/>
  <c r="AS576" i="1"/>
  <c r="M576" i="1"/>
  <c r="G52" i="3"/>
  <c r="I52" i="3"/>
  <c r="K576" i="1"/>
  <c r="E52" i="3"/>
  <c r="AX577" i="1"/>
  <c r="BC577" i="1"/>
  <c r="AX575" i="1"/>
  <c r="AW575" i="1"/>
  <c r="BC571" i="1"/>
  <c r="AV571" i="1"/>
  <c r="AW563" i="1"/>
  <c r="AU562" i="1"/>
  <c r="BI569" i="1"/>
  <c r="AE569" i="1"/>
  <c r="BH569" i="1"/>
  <c r="AD569" i="1"/>
  <c r="AX569" i="1"/>
  <c r="AW569" i="1"/>
  <c r="BC568" i="1"/>
  <c r="AW566" i="1"/>
  <c r="AT562" i="1"/>
  <c r="M562" i="1"/>
  <c r="G49" i="3"/>
  <c r="I49" i="3"/>
  <c r="L562" i="1"/>
  <c r="F49" i="3"/>
  <c r="AS562" i="1"/>
  <c r="K562" i="1"/>
  <c r="E49" i="3"/>
  <c r="AX565" i="1"/>
  <c r="BI565" i="1"/>
  <c r="AE565" i="1"/>
  <c r="AW565" i="1"/>
  <c r="AX551" i="1"/>
  <c r="AV551" i="1"/>
  <c r="AV561" i="1"/>
  <c r="K561" i="1"/>
  <c r="AX561" i="1"/>
  <c r="BC561" i="1"/>
  <c r="K548" i="1"/>
  <c r="E48" i="3"/>
  <c r="AX558" i="1"/>
  <c r="AW558" i="1"/>
  <c r="AV552" i="1"/>
  <c r="AT548" i="1"/>
  <c r="AS548" i="1"/>
  <c r="AX552" i="1"/>
  <c r="BC552" i="1"/>
  <c r="L548" i="1"/>
  <c r="F48" i="3"/>
  <c r="AX549" i="1"/>
  <c r="AW549" i="1"/>
  <c r="BH545" i="1"/>
  <c r="AB545" i="1"/>
  <c r="AW545" i="1"/>
  <c r="BC542" i="1"/>
  <c r="AV542" i="1"/>
  <c r="AU535" i="1"/>
  <c r="AV539" i="1"/>
  <c r="BC539" i="1"/>
  <c r="L539" i="1"/>
  <c r="L535" i="1"/>
  <c r="F47" i="3"/>
  <c r="M535" i="1"/>
  <c r="G47" i="3"/>
  <c r="I47" i="3"/>
  <c r="K535" i="1"/>
  <c r="E47" i="3"/>
  <c r="BC536" i="1"/>
  <c r="AV536" i="1"/>
  <c r="AK536" i="1"/>
  <c r="AT535" i="1"/>
  <c r="AX534" i="1"/>
  <c r="AW534" i="1"/>
  <c r="AX531" i="1"/>
  <c r="BC531" i="1"/>
  <c r="M525" i="1"/>
  <c r="AX528" i="1"/>
  <c r="AV528" i="1"/>
  <c r="L525" i="1"/>
  <c r="F44" i="3"/>
  <c r="K525" i="1"/>
  <c r="E44" i="3"/>
  <c r="G44" i="3"/>
  <c r="I44" i="3"/>
  <c r="AX526" i="1"/>
  <c r="AW526" i="1"/>
  <c r="BC522" i="1"/>
  <c r="AK521" i="1"/>
  <c r="AW521" i="1"/>
  <c r="AT517" i="1"/>
  <c r="AS517" i="1"/>
  <c r="BC518" i="1"/>
  <c r="AV518" i="1"/>
  <c r="K518" i="1"/>
  <c r="K517" i="1"/>
  <c r="E42" i="3"/>
  <c r="BH518" i="1"/>
  <c r="AF518" i="1"/>
  <c r="L517" i="1"/>
  <c r="F42" i="3"/>
  <c r="AV516" i="1"/>
  <c r="BC516" i="1"/>
  <c r="BC520" i="1"/>
  <c r="BC514" i="1"/>
  <c r="AX514" i="1"/>
  <c r="AV514" i="1"/>
  <c r="L514" i="1"/>
  <c r="AU508" i="1"/>
  <c r="AT508" i="1"/>
  <c r="AX512" i="1"/>
  <c r="AW512" i="1"/>
  <c r="BC511" i="1"/>
  <c r="L511" i="1"/>
  <c r="AV511" i="1"/>
  <c r="L508" i="1"/>
  <c r="F40" i="3"/>
  <c r="K508" i="1"/>
  <c r="E40" i="3"/>
  <c r="BI509" i="1"/>
  <c r="AC509" i="1"/>
  <c r="AW509" i="1"/>
  <c r="AX509" i="1"/>
  <c r="BC509" i="1"/>
  <c r="K499" i="1"/>
  <c r="E39" i="3"/>
  <c r="AU499" i="1"/>
  <c r="M499" i="1"/>
  <c r="G39" i="3"/>
  <c r="I39" i="3"/>
  <c r="AX503" i="1"/>
  <c r="AW503" i="1"/>
  <c r="L499" i="1"/>
  <c r="F39" i="3"/>
  <c r="AS499" i="1"/>
  <c r="BC500" i="1"/>
  <c r="AV500" i="1"/>
  <c r="AK500" i="1"/>
  <c r="AT499" i="1"/>
  <c r="AS494" i="1"/>
  <c r="L494" i="1"/>
  <c r="F38" i="3"/>
  <c r="AK498" i="1"/>
  <c r="K494" i="1"/>
  <c r="E38" i="3"/>
  <c r="AT494" i="1"/>
  <c r="AV495" i="1"/>
  <c r="BC495" i="1"/>
  <c r="AV493" i="1"/>
  <c r="BC493" i="1"/>
  <c r="K490" i="1"/>
  <c r="E37" i="3"/>
  <c r="AT490" i="1"/>
  <c r="AS490" i="1"/>
  <c r="L490" i="1"/>
  <c r="F37" i="3"/>
  <c r="AV491" i="1"/>
  <c r="AW478" i="1"/>
  <c r="BI478" i="1"/>
  <c r="AE478" i="1"/>
  <c r="L478" i="1"/>
  <c r="AX489" i="1"/>
  <c r="AW489" i="1"/>
  <c r="L487" i="1"/>
  <c r="L482" i="1"/>
  <c r="F36" i="3"/>
  <c r="BI487" i="1"/>
  <c r="AE487" i="1"/>
  <c r="AK485" i="1"/>
  <c r="AT482" i="1"/>
  <c r="AW485" i="1"/>
  <c r="K485" i="1"/>
  <c r="AU482" i="1"/>
  <c r="AV483" i="1"/>
  <c r="BC483" i="1"/>
  <c r="K483" i="1"/>
  <c r="K482" i="1"/>
  <c r="E36" i="3"/>
  <c r="AX481" i="1"/>
  <c r="AV479" i="1"/>
  <c r="BC479" i="1"/>
  <c r="BI479" i="1"/>
  <c r="AE479" i="1"/>
  <c r="AU472" i="1"/>
  <c r="AX479" i="1"/>
  <c r="AS472" i="1"/>
  <c r="BC476" i="1"/>
  <c r="K472" i="1"/>
  <c r="E35" i="3"/>
  <c r="L472" i="1"/>
  <c r="F35" i="3"/>
  <c r="AT472" i="1"/>
  <c r="M472" i="1"/>
  <c r="G35" i="3"/>
  <c r="I35" i="3"/>
  <c r="AV473" i="1"/>
  <c r="BI473" i="1"/>
  <c r="AE473" i="1"/>
  <c r="AX473" i="1"/>
  <c r="BC473" i="1"/>
  <c r="BI471" i="1"/>
  <c r="AX471" i="1"/>
  <c r="AV469" i="1"/>
  <c r="AX466" i="1"/>
  <c r="AW466" i="1"/>
  <c r="AX463" i="1"/>
  <c r="AW463" i="1"/>
  <c r="AW461" i="1"/>
  <c r="K461" i="1"/>
  <c r="AU458" i="1"/>
  <c r="BH459" i="1"/>
  <c r="AD459" i="1"/>
  <c r="AX459" i="1"/>
  <c r="AW459" i="1"/>
  <c r="BC457" i="1"/>
  <c r="AV457" i="1"/>
  <c r="AS458" i="1"/>
  <c r="AX468" i="1"/>
  <c r="AW468" i="1"/>
  <c r="K458" i="1"/>
  <c r="E34" i="3"/>
  <c r="AT458" i="1"/>
  <c r="BC465" i="1"/>
  <c r="L465" i="1"/>
  <c r="L458" i="1"/>
  <c r="F34" i="3"/>
  <c r="M458" i="1"/>
  <c r="G34" i="3"/>
  <c r="I34" i="3"/>
  <c r="AV465" i="1"/>
  <c r="BI465" i="1"/>
  <c r="AE465" i="1"/>
  <c r="AV452" i="1"/>
  <c r="AW454" i="1"/>
  <c r="L454" i="1"/>
  <c r="K454" i="1"/>
  <c r="BI454" i="1"/>
  <c r="AE454" i="1"/>
  <c r="AW451" i="1"/>
  <c r="BC449" i="1"/>
  <c r="AV449" i="1"/>
  <c r="K449" i="1"/>
  <c r="K443" i="1"/>
  <c r="E33" i="3"/>
  <c r="AS443" i="1"/>
  <c r="L443" i="1"/>
  <c r="F33" i="3"/>
  <c r="AU443" i="1"/>
  <c r="M443" i="1"/>
  <c r="G33" i="3"/>
  <c r="I33" i="3"/>
  <c r="BH444" i="1"/>
  <c r="AD444" i="1"/>
  <c r="AK444" i="1"/>
  <c r="AT443" i="1"/>
  <c r="AW444" i="1"/>
  <c r="AX442" i="1"/>
  <c r="BC439" i="1"/>
  <c r="AV439" i="1"/>
  <c r="BC435" i="1"/>
  <c r="AX435" i="1"/>
  <c r="AV435" i="1"/>
  <c r="AW432" i="1"/>
  <c r="BC428" i="1"/>
  <c r="AX425" i="1"/>
  <c r="AW425" i="1"/>
  <c r="BH421" i="1"/>
  <c r="AD421" i="1"/>
  <c r="AX421" i="1"/>
  <c r="AW421" i="1"/>
  <c r="AV414" i="1"/>
  <c r="BI409" i="1"/>
  <c r="AE409" i="1"/>
  <c r="K409" i="1"/>
  <c r="BH409" i="1"/>
  <c r="AD409" i="1"/>
  <c r="AV411" i="1"/>
  <c r="AX409" i="1"/>
  <c r="AV409" i="1"/>
  <c r="AX407" i="1"/>
  <c r="AW407" i="1"/>
  <c r="AX437" i="1"/>
  <c r="AW437" i="1"/>
  <c r="AV433" i="1"/>
  <c r="AX433" i="1"/>
  <c r="BC433" i="1"/>
  <c r="BC426" i="1"/>
  <c r="L426" i="1"/>
  <c r="AV426" i="1"/>
  <c r="BI426" i="1"/>
  <c r="AE426" i="1"/>
  <c r="AW423" i="1"/>
  <c r="AU406" i="1"/>
  <c r="M406" i="1"/>
  <c r="G32" i="3"/>
  <c r="I32" i="3"/>
  <c r="AS406" i="1"/>
  <c r="AW419" i="1"/>
  <c r="L419" i="1"/>
  <c r="BI419" i="1"/>
  <c r="AE419" i="1"/>
  <c r="AT406" i="1"/>
  <c r="L406" i="1"/>
  <c r="F32" i="3"/>
  <c r="K406" i="1"/>
  <c r="E32" i="3"/>
  <c r="BC416" i="1"/>
  <c r="AW396" i="1"/>
  <c r="AV394" i="1"/>
  <c r="BC390" i="1"/>
  <c r="AX390" i="1"/>
  <c r="AV390" i="1"/>
  <c r="AX387" i="1"/>
  <c r="BH387" i="1"/>
  <c r="AD387" i="1"/>
  <c r="AW387" i="1"/>
  <c r="L387" i="1"/>
  <c r="BI385" i="1"/>
  <c r="AE385" i="1"/>
  <c r="AX385" i="1"/>
  <c r="AW385" i="1"/>
  <c r="AV383" i="1"/>
  <c r="AV379" i="1"/>
  <c r="BC379" i="1"/>
  <c r="BC377" i="1"/>
  <c r="L377" i="1"/>
  <c r="AV377" i="1"/>
  <c r="BI377" i="1"/>
  <c r="AE377" i="1"/>
  <c r="AW375" i="1"/>
  <c r="BC373" i="1"/>
  <c r="AV373" i="1"/>
  <c r="AX405" i="1"/>
  <c r="AW405" i="1"/>
  <c r="AX400" i="1"/>
  <c r="AW400" i="1"/>
  <c r="K400" i="1"/>
  <c r="K398" i="1"/>
  <c r="AX398" i="1"/>
  <c r="BC398" i="1"/>
  <c r="AW392" i="1"/>
  <c r="AX389" i="1"/>
  <c r="AW389" i="1"/>
  <c r="BC371" i="1"/>
  <c r="AV371" i="1"/>
  <c r="AX367" i="1"/>
  <c r="AW367" i="1"/>
  <c r="AW365" i="1"/>
  <c r="AU358" i="1"/>
  <c r="AW362" i="1"/>
  <c r="K358" i="1"/>
  <c r="E31" i="3"/>
  <c r="AT358" i="1"/>
  <c r="M358" i="1"/>
  <c r="G31" i="3"/>
  <c r="I31" i="3"/>
  <c r="AS358" i="1"/>
  <c r="L359" i="1"/>
  <c r="L358" i="1"/>
  <c r="F31" i="3"/>
  <c r="AV359" i="1"/>
  <c r="BI359" i="1"/>
  <c r="AE359" i="1"/>
  <c r="K337" i="1"/>
  <c r="K334" i="1"/>
  <c r="E29" i="3"/>
  <c r="AS334" i="1"/>
  <c r="AW357" i="1"/>
  <c r="AW353" i="1"/>
  <c r="M342" i="1"/>
  <c r="G30" i="3"/>
  <c r="I30" i="3"/>
  <c r="AW351" i="1"/>
  <c r="AS342" i="1"/>
  <c r="AX349" i="1"/>
  <c r="AW349" i="1"/>
  <c r="AU342" i="1"/>
  <c r="AT342" i="1"/>
  <c r="AX346" i="1"/>
  <c r="AW346" i="1"/>
  <c r="L342" i="1"/>
  <c r="F30" i="3"/>
  <c r="K342" i="1"/>
  <c r="E30" i="3"/>
  <c r="AW343" i="1"/>
  <c r="AW341" i="1"/>
  <c r="M334" i="1"/>
  <c r="G29" i="3"/>
  <c r="I29" i="3"/>
  <c r="AU334" i="1"/>
  <c r="AT334" i="1"/>
  <c r="BC333" i="1"/>
  <c r="AV333" i="1"/>
  <c r="K329" i="1"/>
  <c r="E28" i="3"/>
  <c r="L329" i="1"/>
  <c r="F28" i="3"/>
  <c r="BI330" i="1"/>
  <c r="AE330" i="1"/>
  <c r="AX330" i="1"/>
  <c r="BC330" i="1"/>
  <c r="AW323" i="1"/>
  <c r="AX322" i="1"/>
  <c r="AW317" i="1"/>
  <c r="AW307" i="1"/>
  <c r="AW300" i="1"/>
  <c r="BH322" i="1"/>
  <c r="AD322" i="1"/>
  <c r="AV303" i="1"/>
  <c r="AW322" i="1"/>
  <c r="AX321" i="1"/>
  <c r="AV321" i="1"/>
  <c r="K300" i="1"/>
  <c r="AV312" i="1"/>
  <c r="BC328" i="1"/>
  <c r="AV328" i="1"/>
  <c r="AX328" i="1"/>
  <c r="AX326" i="1"/>
  <c r="AV326" i="1"/>
  <c r="AX324" i="1"/>
  <c r="AW324" i="1"/>
  <c r="BC314" i="1"/>
  <c r="AV314" i="1"/>
  <c r="AU296" i="1"/>
  <c r="M296" i="1"/>
  <c r="G27" i="3"/>
  <c r="I27" i="3"/>
  <c r="AW308" i="1"/>
  <c r="BC305" i="1"/>
  <c r="AV305" i="1"/>
  <c r="BI305" i="1"/>
  <c r="AE305" i="1"/>
  <c r="K296" i="1"/>
  <c r="E27" i="3"/>
  <c r="AS296" i="1"/>
  <c r="AK301" i="1"/>
  <c r="AT296" i="1"/>
  <c r="AV301" i="1"/>
  <c r="AW297" i="1"/>
  <c r="L297" i="1"/>
  <c r="L296" i="1"/>
  <c r="F27" i="3"/>
  <c r="AX295" i="1"/>
  <c r="AV295" i="1"/>
  <c r="BC290" i="1"/>
  <c r="AV290" i="1"/>
  <c r="AX292" i="1"/>
  <c r="AW292" i="1"/>
  <c r="AX291" i="1"/>
  <c r="BC291" i="1"/>
  <c r="AV288" i="1"/>
  <c r="AX285" i="1"/>
  <c r="BC285" i="1"/>
  <c r="BC282" i="1"/>
  <c r="AV282" i="1"/>
  <c r="L282" i="1"/>
  <c r="L255" i="1"/>
  <c r="F26" i="3"/>
  <c r="BI282" i="1"/>
  <c r="AE282" i="1"/>
  <c r="AV279" i="1"/>
  <c r="BC279" i="1"/>
  <c r="L275" i="1"/>
  <c r="AV275" i="1"/>
  <c r="BC274" i="1"/>
  <c r="AV274" i="1"/>
  <c r="BI274" i="1"/>
  <c r="AE274" i="1"/>
  <c r="BH267" i="1"/>
  <c r="AD267" i="1"/>
  <c r="AW267" i="1"/>
  <c r="BI280" i="1"/>
  <c r="AE280" i="1"/>
  <c r="AX280" i="1"/>
  <c r="AX276" i="1"/>
  <c r="BC276" i="1"/>
  <c r="AX271" i="1"/>
  <c r="AW271" i="1"/>
  <c r="AX268" i="1"/>
  <c r="AW268" i="1"/>
  <c r="BI265" i="1"/>
  <c r="AE265" i="1"/>
  <c r="AX265" i="1"/>
  <c r="AV265" i="1"/>
  <c r="BH262" i="1"/>
  <c r="AD262" i="1"/>
  <c r="AS255" i="1"/>
  <c r="AX262" i="1"/>
  <c r="AV262" i="1"/>
  <c r="AV259" i="1"/>
  <c r="AU255" i="1"/>
  <c r="K255" i="1"/>
  <c r="E26" i="3"/>
  <c r="AT255" i="1"/>
  <c r="M255" i="1"/>
  <c r="G26" i="3"/>
  <c r="I26" i="3"/>
  <c r="AX256" i="1"/>
  <c r="AW256" i="1"/>
  <c r="AV254" i="1"/>
  <c r="BC250" i="1"/>
  <c r="AW251" i="1"/>
  <c r="AX248" i="1"/>
  <c r="AW248" i="1"/>
  <c r="BC245" i="1"/>
  <c r="L245" i="1"/>
  <c r="AV245" i="1"/>
  <c r="BI245" i="1"/>
  <c r="AE245" i="1"/>
  <c r="AV242" i="1"/>
  <c r="BC242" i="1"/>
  <c r="AU229" i="1"/>
  <c r="AX239" i="1"/>
  <c r="AW239" i="1"/>
  <c r="BC236" i="1"/>
  <c r="AV236" i="1"/>
  <c r="AT229" i="1"/>
  <c r="BC233" i="1"/>
  <c r="L229" i="1"/>
  <c r="F25" i="3"/>
  <c r="M229" i="1"/>
  <c r="G25" i="3"/>
  <c r="I25" i="3"/>
  <c r="AS229" i="1"/>
  <c r="K230" i="1"/>
  <c r="K229" i="1"/>
  <c r="E25" i="3"/>
  <c r="AX230" i="1"/>
  <c r="BC230" i="1"/>
  <c r="BH230" i="1"/>
  <c r="AD230" i="1"/>
  <c r="BC227" i="1"/>
  <c r="AV227" i="1"/>
  <c r="AS217" i="1"/>
  <c r="BH227" i="1"/>
  <c r="AB227" i="1"/>
  <c r="M217" i="1"/>
  <c r="G24" i="3"/>
  <c r="I24" i="3"/>
  <c r="AU217" i="1"/>
  <c r="BC223" i="1"/>
  <c r="AT217" i="1"/>
  <c r="AX220" i="1"/>
  <c r="AV220" i="1"/>
  <c r="L217" i="1"/>
  <c r="F24" i="3"/>
  <c r="K217" i="1"/>
  <c r="E24" i="3"/>
  <c r="BH218" i="1"/>
  <c r="AB218" i="1"/>
  <c r="AW218" i="1"/>
  <c r="BC214" i="1"/>
  <c r="AV214" i="1"/>
  <c r="K214" i="1"/>
  <c r="BH214" i="1"/>
  <c r="AB214" i="1"/>
  <c r="AX215" i="1"/>
  <c r="AW215" i="1"/>
  <c r="K212" i="1"/>
  <c r="K197" i="1"/>
  <c r="E23" i="3"/>
  <c r="BH212" i="1"/>
  <c r="AB212" i="1"/>
  <c r="AX212" i="1"/>
  <c r="BC212" i="1"/>
  <c r="AV209" i="1"/>
  <c r="BC209" i="1"/>
  <c r="AV208" i="1"/>
  <c r="AU197" i="1"/>
  <c r="AW207" i="1"/>
  <c r="AX205" i="1"/>
  <c r="BC205" i="1"/>
  <c r="BC203" i="1"/>
  <c r="M197" i="1"/>
  <c r="G23" i="3"/>
  <c r="I23" i="3"/>
  <c r="AS197" i="1"/>
  <c r="L197" i="1"/>
  <c r="F23" i="3"/>
  <c r="AW201" i="1"/>
  <c r="BC198" i="1"/>
  <c r="AK198" i="1"/>
  <c r="AT197" i="1"/>
  <c r="BH195" i="1"/>
  <c r="AB195" i="1"/>
  <c r="AK195" i="1"/>
  <c r="AT192" i="1"/>
  <c r="AX195" i="1"/>
  <c r="L192" i="1"/>
  <c r="F22" i="3"/>
  <c r="AW195" i="1"/>
  <c r="K192" i="1"/>
  <c r="E22" i="3"/>
  <c r="AU192" i="1"/>
  <c r="AX193" i="1"/>
  <c r="AW193" i="1"/>
  <c r="L191" i="1"/>
  <c r="L190" i="1"/>
  <c r="F21" i="3"/>
  <c r="AV191" i="1"/>
  <c r="K186" i="1"/>
  <c r="AS179" i="1"/>
  <c r="AK187" i="1"/>
  <c r="AT179" i="1"/>
  <c r="AX187" i="1"/>
  <c r="AW187" i="1"/>
  <c r="AX186" i="1"/>
  <c r="BC186" i="1"/>
  <c r="BC184" i="1"/>
  <c r="AU179" i="1"/>
  <c r="AX182" i="1"/>
  <c r="AV182" i="1"/>
  <c r="L179" i="1"/>
  <c r="F20" i="3"/>
  <c r="K179" i="1"/>
  <c r="E20" i="3"/>
  <c r="AX180" i="1"/>
  <c r="AW180" i="1"/>
  <c r="AW177" i="1"/>
  <c r="AV175" i="1"/>
  <c r="BC175" i="1"/>
  <c r="AV173" i="1"/>
  <c r="AX171" i="1"/>
  <c r="AW171" i="1"/>
  <c r="AX170" i="1"/>
  <c r="AW170" i="1"/>
  <c r="AX168" i="1"/>
  <c r="AW168" i="1"/>
  <c r="BC163" i="1"/>
  <c r="AX161" i="1"/>
  <c r="AW161" i="1"/>
  <c r="BC159" i="1"/>
  <c r="AV157" i="1"/>
  <c r="AW156" i="1"/>
  <c r="K153" i="1"/>
  <c r="AX154" i="1"/>
  <c r="AW154" i="1"/>
  <c r="AX153" i="1"/>
  <c r="BC153" i="1"/>
  <c r="AV151" i="1"/>
  <c r="BC151" i="1"/>
  <c r="AS135" i="1"/>
  <c r="AX147" i="1"/>
  <c r="AW147" i="1"/>
  <c r="BC142" i="1"/>
  <c r="K143" i="1"/>
  <c r="L142" i="1"/>
  <c r="M135" i="1"/>
  <c r="G19" i="3"/>
  <c r="I19" i="3"/>
  <c r="AU135" i="1"/>
  <c r="BC145" i="1"/>
  <c r="AT135" i="1"/>
  <c r="BI142" i="1"/>
  <c r="AC142" i="1"/>
  <c r="AW144" i="1"/>
  <c r="AX143" i="1"/>
  <c r="BC143" i="1"/>
  <c r="BI138" i="1"/>
  <c r="AC138" i="1"/>
  <c r="AX138" i="1"/>
  <c r="AW138" i="1"/>
  <c r="L135" i="1"/>
  <c r="F19" i="3"/>
  <c r="AX136" i="1"/>
  <c r="BH133" i="1"/>
  <c r="AB133" i="1"/>
  <c r="AX133" i="1"/>
  <c r="AW133" i="1"/>
  <c r="AT123" i="1"/>
  <c r="BC127" i="1"/>
  <c r="L127" i="1"/>
  <c r="AV127" i="1"/>
  <c r="L123" i="1"/>
  <c r="F18" i="3"/>
  <c r="K123" i="1"/>
  <c r="E18" i="3"/>
  <c r="BI124" i="1"/>
  <c r="AC124" i="1"/>
  <c r="AX124" i="1"/>
  <c r="AW124" i="1"/>
  <c r="AX120" i="1"/>
  <c r="BC120" i="1"/>
  <c r="BC115" i="1"/>
  <c r="L115" i="1"/>
  <c r="AV115" i="1"/>
  <c r="BC113" i="1"/>
  <c r="AV109" i="1"/>
  <c r="BC109" i="1"/>
  <c r="BC110" i="1"/>
  <c r="AX107" i="1"/>
  <c r="AV107" i="1"/>
  <c r="AX105" i="1"/>
  <c r="AW105" i="1"/>
  <c r="L105" i="1"/>
  <c r="BI103" i="1"/>
  <c r="AC103" i="1"/>
  <c r="AX103" i="1"/>
  <c r="AW103" i="1"/>
  <c r="BC101" i="1"/>
  <c r="AV101" i="1"/>
  <c r="AW99" i="1"/>
  <c r="AX93" i="1"/>
  <c r="AW93" i="1"/>
  <c r="AW91" i="1"/>
  <c r="BH91" i="1"/>
  <c r="AB91" i="1"/>
  <c r="M73" i="1"/>
  <c r="G17" i="3"/>
  <c r="I17" i="3"/>
  <c r="AX89" i="1"/>
  <c r="AW89" i="1"/>
  <c r="AV87" i="1"/>
  <c r="AX87" i="1"/>
  <c r="BC87" i="1"/>
  <c r="BC84" i="1"/>
  <c r="AV81" i="1"/>
  <c r="BC78" i="1"/>
  <c r="AV78" i="1"/>
  <c r="K78" i="1"/>
  <c r="L73" i="1"/>
  <c r="F17" i="3"/>
  <c r="AU73" i="1"/>
  <c r="AS73" i="1"/>
  <c r="BC76" i="1"/>
  <c r="AV76" i="1"/>
  <c r="AK76" i="1"/>
  <c r="AT73" i="1"/>
  <c r="K74" i="1"/>
  <c r="K73" i="1"/>
  <c r="E17" i="3"/>
  <c r="AX74" i="1"/>
  <c r="BC74" i="1"/>
  <c r="AX71" i="1"/>
  <c r="AW71" i="1"/>
  <c r="BC70" i="1"/>
  <c r="BC69" i="1"/>
  <c r="AV69" i="1"/>
  <c r="AW66" i="1"/>
  <c r="BC63" i="1"/>
  <c r="AV63" i="1"/>
  <c r="K63" i="1"/>
  <c r="AV62" i="1"/>
  <c r="K62" i="1"/>
  <c r="BC61" i="1"/>
  <c r="K58" i="1"/>
  <c r="AX58" i="1"/>
  <c r="BC58" i="1"/>
  <c r="AV56" i="1"/>
  <c r="BC56" i="1"/>
  <c r="K55" i="1"/>
  <c r="K43" i="1"/>
  <c r="E16" i="3"/>
  <c r="AX55" i="1"/>
  <c r="BC55" i="1"/>
  <c r="BC54" i="1"/>
  <c r="AW52" i="1"/>
  <c r="AS43" i="1"/>
  <c r="AX51" i="1"/>
  <c r="AW51" i="1"/>
  <c r="BC50" i="1"/>
  <c r="M43" i="1"/>
  <c r="G16" i="3"/>
  <c r="I16" i="3"/>
  <c r="AU43" i="1"/>
  <c r="AX48" i="1"/>
  <c r="AW48" i="1"/>
  <c r="BH46" i="1"/>
  <c r="AB46" i="1"/>
  <c r="L43" i="1"/>
  <c r="F16" i="3"/>
  <c r="AW46" i="1"/>
  <c r="AK44" i="1"/>
  <c r="AT43" i="1"/>
  <c r="BC44" i="1"/>
  <c r="AS38" i="1"/>
  <c r="K38" i="1"/>
  <c r="E15" i="3"/>
  <c r="AX41" i="1"/>
  <c r="AW41" i="1"/>
  <c r="L38" i="1"/>
  <c r="F15" i="3"/>
  <c r="AU38" i="1"/>
  <c r="AT38" i="1"/>
  <c r="AX39" i="1"/>
  <c r="AV39" i="1"/>
  <c r="M33" i="1"/>
  <c r="G14" i="3"/>
  <c r="I14" i="3"/>
  <c r="L33" i="1"/>
  <c r="F14" i="3"/>
  <c r="AK34" i="1"/>
  <c r="AT33" i="1"/>
  <c r="BI32" i="1"/>
  <c r="AC32" i="1"/>
  <c r="BI29" i="1"/>
  <c r="AC29" i="1"/>
  <c r="BH29" i="1"/>
  <c r="AB29" i="1"/>
  <c r="K29" i="1"/>
  <c r="BC27" i="1"/>
  <c r="AV27" i="1"/>
  <c r="AX26" i="1"/>
  <c r="K27" i="1"/>
  <c r="AW26" i="1"/>
  <c r="AX23" i="1"/>
  <c r="BI23" i="1"/>
  <c r="AC23" i="1"/>
  <c r="AV19" i="1"/>
  <c r="BC19" i="1"/>
  <c r="L13" i="1"/>
  <c r="F12" i="3"/>
  <c r="AW17" i="1"/>
  <c r="AU13" i="1"/>
  <c r="BH17" i="1"/>
  <c r="AB17" i="1"/>
  <c r="AT13" i="1"/>
  <c r="M13" i="1"/>
  <c r="G12" i="3"/>
  <c r="I12" i="3"/>
  <c r="AS13" i="1"/>
  <c r="BH14" i="1"/>
  <c r="AB14" i="1"/>
  <c r="K14" i="1"/>
  <c r="K13" i="1"/>
  <c r="E12" i="3"/>
  <c r="AX14" i="1"/>
  <c r="BC14" i="1"/>
  <c r="BC32" i="1"/>
  <c r="K32" i="1"/>
  <c r="K20" i="1"/>
  <c r="E13" i="3"/>
  <c r="AX32" i="1"/>
  <c r="AV32" i="1"/>
  <c r="BH32" i="1"/>
  <c r="AB32" i="1"/>
  <c r="AW30" i="1"/>
  <c r="L30" i="1"/>
  <c r="AX29" i="1"/>
  <c r="AV29" i="1"/>
  <c r="C18" i="5"/>
  <c r="C21" i="5"/>
  <c r="AS20" i="1"/>
  <c r="M20" i="1"/>
  <c r="AT20" i="1"/>
  <c r="C16" i="5"/>
  <c r="C29" i="5"/>
  <c r="F29" i="5"/>
  <c r="C20" i="5"/>
  <c r="AX24" i="1"/>
  <c r="C19" i="5"/>
  <c r="AW24" i="1"/>
  <c r="L20" i="1"/>
  <c r="AV23" i="1"/>
  <c r="AU20" i="1"/>
  <c r="BC23" i="1"/>
  <c r="C27" i="5"/>
  <c r="I27" i="6"/>
  <c r="F29" i="6"/>
  <c r="I14" i="5"/>
  <c r="I22" i="5"/>
  <c r="F14" i="5"/>
  <c r="F22" i="5"/>
  <c r="AV622" i="1"/>
  <c r="AV620" i="1"/>
  <c r="BC620" i="1"/>
  <c r="BC619" i="1"/>
  <c r="AV619" i="1"/>
  <c r="M583" i="1"/>
  <c r="G53" i="3"/>
  <c r="BC599" i="1"/>
  <c r="AV599" i="1"/>
  <c r="AV607" i="1"/>
  <c r="BC607" i="1"/>
  <c r="AV605" i="1"/>
  <c r="L583" i="1"/>
  <c r="F53" i="3"/>
  <c r="AV601" i="1"/>
  <c r="K583" i="1"/>
  <c r="E53" i="3"/>
  <c r="AV594" i="1"/>
  <c r="BC594" i="1"/>
  <c r="AV588" i="1"/>
  <c r="BC585" i="1"/>
  <c r="AV585" i="1"/>
  <c r="J14" i="2"/>
  <c r="AV581" i="1"/>
  <c r="BC581" i="1"/>
  <c r="AV579" i="1"/>
  <c r="BC579" i="1"/>
  <c r="K524" i="1"/>
  <c r="E43" i="3"/>
  <c r="AV577" i="1"/>
  <c r="BC575" i="1"/>
  <c r="AV575" i="1"/>
  <c r="AV563" i="1"/>
  <c r="BC563" i="1"/>
  <c r="AV569" i="1"/>
  <c r="BC569" i="1"/>
  <c r="M524" i="1"/>
  <c r="G43" i="3"/>
  <c r="BC566" i="1"/>
  <c r="AV566" i="1"/>
  <c r="AV565" i="1"/>
  <c r="BC565" i="1"/>
  <c r="BC551" i="1"/>
  <c r="AV558" i="1"/>
  <c r="BC558" i="1"/>
  <c r="AV549" i="1"/>
  <c r="BC549" i="1"/>
  <c r="AV545" i="1"/>
  <c r="BC545" i="1"/>
  <c r="L524" i="1"/>
  <c r="J13" i="2"/>
  <c r="BC534" i="1"/>
  <c r="AV534" i="1"/>
  <c r="AV531" i="1"/>
  <c r="BC528" i="1"/>
  <c r="AV526" i="1"/>
  <c r="BC526" i="1"/>
  <c r="I13" i="2"/>
  <c r="AV521" i="1"/>
  <c r="BC521" i="1"/>
  <c r="AV512" i="1"/>
  <c r="BC512" i="1"/>
  <c r="AV509" i="1"/>
  <c r="AV503" i="1"/>
  <c r="BC503" i="1"/>
  <c r="BC478" i="1"/>
  <c r="AV478" i="1"/>
  <c r="AV489" i="1"/>
  <c r="BC489" i="1"/>
  <c r="AV485" i="1"/>
  <c r="BC485" i="1"/>
  <c r="AV481" i="1"/>
  <c r="BC481" i="1"/>
  <c r="AV471" i="1"/>
  <c r="BC471" i="1"/>
  <c r="AV466" i="1"/>
  <c r="BC466" i="1"/>
  <c r="AV463" i="1"/>
  <c r="BC463" i="1"/>
  <c r="AV461" i="1"/>
  <c r="BC461" i="1"/>
  <c r="AV459" i="1"/>
  <c r="BC459" i="1"/>
  <c r="AV468" i="1"/>
  <c r="BC468" i="1"/>
  <c r="BC454" i="1"/>
  <c r="AV454" i="1"/>
  <c r="AV451" i="1"/>
  <c r="BC451" i="1"/>
  <c r="AV444" i="1"/>
  <c r="BC444" i="1"/>
  <c r="AV442" i="1"/>
  <c r="BC442" i="1"/>
  <c r="AV432" i="1"/>
  <c r="BC432" i="1"/>
  <c r="AV425" i="1"/>
  <c r="BC425" i="1"/>
  <c r="AV421" i="1"/>
  <c r="BC421" i="1"/>
  <c r="BC409" i="1"/>
  <c r="BC407" i="1"/>
  <c r="AV407" i="1"/>
  <c r="AV437" i="1"/>
  <c r="BC437" i="1"/>
  <c r="BC423" i="1"/>
  <c r="AV423" i="1"/>
  <c r="BC419" i="1"/>
  <c r="AV419" i="1"/>
  <c r="AV396" i="1"/>
  <c r="BC396" i="1"/>
  <c r="AV387" i="1"/>
  <c r="BC387" i="1"/>
  <c r="AV385" i="1"/>
  <c r="BC385" i="1"/>
  <c r="BC375" i="1"/>
  <c r="AV375" i="1"/>
  <c r="AV405" i="1"/>
  <c r="BC405" i="1"/>
  <c r="AV400" i="1"/>
  <c r="BC400" i="1"/>
  <c r="AV398" i="1"/>
  <c r="AV392" i="1"/>
  <c r="BC392" i="1"/>
  <c r="AV389" i="1"/>
  <c r="BC389" i="1"/>
  <c r="AV367" i="1"/>
  <c r="BC367" i="1"/>
  <c r="BC365" i="1"/>
  <c r="AV365" i="1"/>
  <c r="AV362" i="1"/>
  <c r="BC362" i="1"/>
  <c r="AV357" i="1"/>
  <c r="BC357" i="1"/>
  <c r="AV353" i="1"/>
  <c r="BC353" i="1"/>
  <c r="BC351" i="1"/>
  <c r="AV351" i="1"/>
  <c r="AV349" i="1"/>
  <c r="BC349" i="1"/>
  <c r="AV346" i="1"/>
  <c r="BC346" i="1"/>
  <c r="AV343" i="1"/>
  <c r="BC343" i="1"/>
  <c r="AV341" i="1"/>
  <c r="BC341" i="1"/>
  <c r="AV330" i="1"/>
  <c r="BC307" i="1"/>
  <c r="AV307" i="1"/>
  <c r="AV300" i="1"/>
  <c r="BC300" i="1"/>
  <c r="AV317" i="1"/>
  <c r="BC317" i="1"/>
  <c r="AV323" i="1"/>
  <c r="BC323" i="1"/>
  <c r="AV322" i="1"/>
  <c r="BC322" i="1"/>
  <c r="BC321" i="1"/>
  <c r="BC326" i="1"/>
  <c r="AV324" i="1"/>
  <c r="BC324" i="1"/>
  <c r="AV308" i="1"/>
  <c r="BC308" i="1"/>
  <c r="BC297" i="1"/>
  <c r="AV297" i="1"/>
  <c r="BC295" i="1"/>
  <c r="AV292" i="1"/>
  <c r="BC292" i="1"/>
  <c r="AV291" i="1"/>
  <c r="AV285" i="1"/>
  <c r="C17" i="5"/>
  <c r="AV267" i="1"/>
  <c r="BC267" i="1"/>
  <c r="BC280" i="1"/>
  <c r="AV280" i="1"/>
  <c r="AV276" i="1"/>
  <c r="AV271" i="1"/>
  <c r="BC271" i="1"/>
  <c r="AV268" i="1"/>
  <c r="BC268" i="1"/>
  <c r="BC265" i="1"/>
  <c r="BC262" i="1"/>
  <c r="AV256" i="1"/>
  <c r="BC256" i="1"/>
  <c r="AV251" i="1"/>
  <c r="BC251" i="1"/>
  <c r="AV248" i="1"/>
  <c r="BC248" i="1"/>
  <c r="AV239" i="1"/>
  <c r="BC239" i="1"/>
  <c r="AV230" i="1"/>
  <c r="BC220" i="1"/>
  <c r="AV218" i="1"/>
  <c r="BC218" i="1"/>
  <c r="AV215" i="1"/>
  <c r="BC215" i="1"/>
  <c r="AV212" i="1"/>
  <c r="AV207" i="1"/>
  <c r="BC207" i="1"/>
  <c r="AV205" i="1"/>
  <c r="AV201" i="1"/>
  <c r="BC201" i="1"/>
  <c r="AV195" i="1"/>
  <c r="BC195" i="1"/>
  <c r="AV193" i="1"/>
  <c r="BC193" i="1"/>
  <c r="AV187" i="1"/>
  <c r="BC187" i="1"/>
  <c r="AV186" i="1"/>
  <c r="BC182" i="1"/>
  <c r="AV180" i="1"/>
  <c r="BC180" i="1"/>
  <c r="BC177" i="1"/>
  <c r="AV177" i="1"/>
  <c r="AV170" i="1"/>
  <c r="BC170" i="1"/>
  <c r="AV171" i="1"/>
  <c r="BC171" i="1"/>
  <c r="AV168" i="1"/>
  <c r="BC168" i="1"/>
  <c r="AV161" i="1"/>
  <c r="BC161" i="1"/>
  <c r="AV156" i="1"/>
  <c r="BC156" i="1"/>
  <c r="K135" i="1"/>
  <c r="E19" i="3"/>
  <c r="AV154" i="1"/>
  <c r="BC154" i="1"/>
  <c r="AV153" i="1"/>
  <c r="BC147" i="1"/>
  <c r="AV147" i="1"/>
  <c r="AV144" i="1"/>
  <c r="BC144" i="1"/>
  <c r="AV143" i="1"/>
  <c r="AV138" i="1"/>
  <c r="BC138" i="1"/>
  <c r="AV136" i="1"/>
  <c r="BC136" i="1"/>
  <c r="AV133" i="1"/>
  <c r="BC133" i="1"/>
  <c r="AV124" i="1"/>
  <c r="BC124" i="1"/>
  <c r="AV120" i="1"/>
  <c r="BC107" i="1"/>
  <c r="AV105" i="1"/>
  <c r="BC105" i="1"/>
  <c r="AV103" i="1"/>
  <c r="BC103" i="1"/>
  <c r="AV99" i="1"/>
  <c r="BC99" i="1"/>
  <c r="BC93" i="1"/>
  <c r="AV93" i="1"/>
  <c r="AV91" i="1"/>
  <c r="BC91" i="1"/>
  <c r="AV89" i="1"/>
  <c r="BC89" i="1"/>
  <c r="AV74" i="1"/>
  <c r="AV71" i="1"/>
  <c r="BC71" i="1"/>
  <c r="AV66" i="1"/>
  <c r="BC66" i="1"/>
  <c r="AV58" i="1"/>
  <c r="AV55" i="1"/>
  <c r="AV52" i="1"/>
  <c r="BC52" i="1"/>
  <c r="AV51" i="1"/>
  <c r="BC51" i="1"/>
  <c r="AV48" i="1"/>
  <c r="BC48" i="1"/>
  <c r="AV46" i="1"/>
  <c r="BC46" i="1"/>
  <c r="AV41" i="1"/>
  <c r="BC41" i="1"/>
  <c r="BC39" i="1"/>
  <c r="C28" i="5"/>
  <c r="I28" i="5"/>
  <c r="C15" i="5"/>
  <c r="C14" i="5"/>
  <c r="AV26" i="1"/>
  <c r="BC26" i="1"/>
  <c r="M12" i="1"/>
  <c r="G11" i="3"/>
  <c r="AV17" i="1"/>
  <c r="BC17" i="1"/>
  <c r="AV14" i="1"/>
  <c r="BC30" i="1"/>
  <c r="AV30" i="1"/>
  <c r="M623" i="1"/>
  <c r="N76" i="1"/>
  <c r="BC29" i="1"/>
  <c r="G13" i="3"/>
  <c r="I13" i="3"/>
  <c r="G61" i="3"/>
  <c r="L12" i="1"/>
  <c r="F13" i="3"/>
  <c r="AV24" i="1"/>
  <c r="BC24" i="1"/>
  <c r="K14" i="2"/>
  <c r="P14" i="2"/>
  <c r="I14" i="2"/>
  <c r="K13" i="2"/>
  <c r="P13" i="2"/>
  <c r="F43" i="3"/>
  <c r="K12" i="1"/>
  <c r="E11" i="3"/>
  <c r="C22" i="5"/>
  <c r="N621" i="1"/>
  <c r="N505" i="1"/>
  <c r="N389" i="1"/>
  <c r="F28" i="5"/>
  <c r="I29" i="5"/>
  <c r="N357" i="1"/>
  <c r="N465" i="1"/>
  <c r="N454" i="1"/>
  <c r="N555" i="1"/>
  <c r="N542" i="1"/>
  <c r="N433" i="1"/>
  <c r="N392" i="1"/>
  <c r="N239" i="1"/>
  <c r="N359" i="1"/>
  <c r="N520" i="1"/>
  <c r="N214" i="1"/>
  <c r="N591" i="1"/>
  <c r="N617" i="1"/>
  <c r="N279" i="1"/>
  <c r="N400" i="1"/>
  <c r="N144" i="1"/>
  <c r="N29" i="1"/>
  <c r="N217" i="1"/>
  <c r="N34" i="1"/>
  <c r="N514" i="1"/>
  <c r="N588" i="1"/>
  <c r="N622" i="1"/>
  <c r="N604" i="1"/>
  <c r="K12" i="2"/>
  <c r="P12" i="2"/>
  <c r="K15" i="2"/>
  <c r="L14" i="2"/>
  <c r="N601" i="1"/>
  <c r="N262" i="1"/>
  <c r="N63" i="1"/>
  <c r="N530" i="1"/>
  <c r="N157" i="1"/>
  <c r="N404" i="1"/>
  <c r="N490" i="1"/>
  <c r="N439" i="1"/>
  <c r="N551" i="1"/>
  <c r="N115" i="1"/>
  <c r="N301" i="1"/>
  <c r="N171" i="1"/>
  <c r="N97" i="1"/>
  <c r="N314" i="1"/>
  <c r="N466" i="1"/>
  <c r="N355" i="1"/>
  <c r="N535" i="1"/>
  <c r="N109" i="1"/>
  <c r="N113" i="1"/>
  <c r="N191" i="1"/>
  <c r="N179" i="1"/>
  <c r="N245" i="1"/>
  <c r="N607" i="1"/>
  <c r="N186" i="1"/>
  <c r="N373" i="1"/>
  <c r="N487" i="1"/>
  <c r="N375" i="1"/>
  <c r="N568" i="1"/>
  <c r="N290" i="1"/>
  <c r="N136" i="1"/>
  <c r="N577" i="1"/>
  <c r="N39" i="1"/>
  <c r="N593" i="1"/>
  <c r="N46" i="1"/>
  <c r="N335" i="1"/>
  <c r="N333" i="1"/>
  <c r="N275" i="1"/>
  <c r="N584" i="1"/>
  <c r="N558" i="1"/>
  <c r="N203" i="1"/>
  <c r="N493" i="1"/>
  <c r="N164" i="1"/>
  <c r="N575" i="1"/>
  <c r="N426" i="1"/>
  <c r="N569" i="1"/>
  <c r="N425" i="1"/>
  <c r="N227" i="1"/>
  <c r="N19" i="1"/>
  <c r="N508" i="1"/>
  <c r="N365" i="1"/>
  <c r="N207" i="1"/>
  <c r="N93" i="1"/>
  <c r="N548" i="1"/>
  <c r="N463" i="1"/>
  <c r="N276" i="1"/>
  <c r="N17" i="1"/>
  <c r="N387" i="1"/>
  <c r="N212" i="1"/>
  <c r="N41" i="1"/>
  <c r="N485" i="1"/>
  <c r="N220" i="1"/>
  <c r="N48" i="1"/>
  <c r="N215" i="1"/>
  <c r="N469" i="1"/>
  <c r="N292" i="1"/>
  <c r="N44" i="1"/>
  <c r="N394" i="1"/>
  <c r="N248" i="1"/>
  <c r="N81" i="1"/>
  <c r="N495" i="1"/>
  <c r="N267" i="1"/>
  <c r="N274" i="1"/>
  <c r="N326" i="1"/>
  <c r="N151" i="1"/>
  <c r="N534" i="1"/>
  <c r="N444" i="1"/>
  <c r="N385" i="1"/>
  <c r="N105" i="1"/>
  <c r="N565" i="1"/>
  <c r="N411" i="1"/>
  <c r="N563" i="1"/>
  <c r="N409" i="1"/>
  <c r="N197" i="1"/>
  <c r="N619" i="1"/>
  <c r="N479" i="1"/>
  <c r="N342" i="1"/>
  <c r="N198" i="1"/>
  <c r="N74" i="1"/>
  <c r="N536" i="1"/>
  <c r="N437" i="1"/>
  <c r="N259" i="1"/>
  <c r="N13" i="1"/>
  <c r="N379" i="1"/>
  <c r="N192" i="1"/>
  <c r="N30" i="1"/>
  <c r="N443" i="1"/>
  <c r="N124" i="1"/>
  <c r="N37" i="1"/>
  <c r="N208" i="1"/>
  <c r="N168" i="1"/>
  <c r="N533" i="1"/>
  <c r="N423" i="1"/>
  <c r="N223" i="1"/>
  <c r="N516" i="1"/>
  <c r="N173" i="1"/>
  <c r="N24" i="1"/>
  <c r="N428" i="1"/>
  <c r="N62" i="1"/>
  <c r="N597" i="1"/>
  <c r="N177" i="1"/>
  <c r="N458" i="1"/>
  <c r="N328" i="1"/>
  <c r="N78" i="1"/>
  <c r="N525" i="1"/>
  <c r="N349" i="1"/>
  <c r="N499" i="1"/>
  <c r="N130" i="1"/>
  <c r="N590" i="1"/>
  <c r="N449" i="1"/>
  <c r="N324" i="1"/>
  <c r="N154" i="1"/>
  <c r="N32" i="1"/>
  <c r="N524" i="1"/>
  <c r="N407" i="1"/>
  <c r="N195" i="1"/>
  <c r="N507" i="1"/>
  <c r="N323" i="1"/>
  <c r="N153" i="1"/>
  <c r="N610" i="1"/>
  <c r="N414" i="1"/>
  <c r="N55" i="1"/>
  <c r="N562" i="1"/>
  <c r="N21" i="1"/>
  <c r="N43" i="1"/>
  <c r="N341" i="1"/>
  <c r="N599" i="1"/>
  <c r="N307" i="1"/>
  <c r="N452" i="1"/>
  <c r="N346" i="1"/>
  <c r="N549" i="1"/>
  <c r="N338" i="1"/>
  <c r="N209" i="1"/>
  <c r="N233" i="1"/>
  <c r="N579" i="1"/>
  <c r="N369" i="1"/>
  <c r="N512" i="1"/>
  <c r="N265" i="1"/>
  <c r="N489" i="1"/>
  <c r="N334" i="1"/>
  <c r="N66" i="1"/>
  <c r="N581" i="1"/>
  <c r="N406" i="1"/>
  <c r="N310" i="1"/>
  <c r="N147" i="1"/>
  <c r="N26" i="1"/>
  <c r="N515" i="1"/>
  <c r="N353" i="1"/>
  <c r="N184" i="1"/>
  <c r="N453" i="1"/>
  <c r="N317" i="1"/>
  <c r="N145" i="1"/>
  <c r="N545" i="1"/>
  <c r="N358" i="1"/>
  <c r="N50" i="1"/>
  <c r="N451" i="1"/>
  <c r="N12" i="1"/>
  <c r="N133" i="1"/>
  <c r="N471" i="1"/>
  <c r="N295" i="1"/>
  <c r="N52" i="1"/>
  <c r="N561" i="1"/>
  <c r="N401" i="1"/>
  <c r="N250" i="1"/>
  <c r="N142" i="1"/>
  <c r="N611" i="1"/>
  <c r="N498" i="1"/>
  <c r="N343" i="1"/>
  <c r="N127" i="1"/>
  <c r="N405" i="1"/>
  <c r="N308" i="1"/>
  <c r="N138" i="1"/>
  <c r="N522" i="1"/>
  <c r="N282" i="1"/>
  <c r="N20" i="1"/>
  <c r="N390" i="1"/>
  <c r="N322" i="1"/>
  <c r="N377" i="1"/>
  <c r="N528" i="1"/>
  <c r="N300" i="1"/>
  <c r="N120" i="1"/>
  <c r="N89" i="1"/>
  <c r="N618" i="1"/>
  <c r="N608" i="1"/>
  <c r="N472" i="1"/>
  <c r="N296" i="1"/>
  <c r="N539" i="1"/>
  <c r="N432" i="1"/>
  <c r="N288" i="1"/>
  <c r="N73" i="1"/>
  <c r="N615" i="1"/>
  <c r="N517" i="1"/>
  <c r="N396" i="1"/>
  <c r="N318" i="1"/>
  <c r="N175" i="1"/>
  <c r="N101" i="1"/>
  <c r="N605" i="1"/>
  <c r="N518" i="1"/>
  <c r="N430" i="1"/>
  <c r="N285" i="1"/>
  <c r="N71" i="1"/>
  <c r="N494" i="1"/>
  <c r="N362" i="1"/>
  <c r="N236" i="1"/>
  <c r="N123" i="1"/>
  <c r="N585" i="1"/>
  <c r="N435" i="1"/>
  <c r="N256" i="1"/>
  <c r="N483" i="1"/>
  <c r="N552" i="1"/>
  <c r="N201" i="1"/>
  <c r="N111" i="1"/>
  <c r="N254" i="1"/>
  <c r="N399" i="1"/>
  <c r="N476" i="1"/>
  <c r="N612" i="1"/>
  <c r="N574" i="1"/>
  <c r="N482" i="1"/>
  <c r="N570" i="1"/>
  <c r="N442" i="1"/>
  <c r="N187" i="1"/>
  <c r="N511" i="1"/>
  <c r="N418" i="1"/>
  <c r="N271" i="1"/>
  <c r="N58" i="1"/>
  <c r="N594" i="1"/>
  <c r="N500" i="1"/>
  <c r="N381" i="1"/>
  <c r="N303" i="1"/>
  <c r="N161" i="1"/>
  <c r="N84" i="1"/>
  <c r="N587" i="1"/>
  <c r="N509" i="1"/>
  <c r="N416" i="1"/>
  <c r="N268" i="1"/>
  <c r="N51" i="1"/>
  <c r="N446" i="1"/>
  <c r="N329" i="1"/>
  <c r="N205" i="1"/>
  <c r="N107" i="1"/>
  <c r="N531" i="1"/>
  <c r="N421" i="1"/>
  <c r="N135" i="1"/>
  <c r="N280" i="1"/>
  <c r="N398" i="1"/>
  <c r="N163" i="1"/>
  <c r="N166" i="1"/>
  <c r="N99" i="1"/>
  <c r="N576" i="1"/>
  <c r="N468" i="1"/>
  <c r="N351" i="1"/>
  <c r="N193" i="1"/>
  <c r="N38" i="1"/>
  <c r="N229" i="1"/>
  <c r="N526" i="1"/>
  <c r="N321" i="1"/>
  <c r="N117" i="1"/>
  <c r="N56" i="1"/>
  <c r="N478" i="1"/>
  <c r="N371" i="1"/>
  <c r="N255" i="1"/>
  <c r="N159" i="1"/>
  <c r="N91" i="1"/>
  <c r="N566" i="1"/>
  <c r="N461" i="1"/>
  <c r="N330" i="1"/>
  <c r="N190" i="1"/>
  <c r="N14" i="1"/>
  <c r="N180" i="1"/>
  <c r="N503" i="1"/>
  <c r="N312" i="1"/>
  <c r="N103" i="1"/>
  <c r="N291" i="1"/>
  <c r="N182" i="1"/>
  <c r="N23" i="1"/>
  <c r="N54" i="1"/>
  <c r="N481" i="1"/>
  <c r="N305" i="1"/>
  <c r="N87" i="1"/>
  <c r="N143" i="1"/>
  <c r="N620" i="1"/>
  <c r="N402" i="1"/>
  <c r="N251" i="1"/>
  <c r="N110" i="1"/>
  <c r="N70" i="1"/>
  <c r="N521" i="1"/>
  <c r="N218" i="1"/>
  <c r="N616" i="1"/>
  <c r="N491" i="1"/>
  <c r="N383" i="1"/>
  <c r="N297" i="1"/>
  <c r="N170" i="1"/>
  <c r="N95" i="1"/>
  <c r="N459" i="1"/>
  <c r="N69" i="1"/>
  <c r="N583" i="1"/>
  <c r="N473" i="1"/>
  <c r="N367" i="1"/>
  <c r="N242" i="1"/>
  <c r="N156" i="1"/>
  <c r="N33" i="1"/>
  <c r="N419" i="1"/>
  <c r="N61" i="1"/>
  <c r="N571" i="1"/>
  <c r="N457" i="1"/>
  <c r="N337" i="1"/>
  <c r="N230" i="1"/>
  <c r="N149" i="1"/>
  <c r="N27" i="1"/>
  <c r="J12" i="2"/>
  <c r="F11" i="3"/>
  <c r="I12" i="2"/>
  <c r="L12" i="2"/>
  <c r="L13" i="2"/>
</calcChain>
</file>

<file path=xl/sharedStrings.xml><?xml version="1.0" encoding="utf-8"?>
<sst xmlns="http://schemas.openxmlformats.org/spreadsheetml/2006/main" count="8294" uniqueCount="1868">
  <si>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</si>
  <si>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</si>
  <si>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</si>
  <si>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</si>
  <si>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</si>
  <si>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</si>
  <si>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</si>
  <si>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</si>
  <si>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</si>
  <si>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</si>
  <si>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</si>
  <si>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</si>
  <si>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</si>
  <si>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</si>
  <si>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</si>
  <si>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</si>
  <si>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</si>
  <si>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</si>
  <si>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</si>
  <si>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</si>
  <si>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</si>
  <si>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</si>
  <si>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</si>
  <si>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</si>
  <si>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</si>
  <si>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</si>
  <si>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</si>
  <si>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</si>
  <si>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</si>
  <si>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</si>
  <si>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</si>
  <si>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</si>
  <si>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</si>
  <si>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</si>
  <si>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</si>
  <si>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</si>
  <si>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</si>
  <si>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</si>
  <si>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</si>
  <si>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</si>
  <si>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</si>
  <si>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</si>
  <si>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</si>
  <si>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</si>
  <si>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</si>
  <si>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</si>
  <si>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</si>
  <si>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</si>
  <si>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</si>
  <si>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</si>
  <si>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</si>
  <si>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</si>
  <si>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</si>
  <si>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</si>
  <si>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</si>
  <si>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</si>
  <si>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</si>
  <si>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</si>
  <si>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</si>
  <si>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</si>
  <si>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</si>
  <si>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</si>
  <si>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</si>
  <si>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</si>
  <si>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</si>
  <si>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</si>
  <si>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</si>
  <si>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</si>
  <si>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</si>
  <si>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</si>
  <si>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</si>
  <si>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</si>
  <si>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</si>
  <si>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</si>
  <si>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</si>
  <si>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</si>
  <si>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</si>
  <si>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</si>
  <si>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</si>
  <si>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</si>
  <si>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</si>
  <si>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</si>
  <si>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</si>
  <si>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</si>
  <si>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</si>
  <si>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</si>
  <si>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</si>
  <si>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</si>
  <si>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</si>
  <si>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</si>
  <si>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</si>
  <si>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</si>
  <si>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</si>
  <si>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</si>
  <si>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</si>
  <si>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</si>
  <si>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</si>
  <si>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</si>
  <si>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</si>
  <si>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</si>
  <si>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</si>
  <si>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</si>
  <si>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</si>
  <si>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</si>
  <si>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</si>
  <si>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</si>
  <si>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</si>
  <si>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</si>
  <si>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</si>
  <si>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</si>
  <si>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</si>
  <si>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</si>
  <si>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</si>
  <si>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</si>
  <si>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</si>
  <si>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</si>
  <si>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</si>
  <si>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</si>
  <si>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</si>
  <si>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</si>
  <si>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</si>
  <si>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</si>
  <si>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</si>
  <si>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</si>
  <si>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</si>
  <si>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</si>
  <si>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</si>
  <si>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</si>
  <si>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</si>
  <si>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</si>
  <si>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</si>
  <si>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</si>
  <si>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</si>
  <si>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</si>
  <si>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</si>
  <si>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</si>
  <si>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</si>
  <si>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</si>
  <si>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</si>
  <si>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</si>
  <si>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</si>
  <si>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</si>
  <si>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</si>
  <si>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</si>
  <si>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</si>
  <si>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</si>
  <si>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</si>
  <si>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</si>
  <si>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</si>
  <si>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</si>
  <si>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</si>
  <si>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</si>
  <si>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</si>
  <si>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</si>
  <si>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</si>
  <si>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</si>
  <si>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</si>
  <si>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</si>
  <si>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</si>
  <si>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</si>
  <si>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</si>
  <si>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</si>
  <si>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</si>
  <si>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</si>
  <si>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</si>
  <si>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</si>
  <si>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</si>
  <si>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</si>
  <si>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</si>
  <si>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</si>
  <si>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</si>
  <si>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</si>
  <si>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</si>
  <si>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</si>
  <si>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</si>
  <si>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</si>
  <si>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</si>
  <si>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</si>
  <si>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</si>
  <si>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</si>
  <si>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</si>
  <si>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</si>
  <si>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</si>
  <si>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</si>
  <si>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</si>
  <si>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</si>
  <si>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</si>
  <si>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</si>
  <si>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</si>
  <si>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</si>
  <si>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</si>
  <si>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</si>
  <si>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</si>
  <si>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</si>
  <si>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</si>
  <si>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</si>
  <si>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</si>
  <si>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</si>
  <si>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</si>
  <si>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</si>
  <si>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</si>
  <si>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</si>
  <si>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</si>
  <si>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</si>
  <si>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</si>
  <si>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</si>
  <si>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</si>
  <si>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</si>
  <si>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</si>
  <si>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</si>
  <si>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</si>
  <si>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</si>
  <si>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</si>
  <si>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</si>
  <si>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</si>
  <si>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</si>
  <si>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</si>
  <si>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</si>
  <si>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</si>
  <si>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</si>
  <si>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</si>
  <si>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</si>
  <si>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</si>
  <si>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</si>
  <si>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</si>
  <si>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</si>
  <si>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</si>
  <si>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</si>
  <si>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</si>
  <si>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</si>
  <si>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</si>
  <si>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</si>
  <si>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</si>
  <si>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</si>
  <si>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</si>
  <si>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</si>
  <si>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</si>
  <si>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</si>
  <si>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</si>
  <si>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</si>
  <si>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</si>
  <si>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</si>
  <si>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</si>
  <si>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</si>
  <si>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</si>
  <si>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</si>
  <si>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</si>
  <si>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</si>
  <si>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</si>
  <si>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</si>
  <si>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</si>
  <si>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</si>
  <si>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</si>
  <si>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</si>
  <si>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</si>
  <si>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</si>
  <si>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</si>
  <si>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</si>
  <si>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</si>
  <si>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</si>
  <si>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</si>
  <si>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</si>
  <si>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</si>
  <si>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</si>
  <si>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</si>
  <si>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</si>
  <si>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</si>
  <si>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</si>
  <si>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</si>
  <si>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</si>
  <si>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</si>
  <si>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</si>
  <si>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</si>
  <si>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</si>
  <si>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</si>
  <si>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</si>
  <si>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</si>
  <si>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</si>
  <si>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</si>
  <si>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</si>
  <si>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</si>
  <si>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</si>
  <si>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</si>
  <si>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</si>
  <si>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</si>
  <si>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</si>
  <si>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</si>
  <si>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</si>
  <si>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</si>
  <si>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</si>
  <si>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</si>
  <si>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</si>
  <si>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</si>
  <si>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</si>
  <si>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</si>
  <si>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</si>
  <si>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</si>
  <si>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</si>
  <si>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</si>
  <si>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</si>
  <si>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</si>
  <si>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</si>
  <si>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Poznámka:</t>
  </si>
  <si>
    <t>Rozpočet / Slepý rozpočet (položkový výkaz výměr) je součástí projektové dokumentace a z projektové dokumentace vychází. Je zpracován na základě dokumentace pro ÚS a OS 01/2022. Popis prací není vyčerpávající, je souhrnný, tzn. že poskytuje ucelený přehled o rozsahu dodávky pomocí položek, které mají vliv na celkovou cenu díla. Je pouze částí projektové dokumentace. Je informativní, tedy případná neúplnost nebo nepřesnost ve výpisu prvků a popisu prací nebo jejich výměr a nepřesnosti neovlivní celkovou cenu díla. Nabízející má povinnost si vše zkontrolovat a upozornit na nepřesnosti v rámci nabídkového řízení._x000D_
Profese TZB a přípojky, nejsou součástí tohoto Rozpočtu / Slepého rozpočtu (položkový výkaz výměr), stavebník si je řeší samostatně._x000D_
Uvedené názvy materiálů jsou pouze pro potřebu stanovení orientačního / referenčního standardu, vše musí být projednáno a odsouhlaseno se stavebníkem, projektantem.</t>
  </si>
  <si>
    <t>Objekt</t>
  </si>
  <si>
    <t>SO 01</t>
  </si>
  <si>
    <t>SO 01.1</t>
  </si>
  <si>
    <t>SO 02</t>
  </si>
  <si>
    <t>Kód</t>
  </si>
  <si>
    <t>121101100R00</t>
  </si>
  <si>
    <t>Dokumentace:</t>
  </si>
  <si>
    <t>122201101T00</t>
  </si>
  <si>
    <t>122201109R00</t>
  </si>
  <si>
    <t>131201112T00</t>
  </si>
  <si>
    <t>131201119R00</t>
  </si>
  <si>
    <t>131301110T00</t>
  </si>
  <si>
    <t>131301119R00</t>
  </si>
  <si>
    <t>132201211T00</t>
  </si>
  <si>
    <t>132201219T00</t>
  </si>
  <si>
    <t>132301110T00</t>
  </si>
  <si>
    <t>132301119T00</t>
  </si>
  <si>
    <t>162201102R00</t>
  </si>
  <si>
    <t>167101102R00</t>
  </si>
  <si>
    <t>174101101R00</t>
  </si>
  <si>
    <t>171101103R00</t>
  </si>
  <si>
    <t>271531112R00</t>
  </si>
  <si>
    <t>271313511R00</t>
  </si>
  <si>
    <t>274313511R00</t>
  </si>
  <si>
    <t>274351215T00</t>
  </si>
  <si>
    <t>274351216R00</t>
  </si>
  <si>
    <t>275313511R00</t>
  </si>
  <si>
    <t>275351215R00</t>
  </si>
  <si>
    <t>275351216R00</t>
  </si>
  <si>
    <t>273321411R00</t>
  </si>
  <si>
    <t>273323611RT6</t>
  </si>
  <si>
    <t>273351215T00</t>
  </si>
  <si>
    <t>273351216R00</t>
  </si>
  <si>
    <t>273361921RT4</t>
  </si>
  <si>
    <t>279323511RT6</t>
  </si>
  <si>
    <t>279351105R00</t>
  </si>
  <si>
    <t>279351106R00</t>
  </si>
  <si>
    <t>279361721R00</t>
  </si>
  <si>
    <t>311101211R00</t>
  </si>
  <si>
    <t>311101212R00</t>
  </si>
  <si>
    <t>311112120RT4</t>
  </si>
  <si>
    <t>311112130RT4</t>
  </si>
  <si>
    <t>311112140RT4</t>
  </si>
  <si>
    <t>311361721R00</t>
  </si>
  <si>
    <t>311238907R00VD</t>
  </si>
  <si>
    <t>311238608R00</t>
  </si>
  <si>
    <t>317168130R00</t>
  </si>
  <si>
    <t>317168132R00</t>
  </si>
  <si>
    <t>317168522R00</t>
  </si>
  <si>
    <t>317168136R00</t>
  </si>
  <si>
    <t>317168526R00</t>
  </si>
  <si>
    <t>317168137R00</t>
  </si>
  <si>
    <t>317168527R00</t>
  </si>
  <si>
    <t>317998111T00</t>
  </si>
  <si>
    <t>28375465</t>
  </si>
  <si>
    <t>28375466</t>
  </si>
  <si>
    <t>311238111R00</t>
  </si>
  <si>
    <t>317168121R00</t>
  </si>
  <si>
    <t>317168122R00</t>
  </si>
  <si>
    <t>317120033RAB</t>
  </si>
  <si>
    <t>317120033RAD</t>
  </si>
  <si>
    <t>342255020RT2</t>
  </si>
  <si>
    <t>342255024RT1</t>
  </si>
  <si>
    <t>342255028RT1</t>
  </si>
  <si>
    <t>346244315R00</t>
  </si>
  <si>
    <t>411321826R00</t>
  </si>
  <si>
    <t>411351101RT4</t>
  </si>
  <si>
    <t>411351102R00</t>
  </si>
  <si>
    <t>411351801R00</t>
  </si>
  <si>
    <t>411351802R00</t>
  </si>
  <si>
    <t>411351902R00</t>
  </si>
  <si>
    <t>411361721R00</t>
  </si>
  <si>
    <t>413321515R00</t>
  </si>
  <si>
    <t>413351107R00</t>
  </si>
  <si>
    <t>413351108R00</t>
  </si>
  <si>
    <t>413351211R00</t>
  </si>
  <si>
    <t>413351212R00</t>
  </si>
  <si>
    <t>413361721R00</t>
  </si>
  <si>
    <t>417998112T00</t>
  </si>
  <si>
    <t>417998113T00</t>
  </si>
  <si>
    <t>28375469</t>
  </si>
  <si>
    <t>417238122R00</t>
  </si>
  <si>
    <t>417321414R00</t>
  </si>
  <si>
    <t>417351111R00</t>
  </si>
  <si>
    <t>417351113R00</t>
  </si>
  <si>
    <t>417361721R00</t>
  </si>
  <si>
    <t>411120033RA0</t>
  </si>
  <si>
    <t>416021121R00</t>
  </si>
  <si>
    <t>416021123R00</t>
  </si>
  <si>
    <t>430321314R00</t>
  </si>
  <si>
    <t>430361725R00</t>
  </si>
  <si>
    <t>431351125R00</t>
  </si>
  <si>
    <t>431351126R00</t>
  </si>
  <si>
    <t>434100001RA0</t>
  </si>
  <si>
    <t>602016201R00</t>
  </si>
  <si>
    <t>612421615R00</t>
  </si>
  <si>
    <t>612421637R00</t>
  </si>
  <si>
    <t>621481211RT2</t>
  </si>
  <si>
    <t>621472152R00</t>
  </si>
  <si>
    <t>621472192R00</t>
  </si>
  <si>
    <t>622472142R00</t>
  </si>
  <si>
    <t>622472192R00</t>
  </si>
  <si>
    <t>622318150R00VD</t>
  </si>
  <si>
    <t>622473187RT2</t>
  </si>
  <si>
    <t>622473186R00</t>
  </si>
  <si>
    <t>28343190.A</t>
  </si>
  <si>
    <t>620991121T00</t>
  </si>
  <si>
    <t>639570010RA0</t>
  </si>
  <si>
    <t>631312621RT3</t>
  </si>
  <si>
    <t>631312811RN3</t>
  </si>
  <si>
    <t>632443221R00</t>
  </si>
  <si>
    <t>711</t>
  </si>
  <si>
    <t>711111006RZ4</t>
  </si>
  <si>
    <t>711112006RZ4</t>
  </si>
  <si>
    <t>711141559RY1</t>
  </si>
  <si>
    <t>711142559RY1</t>
  </si>
  <si>
    <t>711823121RT5</t>
  </si>
  <si>
    <t>711191271RT2</t>
  </si>
  <si>
    <t>711823111R00</t>
  </si>
  <si>
    <t>28323125</t>
  </si>
  <si>
    <t>711210020RAA</t>
  </si>
  <si>
    <t>998711102T00</t>
  </si>
  <si>
    <t>712</t>
  </si>
  <si>
    <t>712311106RZ4</t>
  </si>
  <si>
    <t>712811102RZ1</t>
  </si>
  <si>
    <t>712341559RT1</t>
  </si>
  <si>
    <t>712841559RT1</t>
  </si>
  <si>
    <t>628522691</t>
  </si>
  <si>
    <t>712341559RT2</t>
  </si>
  <si>
    <t>712841559RT2</t>
  </si>
  <si>
    <t>62852265</t>
  </si>
  <si>
    <t>628522503</t>
  </si>
  <si>
    <t>712391172RT1</t>
  </si>
  <si>
    <t>67390526</t>
  </si>
  <si>
    <t>712348103RT3</t>
  </si>
  <si>
    <t>712373111RS3</t>
  </si>
  <si>
    <t>712871801RZ4</t>
  </si>
  <si>
    <t>712378003R00</t>
  </si>
  <si>
    <t>712378006R00</t>
  </si>
  <si>
    <t>712378007R00</t>
  </si>
  <si>
    <t>712378103RT3</t>
  </si>
  <si>
    <t>998712102T00</t>
  </si>
  <si>
    <t>713</t>
  </si>
  <si>
    <t>713131131RT2</t>
  </si>
  <si>
    <t>28375460</t>
  </si>
  <si>
    <t>713141125R00</t>
  </si>
  <si>
    <t>28376504VD</t>
  </si>
  <si>
    <t>713141124R00</t>
  </si>
  <si>
    <t>28375464</t>
  </si>
  <si>
    <t>713141312R00</t>
  </si>
  <si>
    <t>28375972</t>
  </si>
  <si>
    <t>28375982</t>
  </si>
  <si>
    <t>713111127RT2</t>
  </si>
  <si>
    <t>283759213</t>
  </si>
  <si>
    <t>713121111RT1</t>
  </si>
  <si>
    <t>28375706</t>
  </si>
  <si>
    <t>28376062</t>
  </si>
  <si>
    <t>28376066</t>
  </si>
  <si>
    <t>713121118RU1</t>
  </si>
  <si>
    <t>713191100RT9</t>
  </si>
  <si>
    <t>998713102R00</t>
  </si>
  <si>
    <t>721</t>
  </si>
  <si>
    <t>721242110RT2</t>
  </si>
  <si>
    <t>998721102R00</t>
  </si>
  <si>
    <t>762</t>
  </si>
  <si>
    <t>762431225R00</t>
  </si>
  <si>
    <t>60725012</t>
  </si>
  <si>
    <t>762441114RT2</t>
  </si>
  <si>
    <t>998762102R00</t>
  </si>
  <si>
    <t>764</t>
  </si>
  <si>
    <t>764430260RT2</t>
  </si>
  <si>
    <t>764410440RT2</t>
  </si>
  <si>
    <t>764359212R00</t>
  </si>
  <si>
    <t>764454203R00</t>
  </si>
  <si>
    <t>764454204R00</t>
  </si>
  <si>
    <t>764454205R00</t>
  </si>
  <si>
    <t>998764102R00</t>
  </si>
  <si>
    <t>766</t>
  </si>
  <si>
    <t>766410010RAA</t>
  </si>
  <si>
    <t>766420010RAA</t>
  </si>
  <si>
    <t>766694111R00</t>
  </si>
  <si>
    <t>766694113R00</t>
  </si>
  <si>
    <t>61187554VD</t>
  </si>
  <si>
    <t>766670011R00</t>
  </si>
  <si>
    <t>61181501</t>
  </si>
  <si>
    <t>61181526</t>
  </si>
  <si>
    <t>61181502</t>
  </si>
  <si>
    <t>61181517</t>
  </si>
  <si>
    <t>611815293</t>
  </si>
  <si>
    <t>61161802</t>
  </si>
  <si>
    <t>61161803</t>
  </si>
  <si>
    <t>61161821</t>
  </si>
  <si>
    <t>766670021R00</t>
  </si>
  <si>
    <t>54914630</t>
  </si>
  <si>
    <t>766666112T00</t>
  </si>
  <si>
    <t>61169003</t>
  </si>
  <si>
    <t>54915420VD</t>
  </si>
  <si>
    <t>766270120R00</t>
  </si>
  <si>
    <t>607201013</t>
  </si>
  <si>
    <t>766270220R00</t>
  </si>
  <si>
    <t>607201033</t>
  </si>
  <si>
    <t>766270320R00</t>
  </si>
  <si>
    <t>61416200</t>
  </si>
  <si>
    <t>998766102R00</t>
  </si>
  <si>
    <t>767</t>
  </si>
  <si>
    <t>767427111R00VD</t>
  </si>
  <si>
    <t>767427112R00VD</t>
  </si>
  <si>
    <t>767427113R00VD</t>
  </si>
  <si>
    <t>767616111R00</t>
  </si>
  <si>
    <t>55335413.AVD</t>
  </si>
  <si>
    <t>767681210R00</t>
  </si>
  <si>
    <t>553310231VD</t>
  </si>
  <si>
    <t>767641112T00</t>
  </si>
  <si>
    <t>55345501VD</t>
  </si>
  <si>
    <t>767681220R00</t>
  </si>
  <si>
    <t>55331244VD</t>
  </si>
  <si>
    <t>767641122T00</t>
  </si>
  <si>
    <t>61165397VD</t>
  </si>
  <si>
    <t>767644110R00</t>
  </si>
  <si>
    <t>549146431</t>
  </si>
  <si>
    <t>767657210R00</t>
  </si>
  <si>
    <t>5534451000VD</t>
  </si>
  <si>
    <t>767995101R00VD</t>
  </si>
  <si>
    <t>998767102R00</t>
  </si>
  <si>
    <t>771</t>
  </si>
  <si>
    <t>771101101R00</t>
  </si>
  <si>
    <t>771101210RT1</t>
  </si>
  <si>
    <t>771575109T00</t>
  </si>
  <si>
    <t>771475014T00</t>
  </si>
  <si>
    <t>597642031</t>
  </si>
  <si>
    <t>597623142</t>
  </si>
  <si>
    <t>771577113RS1</t>
  </si>
  <si>
    <t>998771102R00</t>
  </si>
  <si>
    <t>775</t>
  </si>
  <si>
    <t>775101101R00</t>
  </si>
  <si>
    <t>775542022R00</t>
  </si>
  <si>
    <t>775541400R00</t>
  </si>
  <si>
    <t>61193705</t>
  </si>
  <si>
    <t>775413021T00</t>
  </si>
  <si>
    <t>611936841</t>
  </si>
  <si>
    <t>775981113RT1</t>
  </si>
  <si>
    <t>998775102R00</t>
  </si>
  <si>
    <t>781</t>
  </si>
  <si>
    <t>781101210RT1</t>
  </si>
  <si>
    <t>781475120T00</t>
  </si>
  <si>
    <t>597813740</t>
  </si>
  <si>
    <t>781497111RS2</t>
  </si>
  <si>
    <t>998781102R00</t>
  </si>
  <si>
    <t>783</t>
  </si>
  <si>
    <t>783896210R00</t>
  </si>
  <si>
    <t>783851223R00</t>
  </si>
  <si>
    <t>783616000R00</t>
  </si>
  <si>
    <t>783626010R00</t>
  </si>
  <si>
    <t>784</t>
  </si>
  <si>
    <t>784191201R00</t>
  </si>
  <si>
    <t>784195122R00</t>
  </si>
  <si>
    <t>786</t>
  </si>
  <si>
    <t>786623122R00VD</t>
  </si>
  <si>
    <t>998786102R00</t>
  </si>
  <si>
    <t>941941031RT4</t>
  </si>
  <si>
    <t>941941191RT4</t>
  </si>
  <si>
    <t>941941831RT4</t>
  </si>
  <si>
    <t>941955001R00</t>
  </si>
  <si>
    <t>950015012RA0</t>
  </si>
  <si>
    <t>952901111R00</t>
  </si>
  <si>
    <t>953941312R00</t>
  </si>
  <si>
    <t>44984124</t>
  </si>
  <si>
    <t>H01</t>
  </si>
  <si>
    <t>998011002R00</t>
  </si>
  <si>
    <t>M43</t>
  </si>
  <si>
    <t>430861002R00</t>
  </si>
  <si>
    <t>55399993</t>
  </si>
  <si>
    <t>953981103R00</t>
  </si>
  <si>
    <t>713511346T00</t>
  </si>
  <si>
    <t>113202111R00</t>
  </si>
  <si>
    <t>113106231R00</t>
  </si>
  <si>
    <t>132101110R00</t>
  </si>
  <si>
    <t>564211111R00</t>
  </si>
  <si>
    <t>564811111R00</t>
  </si>
  <si>
    <t>564831111RT4</t>
  </si>
  <si>
    <t>564871111RT4</t>
  </si>
  <si>
    <t>591211111R00</t>
  </si>
  <si>
    <t>58380120.A</t>
  </si>
  <si>
    <t>596811111RT6</t>
  </si>
  <si>
    <t>596040011RA0</t>
  </si>
  <si>
    <t>597101020RAA</t>
  </si>
  <si>
    <t>597103013RA0</t>
  </si>
  <si>
    <t>766441111R00</t>
  </si>
  <si>
    <t>611981858</t>
  </si>
  <si>
    <t>611981895</t>
  </si>
  <si>
    <t>283282013</t>
  </si>
  <si>
    <t>283282014</t>
  </si>
  <si>
    <t>917862111RT5</t>
  </si>
  <si>
    <t>H22</t>
  </si>
  <si>
    <t>998223011R00</t>
  </si>
  <si>
    <t>S</t>
  </si>
  <si>
    <t>979081111RT2</t>
  </si>
  <si>
    <t>979081121RT2</t>
  </si>
  <si>
    <t>979990103R00</t>
  </si>
  <si>
    <t>132201110T00</t>
  </si>
  <si>
    <t>55348114</t>
  </si>
  <si>
    <t>318261125RT1</t>
  </si>
  <si>
    <t>54806VD</t>
  </si>
  <si>
    <t>54802CP70KITVD</t>
  </si>
  <si>
    <t>54803BH30503VD</t>
  </si>
  <si>
    <t>54804HRNY600VD</t>
  </si>
  <si>
    <t>54805TX52VD</t>
  </si>
  <si>
    <t>998767101R00</t>
  </si>
  <si>
    <t>H15</t>
  </si>
  <si>
    <t>998151112R00</t>
  </si>
  <si>
    <t>RDSD</t>
  </si>
  <si>
    <t>Novostavba RD</t>
  </si>
  <si>
    <t>ul. Vojanova p.č.1672/62, Brandýs nad Labem - Stará Boleslav 250 01</t>
  </si>
  <si>
    <t>Zkrácený popis</t>
  </si>
  <si>
    <t>Rozměry</t>
  </si>
  <si>
    <t>Odkopávky a prokopávky</t>
  </si>
  <si>
    <t>Sejmutí ornice, pl. do 400 m2, přemístění do 50 m</t>
  </si>
  <si>
    <t>výška 0,4 m uvažována dle sond ING, tj. 0-40 cm ornice</t>
  </si>
  <si>
    <t>Situace C1</t>
  </si>
  <si>
    <t>Odkopávky nezapažené v hor. 3 do 100 m3</t>
  </si>
  <si>
    <t>D.1.1.5 Základy, D.1.1.10 Řezy</t>
  </si>
  <si>
    <t>Příplatek za lepivost - odkopávky v hor. 3</t>
  </si>
  <si>
    <t>Hloubené vykopávky</t>
  </si>
  <si>
    <t>Hloubení nezapažených jam hor.3 do 1000 m3, strojně</t>
  </si>
  <si>
    <t>Příplatek za lepivost - hloubení nezap.jam v hor.3</t>
  </si>
  <si>
    <t>Hloubení nezapažených jam hor.4 do 50 m3, strojně</t>
  </si>
  <si>
    <t>Příplatek za lepivost - hloubení nezap.jam v hor.4</t>
  </si>
  <si>
    <t>Hloubení rýh š.do 2000 mm hor.3 do 100 m3, strojně</t>
  </si>
  <si>
    <t>Příplatek za lepivost, hloubení rýh 2000 mm, hor.3, strojně</t>
  </si>
  <si>
    <t>Hloubení rýh š.do 600 mm v hor.4 do 50 m3, strojně</t>
  </si>
  <si>
    <t>Příplatek za lepivost, hloubení rýh 600 mm, hor.4, strojně</t>
  </si>
  <si>
    <t>Přemístění výkopku</t>
  </si>
  <si>
    <t>Vodorovné přemístění výkopku z hor.1-4 do 50 m</t>
  </si>
  <si>
    <t>B.8.h všechna vytěžená zemina zůstává na pozemku investora pro drobné terénní úprava okolí_x000D_
objektů viz str.15</t>
  </si>
  <si>
    <t>220523_RDSD_B.pdf</t>
  </si>
  <si>
    <t>Nakládání výkopku z hor.1-4 v množství nad 100 m3</t>
  </si>
  <si>
    <t>Konstrukce ze zemin</t>
  </si>
  <si>
    <t>Zásyp jam, rýh, šachet se zhutněním</t>
  </si>
  <si>
    <t>D.1.1.2 1.NP, D.1.1.10 Řezy</t>
  </si>
  <si>
    <t>Uložení sypaniny do násypů zhutněných na 100% PS</t>
  </si>
  <si>
    <t>Situace C1, D.1.1.10 Řezy</t>
  </si>
  <si>
    <t>Základy</t>
  </si>
  <si>
    <t>Polštář základu z kameniva hr. drceného 32-63 mm</t>
  </si>
  <si>
    <t>D.1.1.5 Základy, D.1.1.10 Řezy, D.1.2.b-1,220523_RDSD_SKLADBY.pdf</t>
  </si>
  <si>
    <t>Beton podkladní pod základové konstrukce, prostý</t>
  </si>
  <si>
    <t>Beton základových pasů prostý C 12/15</t>
  </si>
  <si>
    <t>D.1.1.5 Základy, D.1.1.10 Řezy, D.1.2.b-1</t>
  </si>
  <si>
    <t>Bednění stěn základových pasů - zřízení</t>
  </si>
  <si>
    <t>Bednění stěn základových pasů - odstranění</t>
  </si>
  <si>
    <t>Beton základových patek prostý C 12/15</t>
  </si>
  <si>
    <t>Bednění stěn základových patek - zřízení</t>
  </si>
  <si>
    <t>Bednění stěn základových patek - odstranění</t>
  </si>
  <si>
    <t>Železobeton základových desek C 25/30</t>
  </si>
  <si>
    <t>Železobeton základ. desek vodostavební C 30/37</t>
  </si>
  <si>
    <t>XF4 odolnost proti střídavému působení mrazu</t>
  </si>
  <si>
    <t>ŽB deska venkovní m.č.1.02, schodiště - kartáčovaný, tryskaný povrch (bude upřesněno architektem), shodný se schodištěm</t>
  </si>
  <si>
    <t>Bednění stěn základových desek - zřízení</t>
  </si>
  <si>
    <t>Bednění stěn základových desek - odstranění</t>
  </si>
  <si>
    <t>Výztuž základových desek ze svařovaných sítí</t>
  </si>
  <si>
    <t>průměr drátu  6,0, oka 100/100 mm KH30</t>
  </si>
  <si>
    <t>Železobeton základ. zdí vodostavební C 30/37</t>
  </si>
  <si>
    <t>D.1.1.4 1.PP, D.1.1.10 Řezy</t>
  </si>
  <si>
    <t>Bednění stěn základových zdí, oboustranné-zřízení</t>
  </si>
  <si>
    <t>Bednění stěn základových zdí, oboustranné-odstran.</t>
  </si>
  <si>
    <t>Výztuž základových zdí z oceli BSt 500 S</t>
  </si>
  <si>
    <t>Vyztužení ŽB konstrukcí je pro rozpočet pracovně vykázáno v kg / t na m3 betonu dle běžně uvažovaných / průměrných hodnot, přesné množství bude spefikováno statikem v rámci dokumentace pro provedení stavby</t>
  </si>
  <si>
    <t>Zdi podpěrné a volné</t>
  </si>
  <si>
    <t>Vytvoření prostupů pl. do 0,02 m2 v nosných zdech</t>
  </si>
  <si>
    <t>D.1.4.1.02</t>
  </si>
  <si>
    <t>Vytvoření prostupů pl. do 0,05 m2 v nosných zdech</t>
  </si>
  <si>
    <t>Stěna z tvárnic ztraceného bednění, tl. 20 cm</t>
  </si>
  <si>
    <t>zalití tvárnic betonem C 25/30</t>
  </si>
  <si>
    <t>D.1.1.6 1.PP, D.1.1.7 1.NP, D.1.1.10 Řezy, D.1.2.b-2, D.1.2.b-3</t>
  </si>
  <si>
    <t>Stěna z tvárnic ztraceného bednění, tl. 30 cm</t>
  </si>
  <si>
    <t>Stěna z tvárnic ztraceného bednění, tl. 40 cm</t>
  </si>
  <si>
    <t>Výztuž nadzákladových zdí z ocel BSt 500 S</t>
  </si>
  <si>
    <t>1. řada z tvárnic POROTHERM 44 TS Profi tl. 440 mm</t>
  </si>
  <si>
    <t>Zdivo POROTHERM 50 T Profi s min.vatou, tl. 500 mm</t>
  </si>
  <si>
    <t>D.1.1.2 1.NP, D.1.1.3 2.NP, D.1.1.9 Střecha, D.1.1.10 Řezy</t>
  </si>
  <si>
    <t>Překlad POROTHERM 7 vysoký 70x238x1000 mm</t>
  </si>
  <si>
    <t>Překlad POROTHERM 7 vysoký 70x238x1500 mm</t>
  </si>
  <si>
    <t>D.1.1.8 2.NP, D.1.1.10 Řezy, D.1.2.b-4</t>
  </si>
  <si>
    <t>Překlad POROTHERM VARIO UNI dl.1500,š.250 mm,ETICS</t>
  </si>
  <si>
    <t>Překlad POROTHERM 7 vysoký 70x238x2500 mm</t>
  </si>
  <si>
    <t>D.1.1.2 1.NP, D.1.1.8 2.NP, D.1.1.10 Řezy, D.1.2.b-4</t>
  </si>
  <si>
    <t>Překlad POROTHERM VARIO UNI dl.2500,š.250 mm,ETICS</t>
  </si>
  <si>
    <t>Překlad POROTHERM 7 vysoký 70x238x2750 mm</t>
  </si>
  <si>
    <t>Překlad POROTHERM VARIO UNI dl.2750,š.250 mm,ETICS</t>
  </si>
  <si>
    <t>Vložení tepelné izolace mezi překlady do tl.150 mm</t>
  </si>
  <si>
    <t>Deska polystyrenová XPS Austrotherm TOP P GK 120mm</t>
  </si>
  <si>
    <t>Deska polystyrenová XPS Austrotherm TOP P GK 140mm</t>
  </si>
  <si>
    <t>Zdivo POROTHERM 17,5 P+D P8 na MVC 5, tl. 175 mm</t>
  </si>
  <si>
    <t>D1.1.1, D.1.1.2 1.NP, D.1.1.3 2.NP, D.1.1.10 Řezy</t>
  </si>
  <si>
    <t>Překlad POROTHERM plochý 145x71x1000 mm</t>
  </si>
  <si>
    <t>D1.1.1, D.1.1.2 1.NP, D.1.1.10 Řezy</t>
  </si>
  <si>
    <t>Překlad POROTHERM plochý 145x71x1250 mm</t>
  </si>
  <si>
    <t>D.1.1.3 2.NP, D.1.1.10 Řezy</t>
  </si>
  <si>
    <t>Překlad nenosný Ytong</t>
  </si>
  <si>
    <t>překlad 125 x 25 x 10 cm</t>
  </si>
  <si>
    <t>překlad 125 x 25 x 15 cm</t>
  </si>
  <si>
    <t>D.1.1.2 1.NP, D.1.1.3 2.NP, D.1.1.10 Řezy</t>
  </si>
  <si>
    <t>Stěny a příčky</t>
  </si>
  <si>
    <t>Příčky z desek Ytong tl. 5 cm</t>
  </si>
  <si>
    <t>desky 600 x 250 x 50 mm</t>
  </si>
  <si>
    <t>Příčky z desek Ytong tl. 10 cm</t>
  </si>
  <si>
    <t>desky Klasik, 599 x 249 x 100 mm</t>
  </si>
  <si>
    <t>Příčky z desek Ytong tl. 15 cm</t>
  </si>
  <si>
    <t>desky Klasik, 599 x 249 x 150 mm</t>
  </si>
  <si>
    <t>Obezdívky van a WC nádržek z desek Ytong tl.150 mm</t>
  </si>
  <si>
    <t>Stropy a stropní konstrukce (pro pozemní stavby)</t>
  </si>
  <si>
    <t>Stropy deskové ze železobetonu pohledového C 30/37</t>
  </si>
  <si>
    <t>Bednění stropů deskových, bednění vlastní -zřízení</t>
  </si>
  <si>
    <t>systémové, včetně podepření, tl. stropu 24 cm</t>
  </si>
  <si>
    <t>kvalita pohledové betonu stropu a z toho vyplývající případné požadavky na bednění budou projednány s projektanten</t>
  </si>
  <si>
    <t>Bednění stropů deskových, vlastní - odstranění</t>
  </si>
  <si>
    <t>Bednění čel stropních desek, zřízení</t>
  </si>
  <si>
    <t>Bednění čel stropních desek, odstranění</t>
  </si>
  <si>
    <t>Bednění prostupu plochy do 0,25 m2</t>
  </si>
  <si>
    <t>D.1.1.6 1.PP, D.1.1.10 Řezy, D.1.2.b-2</t>
  </si>
  <si>
    <t>Výztuž stropů z oceli Bst 500 S</t>
  </si>
  <si>
    <t>Nosníky z betonu železového C 30/37</t>
  </si>
  <si>
    <t>Bednění nosníků - zřízení</t>
  </si>
  <si>
    <t>Bednění nosníků - odstranění</t>
  </si>
  <si>
    <t>Podpěrná konstr.nosníků do 4 m,do 5 kPa - zřízení</t>
  </si>
  <si>
    <t>Podpěrná konstr.nosníků do 4 m,5 kPa - odstranění</t>
  </si>
  <si>
    <t>Výztuž nosníků z oceli BSt 500 S</t>
  </si>
  <si>
    <t>Vložení tepelné izolace do věnce tl. do 150 mm</t>
  </si>
  <si>
    <t>Vložení tepelné izolace do věnce tl. nad 150 mm</t>
  </si>
  <si>
    <t>Deska polystyrenová XPS Austrotherm TOP P GK</t>
  </si>
  <si>
    <t>Obezdívka ztu.věnce věncovkou VT 8/25 Profi,vč.EPS</t>
  </si>
  <si>
    <t>Ztužující pásy a věnce z betonu železového C 25/30</t>
  </si>
  <si>
    <t>Bednění ztužujících věnců, obě strany - zřízení</t>
  </si>
  <si>
    <t>Bednění ztužujících věnců, obě strany - odstranění</t>
  </si>
  <si>
    <t>Výztuž ztuž. pásů a věnců, ocel BSt 500 S</t>
  </si>
  <si>
    <t>Strop montovaný z panelů Spiroll, tl. 26,5 cm</t>
  </si>
  <si>
    <t>Podhledy SDK, kovová.kce CD. 1x deska RB 12,5 mm</t>
  </si>
  <si>
    <t>Podhledy SDK, kovová.kce CD. 1x deska RBI 12,5 mm</t>
  </si>
  <si>
    <t>Schodiště</t>
  </si>
  <si>
    <t>Beton schodišťových konstrukcí železový C 20/25</t>
  </si>
  <si>
    <t>Výztuž schodišť. konstrukcí křivočarých BSt 500 S</t>
  </si>
  <si>
    <t>Bednění podest a podstup.desek křivočar.- zřízení</t>
  </si>
  <si>
    <t>Bednění podest a podstup.desek křivočar.odstranění</t>
  </si>
  <si>
    <t>Schodiště ze železobetonu kompletní</t>
  </si>
  <si>
    <t>s tryskanou povrchovou úpravou</t>
  </si>
  <si>
    <t>D.1.1.11 Pohled S,J,  D.1.1.12 Pohled V,Z</t>
  </si>
  <si>
    <t>Omítky ze suchých směsí</t>
  </si>
  <si>
    <t>Postřik stěn cementový PROFI Spritzer, strojně</t>
  </si>
  <si>
    <t>Úprava povrchů vnitřní</t>
  </si>
  <si>
    <t>Omítka vnitřní zdiva, MVC, hrubá zatřená</t>
  </si>
  <si>
    <t>D.1.1.4 1.PP, D.1.1.2 1.NP, D.1.1.3 2.NP, D.1.1.10 Řezy</t>
  </si>
  <si>
    <t>Omítka vnitřní zdiva, MVC, štuková</t>
  </si>
  <si>
    <t>Úprava povrchů vnější</t>
  </si>
  <si>
    <t>Montáž výztužné sítě (perlinky) do stěrky-podhledy</t>
  </si>
  <si>
    <t>včetně výztužné sítě a stěrkového tmelu Baumit</t>
  </si>
  <si>
    <t>D.1.1.2 1.NP</t>
  </si>
  <si>
    <t>Omítka podhl. vnější z MS silikon. slož. II ručně</t>
  </si>
  <si>
    <t>Příplatek za tl. jádra 20 mm slož. II.ručně, strop</t>
  </si>
  <si>
    <t>Omítka stěn vnější z MS silikátová slož. II. ručně</t>
  </si>
  <si>
    <t>Příplatek za tl. jádra 20 mm slož. II. ručně,stěny</t>
  </si>
  <si>
    <t>Povrchová úprava ostění</t>
  </si>
  <si>
    <t>Příplatek za okenní lištu (APU) - montáž</t>
  </si>
  <si>
    <t>včetně dodávky lišty</t>
  </si>
  <si>
    <t>Příplatek za rohovník pro vnější omítky</t>
  </si>
  <si>
    <t>Profil rohový z PVC se síťovinou LK plast 100</t>
  </si>
  <si>
    <t>Zakrývání výplní vnějších otvorů z lešení</t>
  </si>
  <si>
    <t>Podlahy a podlahové konstrukce</t>
  </si>
  <si>
    <t>Okapový chodník kolem budovy z kačírku šířky 0,5 m</t>
  </si>
  <si>
    <t>Mazanina betonová tl. 5 - 8 cm C 20/25</t>
  </si>
  <si>
    <t>vyztužená ocelovými vlákny 25 kg / m3</t>
  </si>
  <si>
    <t>Mazanina betonová tl. 5 - 8 cm C 30/37</t>
  </si>
  <si>
    <t>z betonu prostého XF4, ZAPA INLINE</t>
  </si>
  <si>
    <t>kartáčovaný, tryskaný povrch (bude upřesněno architektem)</t>
  </si>
  <si>
    <t>Potěr CemFlow® CF 25, plocha do 500 m2, tl. 50 mm</t>
  </si>
  <si>
    <t>Izolace proti vodě</t>
  </si>
  <si>
    <t>Izolace proti vlhkosti vodor.,nátěr penetr.emulzí</t>
  </si>
  <si>
    <t>včetně emulze Dekprimer 0,4 kg/m2</t>
  </si>
  <si>
    <t>Izolace proti vlhkosti svis.,nátěr penetr.emulzí</t>
  </si>
  <si>
    <t>D.1.1.4 1.PP, D.1.1.10 Řezy, 220523_RDSD_SKLADBY.pdf</t>
  </si>
  <si>
    <t>Izolace proti vlhk. vodorovná pásy přitavením</t>
  </si>
  <si>
    <t>1 vrstva - včetně dod. Elastek 40 special mineral</t>
  </si>
  <si>
    <t>Izolace proti vlhkosti svislá pásy přitavením</t>
  </si>
  <si>
    <t>Montáž nopové fólie svisle</t>
  </si>
  <si>
    <t>včetně dodávky fólie DEKDREN N8</t>
  </si>
  <si>
    <t>Izolace proti zem.vlhkosti,podklad.textilie,svislá</t>
  </si>
  <si>
    <t>včetně dodávky textílie Netex A PP/300, 300 g/m2</t>
  </si>
  <si>
    <t>Položení nopové fólie vodorovně</t>
  </si>
  <si>
    <t>D.1.1.9 Střecha, D.1.1.10 Řezy</t>
  </si>
  <si>
    <t>Fólie nopová DEKDREN T20 GARDEN tl. 1,0 mm š. 1,2m</t>
  </si>
  <si>
    <t>Stěrka hydroizolační těsnicí hmotou</t>
  </si>
  <si>
    <t>Aquafin 2 K, proti vlhkosti</t>
  </si>
  <si>
    <t>Přesun hmot pro izolace proti vodě, výšky do 12 m</t>
  </si>
  <si>
    <t>Izolace střech (živičné krytiny)</t>
  </si>
  <si>
    <t>Povlaková krytina střech do 10°, asfalt.pen.emulze</t>
  </si>
  <si>
    <t>Samostatné vytažení izolace, za studena lak asfalt</t>
  </si>
  <si>
    <t>1x nátěr - včetně dodávky asf.laku</t>
  </si>
  <si>
    <t>Povlaková krytina střech do 10°, NAIP přitavením</t>
  </si>
  <si>
    <t>1 vrstva - materiál ve specifikaci</t>
  </si>
  <si>
    <t>Samostatné vytažení izolace, pásy přitavením</t>
  </si>
  <si>
    <t>1 vrstva - asf.pás ve specifikaci</t>
  </si>
  <si>
    <t>Pás modifikovaný asfalt Glastek AL 40 mineral</t>
  </si>
  <si>
    <t>2 vrstvy - materiál ve specifikaci</t>
  </si>
  <si>
    <t>2 vrstvy - asf.pás ve specifikaci</t>
  </si>
  <si>
    <t>Pás modifikovaný asfalt Glastek 40 special mineral</t>
  </si>
  <si>
    <t>Pás modif. asfalt Elastek 50 special dekor modroze</t>
  </si>
  <si>
    <t>Povlaková krytina střech do 10°, ochran. textilie</t>
  </si>
  <si>
    <t>Textilie jutařská netkaná NETEX A PP/300 -300 g/m2</t>
  </si>
  <si>
    <t>Atiková propust s mřížkou a manžetou z asfalt.pásu</t>
  </si>
  <si>
    <t>DN 110 mm</t>
  </si>
  <si>
    <t>Krytina střech do 10° fólie, 6 kotev/m2, na beton</t>
  </si>
  <si>
    <t>tl. izolace do 160 mm, Alkorplan 35716 tl. 1,5 mm</t>
  </si>
  <si>
    <t>Samostatné vytažení izolace, fólií PVC polož.volně</t>
  </si>
  <si>
    <t>1 vrstva-vč.dodávky folie 810 1,5 mm</t>
  </si>
  <si>
    <t>Atiková okapnice VIPLANYL RŠ 250 mm</t>
  </si>
  <si>
    <t>Rohová lišta vnější VIPLANYL RŠ 100 mm</t>
  </si>
  <si>
    <t>Rohová lišta vnitřní VIPLANYL RŠ 100 mm</t>
  </si>
  <si>
    <t>Atiková propust s mřížkou a manžetou z PVC</t>
  </si>
  <si>
    <t>Přesun hmot pro povlakové krytiny, výšky do 12 m</t>
  </si>
  <si>
    <t>Izolace tepelné</t>
  </si>
  <si>
    <t>Izolace tepelná stěn lepením</t>
  </si>
  <si>
    <t>lepidlo bitumenové webertec 915</t>
  </si>
  <si>
    <t>Polystyren extrudovaný XPS</t>
  </si>
  <si>
    <t>Izolace tepelná střech, desky, na lepidlo PUK</t>
  </si>
  <si>
    <t>Deska izolační PIR Alu pro střechy 2400x1240x150mm</t>
  </si>
  <si>
    <t>Izolace tepelná střech na pruhy lepidla, 1vrstvá</t>
  </si>
  <si>
    <t>Deska polystyrenová XPS Austrotherm TOP P GK 100mm</t>
  </si>
  <si>
    <t>Izolace tepelná střech do tl.160 mm,1vrstva,kotvy</t>
  </si>
  <si>
    <t>Deska spádová EPS 150 BACHL</t>
  </si>
  <si>
    <t>Klín atikový EPS 100 x 100 x 1000 mm</t>
  </si>
  <si>
    <t>Izolace tepelná stropů spodem na tmel a hmoždinky</t>
  </si>
  <si>
    <t>betonový strop</t>
  </si>
  <si>
    <t>Deska fasádní polystyrenová EPS 70 F  tl. 260 mm</t>
  </si>
  <si>
    <t>Izolace tepelná podlah na sucho, jednovrstvá</t>
  </si>
  <si>
    <t>materiál ve specifikaci</t>
  </si>
  <si>
    <t>Deska izolační stabilizov. EPS 200  1000 x 500 mm</t>
  </si>
  <si>
    <t>Deska izolační kročejová EPS T 4000 tl. 30 mm</t>
  </si>
  <si>
    <t>Deska izolační kročejová EPS T 4000 tl. 50 mm</t>
  </si>
  <si>
    <t>Montáž dilatačního pásku podél stěn</t>
  </si>
  <si>
    <t>včetně dodávky ISOVER N/PP 15x100x1000 mm</t>
  </si>
  <si>
    <t>Položení separační fólie</t>
  </si>
  <si>
    <t>včetně dodávky PE fólie</t>
  </si>
  <si>
    <t>Přesun hmot pro izolace tepelné, výšky do 12 m</t>
  </si>
  <si>
    <t>Vnitřní kanalizace</t>
  </si>
  <si>
    <t>Lapač střešních splavenin PP HL600, kloub</t>
  </si>
  <si>
    <t>zápachová klapka, koš na listí, DN 125</t>
  </si>
  <si>
    <t>Přesun hmot pro vnitřní kanalizaci, výšky do 12 m</t>
  </si>
  <si>
    <t>Konstrukce tesařské</t>
  </si>
  <si>
    <t>Montáž obložení stěn OSB deskami</t>
  </si>
  <si>
    <t>Deska dřevoštěpková OSB 3 N tl. 15 mm</t>
  </si>
  <si>
    <t>Montáž obložení atiky,OSB desky,1.vrst, lepením</t>
  </si>
  <si>
    <t>včetně dodávky desky OSB ECO 3 N tl. 18 mm</t>
  </si>
  <si>
    <t>Přesun hmot pro tesařské konstrukce, výšky do 12 m</t>
  </si>
  <si>
    <t>Konstrukce klempířské</t>
  </si>
  <si>
    <t>Oplechování zdí z Pz plechu, rš 750 mm</t>
  </si>
  <si>
    <t>nalepení Enkolitem</t>
  </si>
  <si>
    <t>Oplechování parapetů z Al tl. 0,63 mm, rš 250 mm</t>
  </si>
  <si>
    <t>lepení Enkolitem</t>
  </si>
  <si>
    <t>Kotlík z Pz plechu kónický pro trouby D do 125 mm</t>
  </si>
  <si>
    <t>Odpadní trouby z Pz plechu, kruhové, D 120 mm</t>
  </si>
  <si>
    <t>D.1.1.9 Střecha, D.1.1.11 Pohled S,J,  D.1.1.12 Pohled V,Z</t>
  </si>
  <si>
    <t>Odpadní trouby z Pz plechu, kruhové, D 150 mm</t>
  </si>
  <si>
    <t>Odpadní trouby z Pz plechu, kruhové, D 200 mm</t>
  </si>
  <si>
    <t>Přesun hmot pro klempířské konstr., výšky do 12 m</t>
  </si>
  <si>
    <t>Konstrukce truhlářské</t>
  </si>
  <si>
    <t>Obklad stěn palubkami pero - drážka</t>
  </si>
  <si>
    <t>palubky SM/JD, lakování</t>
  </si>
  <si>
    <t>Obklad podhledu palubkami pero-drážka</t>
  </si>
  <si>
    <t>Montáž parapetních desek š.do 30 cm,dl.do 100 cm</t>
  </si>
  <si>
    <t>Montáž parapetních desek š.do 30 cm,dl.do 260 cm</t>
  </si>
  <si>
    <t>Deska parapetní dubové dřevo šířka 35 cm</t>
  </si>
  <si>
    <t>podrobná specifikace viz.tabulka oken dveří 0400</t>
  </si>
  <si>
    <t>Montáž obložkové zárubně a dřevěného křídla dveří</t>
  </si>
  <si>
    <t>Zárubeň obložková NORMAL š. 70 cm/st.  6-17 cm</t>
  </si>
  <si>
    <t>podrobná specifikace viz.tabulka interiérových dveří 2100</t>
  </si>
  <si>
    <t>Zárubeň obložková NORMAL š. 70 cm/stě. 18-25 cm</t>
  </si>
  <si>
    <t>Zárubeň obložková NORMAL š. 80 cm/st.  6-17 cm</t>
  </si>
  <si>
    <t>Zárubeň obložková NORMAL š. 80 cm/st. 18-25 cm</t>
  </si>
  <si>
    <t>Zárubeň obložková NORMAL š. 80 cm/st. 26-35 cm</t>
  </si>
  <si>
    <t>Dveře vnitřní hladké plné ELEGANT 1kř. 70x210</t>
  </si>
  <si>
    <t>Dveře vnitřní hladké plné ELEGANT 1kř. 80x210</t>
  </si>
  <si>
    <t>Dveře vnitřní hladké prosklené ELEGANT 1kř. 70x210</t>
  </si>
  <si>
    <t>Montáž kliky a štítku</t>
  </si>
  <si>
    <t>Dveřní kování ELEGANT klíč Cr</t>
  </si>
  <si>
    <t>Montáž dveří posuvných, osazení závěsu, 1kř.</t>
  </si>
  <si>
    <t>Dveře vnitřní celoskleněné 100x275 cm</t>
  </si>
  <si>
    <t>Závěs dveřní pro skleněné dveře</t>
  </si>
  <si>
    <t>Lepení stupnic dřevěných na schodišti točitém</t>
  </si>
  <si>
    <t>Stupnice - dub, 1000x300x40 mm</t>
  </si>
  <si>
    <t>Lepení podstupnic dřevěných na schodišti točitém</t>
  </si>
  <si>
    <t>Podstupnice - dub, 1000x200x20 mm</t>
  </si>
  <si>
    <t>Lepení soklíků dřevěných na schodišti točitém</t>
  </si>
  <si>
    <t>D.1.1.4 1.PP, D.1.1.2 1.NP, D.1.1.10 Řezy</t>
  </si>
  <si>
    <t>Lišta dubová bez nátěru 100 x 15 mm</t>
  </si>
  <si>
    <t>Přesun hmot pro truhlářské konstr., výšky do 12 m</t>
  </si>
  <si>
    <t>Konstrukce doplňkové stavební (zámečnické)</t>
  </si>
  <si>
    <t>Provětr.fasáda, nýty, desky cementotřískové (kompletní provedení dle PD)</t>
  </si>
  <si>
    <t>Ostění a nadpraží,fasáda des.cementotořískové,nýty,do hl.250mm</t>
  </si>
  <si>
    <t>Nadpraží,kastlíky se žaluz.,cemnt.desky,nýty,Al RŠ 120mm</t>
  </si>
  <si>
    <t>Dodávka a montáž nadpraží u kastlíků se žaluziemi-návaznost na fasádu z hliníkového komaxitovaného plechu RŠ do 120 mm - viditelné uchycení včetně kotevních prvků.</t>
  </si>
  <si>
    <t>Montáž oken z Al - profilů</t>
  </si>
  <si>
    <t>Výplně z Al - profilů</t>
  </si>
  <si>
    <t>podrobná specifikace viz.tabulka oken 0400, součástí dodávky proslených stěn v 1.NP je PURENIT v.245 mm viz řez A-A, součástí ceny za m2</t>
  </si>
  <si>
    <t>Montáž zárubní montovat.1kř. hl. 150, š. do 80 cm</t>
  </si>
  <si>
    <t>Zárubeň Al 50/70/235</t>
  </si>
  <si>
    <t>podrobná specifikace viz.tabulka fasádních dveří 0700</t>
  </si>
  <si>
    <t>Montáž Al. dveří do zárubně, otevíravých 1kř. š. do 800 mm</t>
  </si>
  <si>
    <t>Dveře požární 1kříd.-15 min REI 15 DP1 70x235 cm</t>
  </si>
  <si>
    <t>včetně kování, dětské pojistky, podrobná specifikace viz.tabulka fasádních dveří 0700</t>
  </si>
  <si>
    <t>Montáž zárubní montovat 1kř. hl. 150, š. přes 80cm</t>
  </si>
  <si>
    <t>Zárubeň bezpečnostní 140/2750/900</t>
  </si>
  <si>
    <t>Montáž Al. dveří do zárubně, otevíravých 1kř. š. nad 800 mm</t>
  </si>
  <si>
    <t>Dveře požární REI 30 DP1 bezpeč. tř.3  850x2500 cm AL</t>
  </si>
  <si>
    <t>Dokončení okování dveří,oc.kostr.,otvíravých 1kříd</t>
  </si>
  <si>
    <t>Bezpečnostní kování BK RX1-40 EXCLUSIVE</t>
  </si>
  <si>
    <t>Montáž vrat zvedacích do oc.zárubně do 6 m2</t>
  </si>
  <si>
    <t>Vrata, š 1400, h 2100 mm</t>
  </si>
  <si>
    <t>Výroba a montáž kov. atypických konstr.</t>
  </si>
  <si>
    <t>Uvedené hmotnosti a rozměry jednotlivých prvků jsou čistě orientační (pracovní), bude upřesněno v dalším stupni dokumentace pro provedení stavby</t>
  </si>
  <si>
    <t>Přesun hmot pro zámečnické konstr., výšky do 12 m</t>
  </si>
  <si>
    <t>Podlahy z dlaždic</t>
  </si>
  <si>
    <t>Vysávání podlah prům.vysavačem pro pokládku dlažby</t>
  </si>
  <si>
    <t>Penetrace podkladu pod dlažby</t>
  </si>
  <si>
    <t>penetrační nátěr Primer G</t>
  </si>
  <si>
    <t>Montáž podlah z keramické dlažby, 300x300 mm, do tmele</t>
  </si>
  <si>
    <t>Montáž soklíků keramických rovných, výška 100 mm, do tmele</t>
  </si>
  <si>
    <t>Dlažba Taurus Granit protiskluz. SB 300x300x9 mm</t>
  </si>
  <si>
    <t>Dlaždice 30x30 Color Two šedá mat</t>
  </si>
  <si>
    <t>Lišta hliníková přechodová, stejná výška dlaždic</t>
  </si>
  <si>
    <t>profil UA, pro tloušťku dlaždic 8 mm</t>
  </si>
  <si>
    <t>Přesun hmot pro podlahy z dlaždic, výšky do 12 m</t>
  </si>
  <si>
    <t>Podlahy vlysové a parketové</t>
  </si>
  <si>
    <t>Vysávání podlah prům.vysavačem,podlahy vlys,parket</t>
  </si>
  <si>
    <t>Podložka Mirelon 3 mm pod lamelové podlahy</t>
  </si>
  <si>
    <t>Položení podlah lamelových se zámkovým spojem</t>
  </si>
  <si>
    <t>Podlaha laminát. Emotion Classic 32 3-lam tl. 8 mm</t>
  </si>
  <si>
    <t>Montáž podlahové lišty připevněné vruty</t>
  </si>
  <si>
    <t>Lišta soklová 40x20 dýha Pedross lak standard 2</t>
  </si>
  <si>
    <t>Lišta hliníková přechodová,různá výška vlys.podlah</t>
  </si>
  <si>
    <t>profil krycí 55/A, samolepicí, š. 35 mm, v. 8 mm</t>
  </si>
  <si>
    <t>Přesun hmot pro podlahy vlysové, výšky do 12 m</t>
  </si>
  <si>
    <t>Obklady (keramické)</t>
  </si>
  <si>
    <t>Penetrace podkladu pod obklady</t>
  </si>
  <si>
    <t>Montáž obkladu keramického, vnitřních stěn 300x600 mm, do tmele</t>
  </si>
  <si>
    <t>Obkládačka 30x60 bílá mat</t>
  </si>
  <si>
    <t>Lišta hliníková ukončovacích k obkladům</t>
  </si>
  <si>
    <t>profil RB, pro tloušťku obkladu 8 mm</t>
  </si>
  <si>
    <t>Přesun hmot pro obklady keramické, výšky do 12 m</t>
  </si>
  <si>
    <t>Nátěry</t>
  </si>
  <si>
    <t>Penetrace betonových podkladů BASF 1x</t>
  </si>
  <si>
    <t>Nátěr epoxidový betonových podlah Ekopox 640</t>
  </si>
  <si>
    <t>Nátěr olejový truhlářských výrobků, napuštění</t>
  </si>
  <si>
    <t>Nátěr syntetický truhlářských výrobků 1x lakování</t>
  </si>
  <si>
    <t>Malby</t>
  </si>
  <si>
    <t>Penetrace podkladu hloubková Primalex 1x</t>
  </si>
  <si>
    <t>Malba Primalex Standard, barva, bez penetrace, 2 x</t>
  </si>
  <si>
    <t>Čalounické úpravy</t>
  </si>
  <si>
    <t>Žaluzie lamelové venkovní Z profil</t>
  </si>
  <si>
    <t>podrobná specifikace viz.tabulka oken 0400</t>
  </si>
  <si>
    <t>Přesun hmot pro zastiň. techniku, výšky do 12 m</t>
  </si>
  <si>
    <t>Lešení a stavební výtahy</t>
  </si>
  <si>
    <t>Montáž lešení leh.řad.s podlahami,š.do 1 m, H 10 m</t>
  </si>
  <si>
    <t>lešení rámové pronajaté</t>
  </si>
  <si>
    <t>Příplatek za každý měsíc použití lešení k pol.1031</t>
  </si>
  <si>
    <t>Demontáž lešení leh.řad.s podlahami,š.1 m, H 10 m</t>
  </si>
  <si>
    <t>Lešení lehké pomocné, výška podlahy do 1,2 m</t>
  </si>
  <si>
    <t>Různé dokončovací konstrukce a práce na pozemních stavbách</t>
  </si>
  <si>
    <t>Zelená střecha extenzivní - substrát, vegtační rohož</t>
  </si>
  <si>
    <t>Vyčištění budov o výšce podlaží do 4 m</t>
  </si>
  <si>
    <t>Osazení požárního hasicího přístroje na stěnu</t>
  </si>
  <si>
    <t>2022_008_PBR_KOMPLET_BR.pdf</t>
  </si>
  <si>
    <t>Přístroj hasicí práškový NEURUPPIN PG 6 PDC</t>
  </si>
  <si>
    <t>Budovy občanské výstavby</t>
  </si>
  <si>
    <t>Přesun hmot pro budovy zděné výšky do 12 m</t>
  </si>
  <si>
    <t>Montáže ocelových konstrukcí</t>
  </si>
  <si>
    <t>Křivka cenová první, hmotnost do 500 kg</t>
  </si>
  <si>
    <t>Ocelové výrobky nad 10 kg</t>
  </si>
  <si>
    <t>Chemické kotvy do betonu, hl. 110 mm, M 12, ampule</t>
  </si>
  <si>
    <t>Provedení protipožárního nátěru uzavřených kruhových sloupů, 3 vrstvy, R 30, poměr Am/V do 230</t>
  </si>
  <si>
    <t>Zpevněné plochy, Terasa</t>
  </si>
  <si>
    <t>Přípravné a přidružené práce</t>
  </si>
  <si>
    <t>Vytrhání obrub obrubníků silničních</t>
  </si>
  <si>
    <t>Rozebrání dlažeb ze zámkové dlažby v kamenivu</t>
  </si>
  <si>
    <t>Hloubení rýh š.do 60 cm v hor.2 do 50 m3, STROJNĚ</t>
  </si>
  <si>
    <t>Podkladní vrstvy komunikací, letišť a ploch</t>
  </si>
  <si>
    <t>Podklad ze štěrkopísku po zhutnění tloušťky 5 cm</t>
  </si>
  <si>
    <t>Žlab fr.4-8 mm</t>
  </si>
  <si>
    <t>Podklad ze štěrkodrti po zhutnění tloušťky 5 cm</t>
  </si>
  <si>
    <t>Terasa, Žlab fr.8-16 mm_x000D_
Zpevněné plochy fr.4-8 mm</t>
  </si>
  <si>
    <t>Podklad ze štěrkodrti po zhutnění tloušťky 10 cm</t>
  </si>
  <si>
    <t>štěrkodrť frakce 0-63 mm</t>
  </si>
  <si>
    <t>Podklad ze štěrkodrti po zhutnění tloušťky 25 cm</t>
  </si>
  <si>
    <t>Kryty pozemních komunikací, letišť a ploch dlážděných (předlažby)</t>
  </si>
  <si>
    <t>Kladení dlažby drobné kostky,lože z kamen.tl. 5 cm</t>
  </si>
  <si>
    <t>Kostka dlažební drobná 8/10 tř. 1  1t = 5 m2</t>
  </si>
  <si>
    <t>Kladení dlaždic kom.pro pěší, lože z kameniva těž.</t>
  </si>
  <si>
    <t>včetně dlaždic betonových barevných 30/30/4 cm</t>
  </si>
  <si>
    <t>Chodník dlážděný D2-D-1-CH-PII a PIII</t>
  </si>
  <si>
    <t>Rozšíření vjezdu - úprava stávajícího chodníku a snížení obrubníku cca 3,5 m, v maximální možné míře se pokusit využít stávající materiál</t>
  </si>
  <si>
    <t>Žlab odvodňovací polymerbeton, zatížení B125 kN</t>
  </si>
  <si>
    <t>včetně dodávky roštu a žlabu RONN</t>
  </si>
  <si>
    <t>Vpusť k žlabu polymerbetonová B125, litinový rošt</t>
  </si>
  <si>
    <t>Položení podlahy teras z prken, na podkladní rošt</t>
  </si>
  <si>
    <t>Prkno terasové dřevěné Modřín Slezský 28x140 mm</t>
  </si>
  <si>
    <t>Hranolek pod terasy Modřín sibiřský 45 x 70 mm</t>
  </si>
  <si>
    <t>Mezerník pro podstav. pod dlažbu Buzon PB-TABS-4,5</t>
  </si>
  <si>
    <t>Držák dřevěného roštu pod dlažbu Buzon PB-KIT-5</t>
  </si>
  <si>
    <t>Doplňující konstrukce a práce na pozemních komunikacích a zpevněných plochách</t>
  </si>
  <si>
    <t>Osazení stojat. obrub.bet. s opěrou,lože z C 12/15</t>
  </si>
  <si>
    <t>včetně obrubníku ABO 100/10/25</t>
  </si>
  <si>
    <t>Komunikace pozemní a letiště</t>
  </si>
  <si>
    <t>Přesun hmot, pozemní komunikace, kryt dlážděný</t>
  </si>
  <si>
    <t>Přesuny sutí</t>
  </si>
  <si>
    <t>Odvoz suti a vybour. hmot na skládku do 1 km</t>
  </si>
  <si>
    <t>kontejnerem 4 t</t>
  </si>
  <si>
    <t>Příplatek k odvozu za každý další 1 km</t>
  </si>
  <si>
    <t>Poplatek za uložení suti - beton, skupina odpadu 170101</t>
  </si>
  <si>
    <t>Oplocení</t>
  </si>
  <si>
    <t>Hloubení rýh š.do 600 mm v hor.3 do 50 m3, strojně</t>
  </si>
  <si>
    <t>D.1.1.13</t>
  </si>
  <si>
    <t>Schránka listovní DLS-A02 plotová</t>
  </si>
  <si>
    <t>Stříška plotu ze zákryt.desek FACE BLOCK,šířka 400</t>
  </si>
  <si>
    <t>zákrytová deska hladká, ZD 1 - 30 a ZD 2 - 30</t>
  </si>
  <si>
    <t>Elektromagnetický zámek dveří, např. BEFO</t>
  </si>
  <si>
    <t>Sada pro samonosnou posuvnou bránu do 6 m průjezdu</t>
  </si>
  <si>
    <t>Pohon bran do hmot.500 kg</t>
  </si>
  <si>
    <t>Nylonový hřeben do hmotnosti brány 600 kg</t>
  </si>
  <si>
    <t>Dvoukanálový dálkový ovladač</t>
  </si>
  <si>
    <t>Přesun hmot pro zámečnické konstr., výšky do 6 m</t>
  </si>
  <si>
    <t>Objekty pozemní zvláštní</t>
  </si>
  <si>
    <t>Přesun hmot, oplocení zděné příplatek do 1 km</t>
  </si>
  <si>
    <t>Doba výstavby:</t>
  </si>
  <si>
    <t>Začátek výstavby:</t>
  </si>
  <si>
    <t>Konec výstavby:</t>
  </si>
  <si>
    <t>Zpracováno dne:</t>
  </si>
  <si>
    <t>762 dní</t>
  </si>
  <si>
    <t>31.03.2025</t>
  </si>
  <si>
    <t>26.08.2022</t>
  </si>
  <si>
    <t>MJ</t>
  </si>
  <si>
    <t>m3</t>
  </si>
  <si>
    <t>m2</t>
  </si>
  <si>
    <t>t</t>
  </si>
  <si>
    <t>m</t>
  </si>
  <si>
    <t>kus</t>
  </si>
  <si>
    <t>m DVČ</t>
  </si>
  <si>
    <t>kg</t>
  </si>
  <si>
    <t>ks</t>
  </si>
  <si>
    <t>bm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</si>
  <si>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</si>
  <si>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</si>
  <si>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</si>
  <si>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</si>
  <si>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</si>
  <si>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</si>
  <si>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</si>
  <si>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Lucie Součková, Tomáš Dušek</t>
  </si>
  <si>
    <t>Ing.arch.Adam Smotlacha</t>
  </si>
  <si>
    <t> </t>
  </si>
  <si>
    <t>Náklady (Kč)</t>
  </si>
  <si>
    <t>Dodávka</t>
  </si>
  <si>
    <t>Celkem:</t>
  </si>
  <si>
    <t>Montáž</t>
  </si>
  <si>
    <t>Celkem</t>
  </si>
  <si>
    <t>%</t>
  </si>
  <si>
    <t>Cenová</t>
  </si>
  <si>
    <t>soustava</t>
  </si>
  <si>
    <t>RTS I / 2022</t>
  </si>
  <si>
    <t>VD I / 2022</t>
  </si>
  <si>
    <t>VD / 2022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</si>
  <si>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</si>
  <si>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</si>
  <si>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</si>
  <si>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</si>
  <si>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</si>
  <si>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</si>
  <si>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</si>
  <si>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</si>
  <si>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</si>
  <si>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12_</t>
  </si>
  <si>
    <t>13_</t>
  </si>
  <si>
    <t>16_</t>
  </si>
  <si>
    <t>17_</t>
  </si>
  <si>
    <t>27_</t>
  </si>
  <si>
    <t>31_</t>
  </si>
  <si>
    <t>34_</t>
  </si>
  <si>
    <t>41_</t>
  </si>
  <si>
    <t>43_</t>
  </si>
  <si>
    <t>60_</t>
  </si>
  <si>
    <t>61_</t>
  </si>
  <si>
    <t>62_</t>
  </si>
  <si>
    <t>63_</t>
  </si>
  <si>
    <t>711_</t>
  </si>
  <si>
    <t>712_</t>
  </si>
  <si>
    <t>713_</t>
  </si>
  <si>
    <t>721_</t>
  </si>
  <si>
    <t>762_</t>
  </si>
  <si>
    <t>764_</t>
  </si>
  <si>
    <t>766_</t>
  </si>
  <si>
    <t>767_</t>
  </si>
  <si>
    <t>771_</t>
  </si>
  <si>
    <t>775_</t>
  </si>
  <si>
    <t>781_</t>
  </si>
  <si>
    <t>783_</t>
  </si>
  <si>
    <t>784_</t>
  </si>
  <si>
    <t>786_</t>
  </si>
  <si>
    <t>94_</t>
  </si>
  <si>
    <t>95_</t>
  </si>
  <si>
    <t>H01_</t>
  </si>
  <si>
    <t>M43_</t>
  </si>
  <si>
    <t>11_</t>
  </si>
  <si>
    <t>56_</t>
  </si>
  <si>
    <t>59_</t>
  </si>
  <si>
    <t>91_</t>
  </si>
  <si>
    <t>H22_</t>
  </si>
  <si>
    <t>S_</t>
  </si>
  <si>
    <t>H15_</t>
  </si>
  <si>
    <t>SO 01_1_</t>
  </si>
  <si>
    <t>SO 01_2_</t>
  </si>
  <si>
    <t>SO 01_3_</t>
  </si>
  <si>
    <t>SO 01_4_</t>
  </si>
  <si>
    <t>SO 01_6_</t>
  </si>
  <si>
    <t>SO 01_71_</t>
  </si>
  <si>
    <t>SO 01_72_</t>
  </si>
  <si>
    <t>SO 01_76_</t>
  </si>
  <si>
    <t>SO 01_77_</t>
  </si>
  <si>
    <t>SO 01_78_</t>
  </si>
  <si>
    <t>SO 01_9_</t>
  </si>
  <si>
    <t>SO 01.1_1_</t>
  </si>
  <si>
    <t>SO 01.1_5_</t>
  </si>
  <si>
    <t>SO 01.1_76_</t>
  </si>
  <si>
    <t>SO 01.1_9_</t>
  </si>
  <si>
    <t>SO 02_1_</t>
  </si>
  <si>
    <t>SO 02_2_</t>
  </si>
  <si>
    <t>SO 02_3_</t>
  </si>
  <si>
    <t>SO 02_6_</t>
  </si>
  <si>
    <t>SO 02_76_</t>
  </si>
  <si>
    <t>SO 02_9_</t>
  </si>
  <si>
    <t>SO 01_</t>
  </si>
  <si>
    <t>SO 01.1_</t>
  </si>
  <si>
    <t>SO 02_</t>
  </si>
  <si>
    <t>MAT</t>
  </si>
  <si>
    <t>WORK</t>
  </si>
  <si>
    <t>CELK</t>
  </si>
  <si>
    <t>ISWORK</t>
  </si>
  <si>
    <t>P</t>
  </si>
  <si>
    <t>M</t>
  </si>
  <si>
    <t>GROUPCODE</t>
  </si>
  <si>
    <t>Slepý stavební rozpočet - Jen objekty celkem</t>
  </si>
  <si>
    <t>F</t>
  </si>
  <si>
    <t>Slepý stavební rozpočet - rekapitulace</t>
  </si>
  <si>
    <t>Náklady (Kč) - dodávka</t>
  </si>
  <si>
    <t>Náklady (Kč) - Montáž</t>
  </si>
  <si>
    <t>Náklady (Kč) - celkem</t>
  </si>
  <si>
    <t>T</t>
  </si>
  <si>
    <t>Výkaz výměr</t>
  </si>
  <si>
    <t>Zkrácený popis / Varianta</t>
  </si>
  <si>
    <t>3,5</t>
  </si>
  <si>
    <t>9,40</t>
  </si>
  <si>
    <t>195,02*0,4</t>
  </si>
  <si>
    <t>70,34*0,4</t>
  </si>
  <si>
    <t>0,77*(57,71-3,5)</t>
  </si>
  <si>
    <t>160,07*(2,43-0,4)</t>
  </si>
  <si>
    <t>4,92*4</t>
  </si>
  <si>
    <t>344,62</t>
  </si>
  <si>
    <t>2*1,5*1,5*1</t>
  </si>
  <si>
    <t>1,5*3,535*1</t>
  </si>
  <si>
    <t>1,8*1,8*1</t>
  </si>
  <si>
    <t>60,91*0,9*0,39</t>
  </si>
  <si>
    <t>21,38</t>
  </si>
  <si>
    <t>3,10*0,4*1</t>
  </si>
  <si>
    <t>1,24</t>
  </si>
  <si>
    <t>12,557*0,6*0,85</t>
  </si>
  <si>
    <t>55,72*0,6*0,6</t>
  </si>
  <si>
    <t>41,74+344,62+13,04+21,38+1,24</t>
  </si>
  <si>
    <t>51,50*1,64</t>
  </si>
  <si>
    <t>2*(6,02*0,75)</t>
  </si>
  <si>
    <t>244,45</t>
  </si>
  <si>
    <t>(72,67-2*6,5-2,5)*4,58</t>
  </si>
  <si>
    <t>-18,26*0,150</t>
  </si>
  <si>
    <t>-22,50*0,350</t>
  </si>
  <si>
    <t>-2*(5,98*0,350)</t>
  </si>
  <si>
    <t>-2*(3,69*0,350)</t>
  </si>
  <si>
    <t>94,71*0,15</t>
  </si>
  <si>
    <t>6,88*2,5*0,1</t>
  </si>
  <si>
    <t>94,71*0,06</t>
  </si>
  <si>
    <t>143,77*0,04</t>
  </si>
  <si>
    <t>3,10*0,4*1,2</t>
  </si>
  <si>
    <t>60,91*0,9*0,6</t>
  </si>
  <si>
    <t>2*3,10*0,21</t>
  </si>
  <si>
    <t>2*60,91*0,21</t>
  </si>
  <si>
    <t>2*(1,5*1,5*1,2)</t>
  </si>
  <si>
    <t>1,5*3,535*1,2</t>
  </si>
  <si>
    <t>1,8*1,8*1,2</t>
  </si>
  <si>
    <t>2*(4*1,5*0,21)</t>
  </si>
  <si>
    <t>(2*1,5+2*3,535)*0,21</t>
  </si>
  <si>
    <t>4*1,8*0,21</t>
  </si>
  <si>
    <t>6,14</t>
  </si>
  <si>
    <t>143,77*0,15</t>
  </si>
  <si>
    <t>6,88*2,5*0,2</t>
  </si>
  <si>
    <t>1,65*0,15</t>
  </si>
  <si>
    <t>53,22*0,15</t>
  </si>
  <si>
    <t>(2*6,88+2,5)*0,2</t>
  </si>
  <si>
    <t>(1,1+1,5)*0,15</t>
  </si>
  <si>
    <t>11,23</t>
  </si>
  <si>
    <t>2*143,77*4,44/1000</t>
  </si>
  <si>
    <t>2*(6,88*2,5)*4,44/1000</t>
  </si>
  <si>
    <t>2*1,65*4,44/1000</t>
  </si>
  <si>
    <t>2*7,45*0,4</t>
  </si>
  <si>
    <t>4*7,45</t>
  </si>
  <si>
    <t>(2*7,45*0,4)*120/1000</t>
  </si>
  <si>
    <t>3,71*2,35</t>
  </si>
  <si>
    <t>-0,8*2,1</t>
  </si>
  <si>
    <t>3,45*3</t>
  </si>
  <si>
    <t>53,77*2,35</t>
  </si>
  <si>
    <t>-2*(2*0,6)</t>
  </si>
  <si>
    <t>-2*(0,9*2,1)</t>
  </si>
  <si>
    <t>13,13*2,35</t>
  </si>
  <si>
    <t>-1,5*2,15</t>
  </si>
  <si>
    <t>17,39*0,2*40/1000</t>
  </si>
  <si>
    <t>118,5*0,3*40/1000</t>
  </si>
  <si>
    <t>27,63*0,4*40/1000</t>
  </si>
  <si>
    <t>12,43</t>
  </si>
  <si>
    <t>12,43*2,75</t>
  </si>
  <si>
    <t>-2,2*0,6</t>
  </si>
  <si>
    <t>9,00*2,75</t>
  </si>
  <si>
    <t>10,47*2,5</t>
  </si>
  <si>
    <t>-0,6*0,7</t>
  </si>
  <si>
    <t>-1,95*0,7</t>
  </si>
  <si>
    <t>26,34*2,75</t>
  </si>
  <si>
    <t>-1,8*1,65</t>
  </si>
  <si>
    <t>-1*1,65</t>
  </si>
  <si>
    <t>-1,9*1,65</t>
  </si>
  <si>
    <t>-3*0,75</t>
  </si>
  <si>
    <t>-0,6*2,45</t>
  </si>
  <si>
    <t>9,24*2,25</t>
  </si>
  <si>
    <t>-(1,5*1,65+0,7*2,25)</t>
  </si>
  <si>
    <t>35,52*1</t>
  </si>
  <si>
    <t>-0,6*1,3</t>
  </si>
  <si>
    <t>2,5</t>
  </si>
  <si>
    <t>1,5</t>
  </si>
  <si>
    <t>2,75</t>
  </si>
  <si>
    <t>1,5*0,25</t>
  </si>
  <si>
    <t>2,5*0,25</t>
  </si>
  <si>
    <t>2,75*0,25</t>
  </si>
  <si>
    <t>;ztratné 10%; 0,302</t>
  </si>
  <si>
    <t>8,5*0,238</t>
  </si>
  <si>
    <t>;ztratné 10%; 0,202</t>
  </si>
  <si>
    <t>3,16*3</t>
  </si>
  <si>
    <t>-0,8*2,15</t>
  </si>
  <si>
    <t>4,01*3</t>
  </si>
  <si>
    <t>-0,9*2,15</t>
  </si>
  <si>
    <t>10,027*0,4+0,8*2+0,5*2+0,5*2+0,75*2</t>
  </si>
  <si>
    <t>(10,027*0,4+0,8*2+0,5*2+0,5*2+0,75*2)*0,3*40/1000</t>
  </si>
  <si>
    <t>0,8+0,5+0,5+0,75</t>
  </si>
  <si>
    <t>1,10*2,35</t>
  </si>
  <si>
    <t>2,87*3</t>
  </si>
  <si>
    <t>8,67*3</t>
  </si>
  <si>
    <t>6,73*2,35</t>
  </si>
  <si>
    <t>-2*(0,8*2,1)</t>
  </si>
  <si>
    <t>9,9*3</t>
  </si>
  <si>
    <t>-1,05*2,5</t>
  </si>
  <si>
    <t>4,16*3</t>
  </si>
  <si>
    <t>8,03*3</t>
  </si>
  <si>
    <t>6,74*3</t>
  </si>
  <si>
    <t>1,00*2,8</t>
  </si>
  <si>
    <t>0,92*2,85</t>
  </si>
  <si>
    <t>135,80*0,22</t>
  </si>
  <si>
    <t>141,21*0,22</t>
  </si>
  <si>
    <t>124,14</t>
  </si>
  <si>
    <t>129,67</t>
  </si>
  <si>
    <t>53,68</t>
  </si>
  <si>
    <t>52,67</t>
  </si>
  <si>
    <t>135,80*0,22*125/1000</t>
  </si>
  <si>
    <t>141,21*0,22*125/1000</t>
  </si>
  <si>
    <t>13,11*0,4*0,72</t>
  </si>
  <si>
    <t>8,79*0,4*0,47</t>
  </si>
  <si>
    <t>9,08*0,44*0,5</t>
  </si>
  <si>
    <t>26,08*0,3*0,25</t>
  </si>
  <si>
    <t>13,11*0,72+13,11*0,500</t>
  </si>
  <si>
    <t>8,79*0,47+8,79*0,25</t>
  </si>
  <si>
    <t>2*(9,08*0,5)</t>
  </si>
  <si>
    <t>26,08*0,47+26,08*0,25</t>
  </si>
  <si>
    <t>1,5*0,4</t>
  </si>
  <si>
    <t>2*(2*0,4)</t>
  </si>
  <si>
    <t>9,08*0,44</t>
  </si>
  <si>
    <t>26,08*0,3</t>
  </si>
  <si>
    <t>13,11*0,4*0,72*200/1000</t>
  </si>
  <si>
    <t>8,79*0,4*0,47*200/1000</t>
  </si>
  <si>
    <t>9,08*0,44*0,5*200/1000</t>
  </si>
  <si>
    <t>26,08*0,3*0,25*200/1000</t>
  </si>
  <si>
    <t>29,31</t>
  </si>
  <si>
    <t>10,21</t>
  </si>
  <si>
    <t>10,20</t>
  </si>
  <si>
    <t>29,31*0,06*0,22</t>
  </si>
  <si>
    <t>10,20*0,2*0,47</t>
  </si>
  <si>
    <t>10,21*0,1*0,22</t>
  </si>
  <si>
    <t>;ztratné 10%; 0,157</t>
  </si>
  <si>
    <t>26,15*2</t>
  </si>
  <si>
    <t>33,98*0,3*0,25</t>
  </si>
  <si>
    <t>35,52*0,5*0,1</t>
  </si>
  <si>
    <t>33,98</t>
  </si>
  <si>
    <t>35,52</t>
  </si>
  <si>
    <t>33,98*0,3*0,25*70/1000</t>
  </si>
  <si>
    <t>73,83</t>
  </si>
  <si>
    <t>14,03</t>
  </si>
  <si>
    <t>17,35</t>
  </si>
  <si>
    <t>9,36</t>
  </si>
  <si>
    <t>6,35</t>
  </si>
  <si>
    <t>7,00</t>
  </si>
  <si>
    <t>1,49</t>
  </si>
  <si>
    <t>8,34</t>
  </si>
  <si>
    <t>14*(0,184*0,24*1,02)+4,26*0,12*1,02</t>
  </si>
  <si>
    <t>19*(0,167*0,278*1,02)+4,89*0,12*1,02</t>
  </si>
  <si>
    <t>2,65*90/1000</t>
  </si>
  <si>
    <t>14*(0,184*1,02)+4,26*1,02</t>
  </si>
  <si>
    <t>19*(0,167*1,02)+4,89*1,02</t>
  </si>
  <si>
    <t>1,51</t>
  </si>
  <si>
    <t>55,72*0,15</t>
  </si>
  <si>
    <t>18,26</t>
  </si>
  <si>
    <t>22,50</t>
  </si>
  <si>
    <t>2*5,98</t>
  </si>
  <si>
    <t>2*3,69</t>
  </si>
  <si>
    <t>;ztratné 2%; 0,8368</t>
  </si>
  <si>
    <t>55,72</t>
  </si>
  <si>
    <t>214,07</t>
  </si>
  <si>
    <t>15,54</t>
  </si>
  <si>
    <t>3,35</t>
  </si>
  <si>
    <t>10,33</t>
  </si>
  <si>
    <t>14,21</t>
  </si>
  <si>
    <t>13,97*2,1</t>
  </si>
  <si>
    <t>-0,9*2,1</t>
  </si>
  <si>
    <t>12,5*2,1</t>
  </si>
  <si>
    <t>5,07*2,1</t>
  </si>
  <si>
    <t>11,42*2,1</t>
  </si>
  <si>
    <t>5,50*2,1</t>
  </si>
  <si>
    <t>12,43*0,25</t>
  </si>
  <si>
    <t>(3,16*3)*2</t>
  </si>
  <si>
    <t>(4,01*3)*2</t>
  </si>
  <si>
    <t>(2,87*3)*2</t>
  </si>
  <si>
    <t>(8,67*3)*2</t>
  </si>
  <si>
    <t>(6,73*2,35)*2</t>
  </si>
  <si>
    <t>(9,9*3)*2</t>
  </si>
  <si>
    <t>(8,03*3)*2</t>
  </si>
  <si>
    <t>(6,74*3)*2</t>
  </si>
  <si>
    <t>13,11*0,500</t>
  </si>
  <si>
    <t>8,79*0,25</t>
  </si>
  <si>
    <t>9,08*0,5</t>
  </si>
  <si>
    <t>33,98*0,25</t>
  </si>
  <si>
    <t>-91,14</t>
  </si>
  <si>
    <t>1,37</t>
  </si>
  <si>
    <t>48,49</t>
  </si>
  <si>
    <t>-2,05*2,5</t>
  </si>
  <si>
    <t>75,45</t>
  </si>
  <si>
    <t>47,96</t>
  </si>
  <si>
    <t>-0,6*4,05</t>
  </si>
  <si>
    <t>-(1,5*1,65+0,7*2,35)</t>
  </si>
  <si>
    <t>68,18</t>
  </si>
  <si>
    <t>-0,85*2,5</t>
  </si>
  <si>
    <t>-1,95*1,65</t>
  </si>
  <si>
    <t>2,97*2,75</t>
  </si>
  <si>
    <t>73*0,2</t>
  </si>
  <si>
    <t>2,05+2*2,5</t>
  </si>
  <si>
    <t>1,8+2*1,65</t>
  </si>
  <si>
    <t>1+2*1,65</t>
  </si>
  <si>
    <t>2*(2+2*0,6)</t>
  </si>
  <si>
    <t>1,9+2*1,65</t>
  </si>
  <si>
    <t>0,6+2*4,05</t>
  </si>
  <si>
    <t>(1,5+2*1,65+0,7+2*2,35)</t>
  </si>
  <si>
    <t>0,6+2*0,7</t>
  </si>
  <si>
    <t>1,95+2*0,7</t>
  </si>
  <si>
    <t>0,85+2*2,5</t>
  </si>
  <si>
    <t>1,95+2*1,65</t>
  </si>
  <si>
    <t>3+2*0,75</t>
  </si>
  <si>
    <t>7,27*3</t>
  </si>
  <si>
    <t>3,92</t>
  </si>
  <si>
    <t>;ztratné 2%; 0,5146</t>
  </si>
  <si>
    <t>2,05*2,5</t>
  </si>
  <si>
    <t>1,8*1,65</t>
  </si>
  <si>
    <t>1*1,65</t>
  </si>
  <si>
    <t>2*(2*0,6)</t>
  </si>
  <si>
    <t>1,9*1,65</t>
  </si>
  <si>
    <t>0,6*4,05</t>
  </si>
  <si>
    <t>(1,5*1,65+0,7*2,35)</t>
  </si>
  <si>
    <t>0,6*0,7</t>
  </si>
  <si>
    <t>1,95*0,7</t>
  </si>
  <si>
    <t>0,85*2,5</t>
  </si>
  <si>
    <t>1,95*1,65</t>
  </si>
  <si>
    <t>3*0,75</t>
  </si>
  <si>
    <t>2*(10,027*0,4+0,8*2+0,5*2+0,5*2+0,75*2)</t>
  </si>
  <si>
    <t>0,3*2+0,3*1,6+6*(0,3*2)</t>
  </si>
  <si>
    <t>22,9</t>
  </si>
  <si>
    <t>4*4*2</t>
  </si>
  <si>
    <t>;ztratné 2%; 0,64</t>
  </si>
  <si>
    <t>22,10</t>
  </si>
  <si>
    <t>62,32*0,05</t>
  </si>
  <si>
    <t>8,98*0,05</t>
  </si>
  <si>
    <t>4,63*0,05</t>
  </si>
  <si>
    <t>1,74*0,05</t>
  </si>
  <si>
    <t>3,25*0,05</t>
  </si>
  <si>
    <t>40,89*0,05</t>
  </si>
  <si>
    <t>6,88*1,5*0,05</t>
  </si>
  <si>
    <t>81,27</t>
  </si>
  <si>
    <t>13,85</t>
  </si>
  <si>
    <t>12,08</t>
  </si>
  <si>
    <t>6,11</t>
  </si>
  <si>
    <t>143,77</t>
  </si>
  <si>
    <t>53,22*0,35</t>
  </si>
  <si>
    <t>40,92*3</t>
  </si>
  <si>
    <t>12,25*3,7</t>
  </si>
  <si>
    <t>2*7,45</t>
  </si>
  <si>
    <t>2*(40,92*3)</t>
  </si>
  <si>
    <t>2*(12,25*3,7)</t>
  </si>
  <si>
    <t>-(1,5*2,15)</t>
  </si>
  <si>
    <t>52,76</t>
  </si>
  <si>
    <t>34,47*0,5</t>
  </si>
  <si>
    <t>;ztratné 3,5%; 2,44965</t>
  </si>
  <si>
    <t>4,63+(8,86*2,1)</t>
  </si>
  <si>
    <t>1,74+(5,5*2,1)</t>
  </si>
  <si>
    <t>7,00+(12,50*2,1)</t>
  </si>
  <si>
    <t>-(0,8*2,1+1,95*0,7)</t>
  </si>
  <si>
    <t>1,49+(5,07*2,1)</t>
  </si>
  <si>
    <t>8,34+(11,42*2,1)</t>
  </si>
  <si>
    <t>-(0,9*2,1+3*0,75)</t>
  </si>
  <si>
    <t>64,30</t>
  </si>
  <si>
    <t>31,8*1,5</t>
  </si>
  <si>
    <t>52,76*1,15</t>
  </si>
  <si>
    <t>(34,47*0,5)*1,2</t>
  </si>
  <si>
    <t>64,30*1,15</t>
  </si>
  <si>
    <t>(31,8*1,5)*1,2</t>
  </si>
  <si>
    <t>52,76*2</t>
  </si>
  <si>
    <t>(34,47*0,5)*2</t>
  </si>
  <si>
    <t>(52,76*1,11)*2</t>
  </si>
  <si>
    <t>((34,47*0,5)*1,14)*2</t>
  </si>
  <si>
    <t>31,8</t>
  </si>
  <si>
    <t>(40,92)*3*0,2</t>
  </si>
  <si>
    <t>-8,8*0,47*0,2</t>
  </si>
  <si>
    <t>-2*(2*0,6*0,2)</t>
  </si>
  <si>
    <t>-(1,5*2,15*0,2)</t>
  </si>
  <si>
    <t>12,25*2,5*0,2</t>
  </si>
  <si>
    <t>2*7,45*0,1</t>
  </si>
  <si>
    <t>12,25*0,72*0,1</t>
  </si>
  <si>
    <t>8,79*0,47*0,1</t>
  </si>
  <si>
    <t>;ztratné 5%; 1,575</t>
  </si>
  <si>
    <t>;ztratné 5%; 5,853</t>
  </si>
  <si>
    <t>28,22*0,5</t>
  </si>
  <si>
    <t>;ztratné 5%; 0,7055</t>
  </si>
  <si>
    <t>64,30*0,02</t>
  </si>
  <si>
    <t>;ztratné 5%; 0,0645</t>
  </si>
  <si>
    <t>15,31</t>
  </si>
  <si>
    <t>;ztratné 5%; 0,7655</t>
  </si>
  <si>
    <t>;ztratné 5%; 0,0685</t>
  </si>
  <si>
    <t>62,32</t>
  </si>
  <si>
    <t>8,98</t>
  </si>
  <si>
    <t>4,63</t>
  </si>
  <si>
    <t>1,74</t>
  </si>
  <si>
    <t>3,25</t>
  </si>
  <si>
    <t>40,89</t>
  </si>
  <si>
    <t>62,32*0,18</t>
  </si>
  <si>
    <t>8,98*0,18</t>
  </si>
  <si>
    <t>4,63*0,18</t>
  </si>
  <si>
    <t>1,74*0,18</t>
  </si>
  <si>
    <t>3,25*0,18</t>
  </si>
  <si>
    <t>40,89*0,18</t>
  </si>
  <si>
    <t>81,27*0,15</t>
  </si>
  <si>
    <t>13,85*0,15</t>
  </si>
  <si>
    <t>12,08*0,15</t>
  </si>
  <si>
    <t>6,11*0,15</t>
  </si>
  <si>
    <t>7,00*0,15</t>
  </si>
  <si>
    <t>1,49*0,15</t>
  </si>
  <si>
    <t>;ztratné 5%; 2,0095</t>
  </si>
  <si>
    <t>;ztratné 5%; 2,7715</t>
  </si>
  <si>
    <t>36,76</t>
  </si>
  <si>
    <t>13,97</t>
  </si>
  <si>
    <t>8,86</t>
  </si>
  <si>
    <t>5,5</t>
  </si>
  <si>
    <t>8,49</t>
  </si>
  <si>
    <t>27,43</t>
  </si>
  <si>
    <t>38,11</t>
  </si>
  <si>
    <t>15,36</t>
  </si>
  <si>
    <t>22,54</t>
  </si>
  <si>
    <t>12,17</t>
  </si>
  <si>
    <t>12,5</t>
  </si>
  <si>
    <t>5,07</t>
  </si>
  <si>
    <t>15,03</t>
  </si>
  <si>
    <t>16,68</t>
  </si>
  <si>
    <t>12,57</t>
  </si>
  <si>
    <t>11,42</t>
  </si>
  <si>
    <t>14,15</t>
  </si>
  <si>
    <t>;ztratné 10%; 17,7</t>
  </si>
  <si>
    <t>35,52*0,5</t>
  </si>
  <si>
    <t>29,15</t>
  </si>
  <si>
    <t>2,2</t>
  </si>
  <si>
    <t>0,6</t>
  </si>
  <si>
    <t>1,95</t>
  </si>
  <si>
    <t>2,05</t>
  </si>
  <si>
    <t>1,8</t>
  </si>
  <si>
    <t>1,9</t>
  </si>
  <si>
    <t>2*2</t>
  </si>
  <si>
    <t>3,7</t>
  </si>
  <si>
    <t>5,25</t>
  </si>
  <si>
    <t>3,95</t>
  </si>
  <si>
    <t>1,3</t>
  </si>
  <si>
    <t>7,61*2</t>
  </si>
  <si>
    <t>3,51*2</t>
  </si>
  <si>
    <t>7,61</t>
  </si>
  <si>
    <t>8,86*2,1</t>
  </si>
  <si>
    <t>;ztratné 5%; 1,1525</t>
  </si>
  <si>
    <t>14*1,02</t>
  </si>
  <si>
    <t>19*1,02</t>
  </si>
  <si>
    <t>2*14*(0,184+0,240)</t>
  </si>
  <si>
    <t>2*19*(0,167+0,278)</t>
  </si>
  <si>
    <t>;ztratné 2%; 0,3652</t>
  </si>
  <si>
    <t>(2/0,3)*9,1</t>
  </si>
  <si>
    <t>;ztratné 2%; 1,2134</t>
  </si>
  <si>
    <t>18,26*6</t>
  </si>
  <si>
    <t>;ztratné 5%; 5,478</t>
  </si>
  <si>
    <t>2*2,2+2*0,6</t>
  </si>
  <si>
    <t>2,2*0,6</t>
  </si>
  <si>
    <t>3,7*2,75</t>
  </si>
  <si>
    <t>5,25*2,75</t>
  </si>
  <si>
    <t>3,85*2,75</t>
  </si>
  <si>
    <t>1,3*2,75</t>
  </si>
  <si>
    <t>5*2,75</t>
  </si>
  <si>
    <t>1,5*1,65</t>
  </si>
  <si>
    <t>6,11*35</t>
  </si>
  <si>
    <t>2,11*25</t>
  </si>
  <si>
    <t>6,44*25</t>
  </si>
  <si>
    <t>4,26*15</t>
  </si>
  <si>
    <t>4,89*15</t>
  </si>
  <si>
    <t>2,86*25</t>
  </si>
  <si>
    <t>10,027*35</t>
  </si>
  <si>
    <t>1,2*35</t>
  </si>
  <si>
    <t>1,5*35</t>
  </si>
  <si>
    <t>2,85*35</t>
  </si>
  <si>
    <t>2,8*35</t>
  </si>
  <si>
    <t>5,79</t>
  </si>
  <si>
    <t>15,35</t>
  </si>
  <si>
    <t>5,79*0,1</t>
  </si>
  <si>
    <t>;ztratné 10%; 1,593</t>
  </si>
  <si>
    <t>;ztratné 15%; 2,5245</t>
  </si>
  <si>
    <t>0,9</t>
  </si>
  <si>
    <t>2*0,8</t>
  </si>
  <si>
    <t>;ztratné 15%; 24,06</t>
  </si>
  <si>
    <t>-(5*0,8+1,02)</t>
  </si>
  <si>
    <t>-(4*0,8+1,02)</t>
  </si>
  <si>
    <t>138,39</t>
  </si>
  <si>
    <t>;ztratné 5%; 6,9195</t>
  </si>
  <si>
    <t>4*0,7+0,8+1,02</t>
  </si>
  <si>
    <t>4*0,8+1,02</t>
  </si>
  <si>
    <t>(13,97-5,79)*2,1</t>
  </si>
  <si>
    <t>5,5*2,1</t>
  </si>
  <si>
    <t>12,50*2,1</t>
  </si>
  <si>
    <t>79,07</t>
  </si>
  <si>
    <t>;ztratné 15%; 11,8605</t>
  </si>
  <si>
    <t>2*2,1</t>
  </si>
  <si>
    <t>2,1+1</t>
  </si>
  <si>
    <t>62,32+(36,76*0,1)</t>
  </si>
  <si>
    <t>3,25+(8,49*0,1)</t>
  </si>
  <si>
    <t>40,89+(27,43*0,1)</t>
  </si>
  <si>
    <t>14*(0,240*1,02)</t>
  </si>
  <si>
    <t>19*(0,278*1,02)</t>
  </si>
  <si>
    <t>19*(0,167*1,02)</t>
  </si>
  <si>
    <t>14*(0,184*1,02)</t>
  </si>
  <si>
    <t>2*14*(0,184*0,1+0,240*0,1)</t>
  </si>
  <si>
    <t>2*19*(0,167*0,1+0,278*0,1)</t>
  </si>
  <si>
    <t>24,2*0,35</t>
  </si>
  <si>
    <t>334,45</t>
  </si>
  <si>
    <t>63,92</t>
  </si>
  <si>
    <t>7,70</t>
  </si>
  <si>
    <t>(28,97+3)*3,44</t>
  </si>
  <si>
    <t>480,16*2</t>
  </si>
  <si>
    <t>253,18</t>
  </si>
  <si>
    <t>3*3*53,7</t>
  </si>
  <si>
    <t>1*160</t>
  </si>
  <si>
    <t>;ztratné 8%; 51,464</t>
  </si>
  <si>
    <t>3*8</t>
  </si>
  <si>
    <t>3*(2*pi*0,08*(0,08+3))</t>
  </si>
  <si>
    <t>0,24*2</t>
  </si>
  <si>
    <t>0,95*30</t>
  </si>
  <si>
    <t>Stávající obrubník</t>
  </si>
  <si>
    <t>Rozšíření vjezdu</t>
  </si>
  <si>
    <t>Sejmutí ornice SO01 vč.terasy, okap.chodníku, rampy</t>
  </si>
  <si>
    <t>Sejmutí ornice zpevněné plochy</t>
  </si>
  <si>
    <t>do svahování jámy, plocha řezu A-A (plocha) x obvod základů</t>
  </si>
  <si>
    <t>do svahování jámy, plocha řezu A-A (plocha) x obvod</t>
  </si>
  <si>
    <t>Výkop jámy P.T. / -3,220 (půdorys)</t>
  </si>
  <si>
    <t>Sjezd do 1.PP řez (plocha) x š.4 m</t>
  </si>
  <si>
    <t>ZPatka 1500x1500x1200 mm do kopání na ZS -4.210</t>
  </si>
  <si>
    <t>ZPatka 1500x3535x1200 mm do kopání na ZS -4.210</t>
  </si>
  <si>
    <t>ZPatka 1800x1800x1200 mm do kopání na ZS -4.210</t>
  </si>
  <si>
    <t>ZP š.900 mm do kopání na ZS -3.610</t>
  </si>
  <si>
    <t>ZP š.400 mm do kopání na ZS -4.210</t>
  </si>
  <si>
    <t>Základ oplocení</t>
  </si>
  <si>
    <t>Žlab</t>
  </si>
  <si>
    <t>svahování, výkop jámy, rýh, patek</t>
  </si>
  <si>
    <t>Obvod 1.NP / Zásyp kolem RD na P.T., plocha řezu A-A</t>
  </si>
  <si>
    <t>Zásyp kolem Sjezdu na P.T., plocha řezu B-B x š.zásypu z každné strany</t>
  </si>
  <si>
    <t>Násypy kolem objektu od P.T.</t>
  </si>
  <si>
    <t>Násyp kolem objektu / plocha řezu A-A,východ od P.T. do - 0,130</t>
  </si>
  <si>
    <t>Terasa</t>
  </si>
  <si>
    <t>Žulové kostky, plocha</t>
  </si>
  <si>
    <t>Žulové kostky, pruhy</t>
  </si>
  <si>
    <t>F,G Podklad stěrk frakce 32 - 63 v.150 mm</t>
  </si>
  <si>
    <t>Sjezd do 1.PP</t>
  </si>
  <si>
    <t>dtto F,G Podklad stěrk frakce 32 - 63 v.150 mm</t>
  </si>
  <si>
    <t>F,G Ochranný beton, plocha dtto Hydroizolace</t>
  </si>
  <si>
    <t>ZP š.400 mm -4.210</t>
  </si>
  <si>
    <t>ZP š.900 mm -3.610</t>
  </si>
  <si>
    <t>ZPatka 1500x1500x1200 mm -4.210</t>
  </si>
  <si>
    <t>ZPatka 1500x3535x1200 mm -4.210</t>
  </si>
  <si>
    <t>ZPatka 1800x1800x1200 mm -4.210</t>
  </si>
  <si>
    <t>dtto plocha F,G Hydroizolace</t>
  </si>
  <si>
    <t>ŽB deska navazující na venk. schodiště (východ)</t>
  </si>
  <si>
    <t>F,G Hydroizolace (obvod)</t>
  </si>
  <si>
    <t>ŽB deska venkovní m.č.1.02, schodiště</t>
  </si>
  <si>
    <t>Boční stěny sjezdu</t>
  </si>
  <si>
    <t>VOD 1.PP</t>
  </si>
  <si>
    <t>KAN 1.PP</t>
  </si>
  <si>
    <t>1.PP Ztracené bednění   tl.200 mm</t>
  </si>
  <si>
    <t>1.PP Dveře 800x2100 mm (700x2050)</t>
  </si>
  <si>
    <t>1.NP Ztracené bednění   tl.200 mm</t>
  </si>
  <si>
    <t>1.PP Ztracené bednění   tl.300 mm</t>
  </si>
  <si>
    <t>1.PP Okno 2000x600 mm</t>
  </si>
  <si>
    <t>1.PP Dveře 900x2100 mm (800x2050)</t>
  </si>
  <si>
    <t>1.PP Ztracené bednění   tl.400 mm</t>
  </si>
  <si>
    <t>1.PP Vrata 1500x2150 mm</t>
  </si>
  <si>
    <t>1.PP,1.NP Ztracené bednění   tl.200 mm</t>
  </si>
  <si>
    <t>1.řada Porotherm 44 T Profi</t>
  </si>
  <si>
    <t>1.řada Porotherm 44 T Profi v.2,75 m</t>
  </si>
  <si>
    <t>1.NP Okno 2200x600 mm</t>
  </si>
  <si>
    <t>1.NP Porotherm 50 T Profi v.2,75 m</t>
  </si>
  <si>
    <t>1.NP Porotherm 50 T Profi v.2,5 m</t>
  </si>
  <si>
    <t>1.NP Okno 600x700 mm</t>
  </si>
  <si>
    <t>1.NP Okno 1950x700 mm</t>
  </si>
  <si>
    <t>2.NP Porotherm 50 T Profi v.2,75 m</t>
  </si>
  <si>
    <t>2.NP Okno 1800x1650 mm</t>
  </si>
  <si>
    <t>2.NP Okno 1000x1650 mm</t>
  </si>
  <si>
    <t>2.NP Okno 1900x1650 mm</t>
  </si>
  <si>
    <t>2.NP Okno 1950x1650 mm</t>
  </si>
  <si>
    <t>2.NP Okno 3000x750 mm</t>
  </si>
  <si>
    <t>2.NP Okno 600x4050 mm (-1600)</t>
  </si>
  <si>
    <t>2.NP Porotherm 50 T Profi v.2,25 m</t>
  </si>
  <si>
    <t>2.NP Okno 2200x1650 mm</t>
  </si>
  <si>
    <t>Střecha Porotherm 50 T Profi v.1 m</t>
  </si>
  <si>
    <t>1.NP Okno 600x4050 mm v.1300 mm</t>
  </si>
  <si>
    <t>1.NP Okno 2050x2500 mm</t>
  </si>
  <si>
    <t>Ti mezi překlady 1.NP</t>
  </si>
  <si>
    <t>1.NP Porotherm 175 mm</t>
  </si>
  <si>
    <t>1.06 Dveře 800x2150 mm (700x2100)</t>
  </si>
  <si>
    <t>2.NP Porotherm 175 mm</t>
  </si>
  <si>
    <t>2.03 Dveře 900x2150 mm (800x2100)</t>
  </si>
  <si>
    <t>1.03 Dveře 800x2150 mm (700x2100)</t>
  </si>
  <si>
    <t>1.05 Dveře 800x2150 mm (700x2100)</t>
  </si>
  <si>
    <t>1.04 Dveře 800x2150 mm (700x2100)</t>
  </si>
  <si>
    <t>1.02 Dveře 800x2150 mm (700x2100)</t>
  </si>
  <si>
    <t>2.02 Dveře 900x2150 mm (800x2100)</t>
  </si>
  <si>
    <t>2.01 Dveře 900x2150 mm (800x2100)</t>
  </si>
  <si>
    <t>2.04 Dveře 900x2150 mm (800x2100)</t>
  </si>
  <si>
    <t>Podezívka, Sloupy</t>
  </si>
  <si>
    <t>Sloupek olocení š.800 mm</t>
  </si>
  <si>
    <t>Sloupy</t>
  </si>
  <si>
    <t>1.PP Příčka YTONG tl.50 mm</t>
  </si>
  <si>
    <t>1.NP Ytong tl.100 mm</t>
  </si>
  <si>
    <t>1.NP Příčka akustik tl.140 (Ytong 150 mm)</t>
  </si>
  <si>
    <t>1.PP Příčka Porotherm tl.140 (Ytong 150 mm)</t>
  </si>
  <si>
    <t>1.NP Příčka Porotherm tl.140 (Ytong 150 mm)</t>
  </si>
  <si>
    <t>1.NP Dveře vstupní 850x2500 mm</t>
  </si>
  <si>
    <t>2.NP Příčka akustik tl.140 (Ytong 150 mm)</t>
  </si>
  <si>
    <t>2.NP Příčka Porotherm tl.140 (Ytong 150 mm)</t>
  </si>
  <si>
    <t>2.NP Ytong oblá tl.150 mm</t>
  </si>
  <si>
    <t>1.NP Ytong přizdívka tl.150 mm</t>
  </si>
  <si>
    <t>2.NP Ytong přizdívka tl.150 mm</t>
  </si>
  <si>
    <t>Strop nad 1.PP tl.220</t>
  </si>
  <si>
    <t>Strop nad 1.NP tl.220</t>
  </si>
  <si>
    <t>Bednění stropu nad 1.PP</t>
  </si>
  <si>
    <t>Bednění stropu nad 1.NP</t>
  </si>
  <si>
    <t>Prostup 200x950 mm strop nad 1.PP</t>
  </si>
  <si>
    <t>Prostup 200x950 mm strop nad 1.NP</t>
  </si>
  <si>
    <t>Trám strop 1.PP š.400, v.720 mm</t>
  </si>
  <si>
    <t>Trám strop 1.PP š.400, v.470 mm</t>
  </si>
  <si>
    <t>Trám strop 1.NP š.440, v.500 mm</t>
  </si>
  <si>
    <t>Trám strop 1.NP š.300, v.250 mm</t>
  </si>
  <si>
    <t>Strop 1.NP TI tl.60 v.220 mm</t>
  </si>
  <si>
    <t>Strop 1.NP TI tl.100 v.220 mm</t>
  </si>
  <si>
    <t>Strop 1.NP TI tl.200 v.470 mm</t>
  </si>
  <si>
    <t>Strop.2.NP Věncovka 80/2x250 mm</t>
  </si>
  <si>
    <t>Strop 2.NP ŽB věnec 300/250</t>
  </si>
  <si>
    <t>Strop 2.NP Spiroll</t>
  </si>
  <si>
    <t>2.01 Laminátová podlaha</t>
  </si>
  <si>
    <t>2.02 Laminátová podlaha</t>
  </si>
  <si>
    <t>2.03 Laminátová podlaha</t>
  </si>
  <si>
    <t>2.05 Laminátová podlaha</t>
  </si>
  <si>
    <t>1.05 Koupelna, dlažba</t>
  </si>
  <si>
    <t>1.06 WC, dlažba</t>
  </si>
  <si>
    <t>2.04 Koupelna,dlažba</t>
  </si>
  <si>
    <t>Schodiště 1.PP</t>
  </si>
  <si>
    <t>Schodiště 1.NP</t>
  </si>
  <si>
    <t>Schodiště 1.PP,1.NP</t>
  </si>
  <si>
    <t>Prefa schod. na terénu (východní pohled, půdorys 1.NP)</t>
  </si>
  <si>
    <t>Vpusť</t>
  </si>
  <si>
    <t>A - plocha dtto fasáda</t>
  </si>
  <si>
    <t>2 Cementotřískové desky,jižní</t>
  </si>
  <si>
    <t>2 Cementotřískové desky,západ</t>
  </si>
  <si>
    <t>2 Cementotřískové desky,východ</t>
  </si>
  <si>
    <t>2 Cementotřískové desky,sever</t>
  </si>
  <si>
    <t>002 Předsíň, dlažba</t>
  </si>
  <si>
    <t>1.PP Dveře 800x2100 mm (700x2050</t>
  </si>
  <si>
    <t>004 WC, dlažba</t>
  </si>
  <si>
    <t>Omítka hrubá pod obklady</t>
  </si>
  <si>
    <t>Zateplení stropní desky vstupu</t>
  </si>
  <si>
    <t>1 Fasáda,východ</t>
  </si>
  <si>
    <t>1 Fasáda,sever</t>
  </si>
  <si>
    <t>1 Fasáda,jižní</t>
  </si>
  <si>
    <t>1 Fasáda,západní</t>
  </si>
  <si>
    <t>1 - Fasáda 1.NP vstup</t>
  </si>
  <si>
    <t>1 Fasáda</t>
  </si>
  <si>
    <t>1 Fasáda, rohovník</t>
  </si>
  <si>
    <t>dtto plocha oplocení</t>
  </si>
  <si>
    <t>Okapový chodníček</t>
  </si>
  <si>
    <t>001 Sklep, epoxi-.nátěr</t>
  </si>
  <si>
    <t>003 Sauna, dlažba</t>
  </si>
  <si>
    <t>005 Sklad, epoxi-.nátěr</t>
  </si>
  <si>
    <t>006 Sklep, epoxi-.nátěr</t>
  </si>
  <si>
    <t>1.01 Laminátová podlaha</t>
  </si>
  <si>
    <t>1.02 Laminátová podlaha</t>
  </si>
  <si>
    <t>1.03 Laminátová podlaha</t>
  </si>
  <si>
    <t>1.04 Laminátová podlaha</t>
  </si>
  <si>
    <t>F, G Hydroizolace</t>
  </si>
  <si>
    <t>C 1.PP Ztrac.bed. tl.300 mm obvod</t>
  </si>
  <si>
    <t>C 1.PP Ztrac.bed. tl.400 mm obvod</t>
  </si>
  <si>
    <t>C Boční stěny sjezdu</t>
  </si>
  <si>
    <t>F,G Hydroizolace</t>
  </si>
  <si>
    <t>D Střecha</t>
  </si>
  <si>
    <t>Dveře, Okno</t>
  </si>
  <si>
    <t>Dveře</t>
  </si>
  <si>
    <t>E Střecha</t>
  </si>
  <si>
    <t>D Střecha, atik. prospusť</t>
  </si>
  <si>
    <t>E Střecha, atik. prospusť</t>
  </si>
  <si>
    <t>C Trám strop 1.PP š.400, v.470 mm</t>
  </si>
  <si>
    <t>D Střecha, hlava atik. TI tl.100 mm</t>
  </si>
  <si>
    <t>E Spádový klín podél atiky</t>
  </si>
  <si>
    <t>K1 střecha E</t>
  </si>
  <si>
    <t>K1 střecha D</t>
  </si>
  <si>
    <t>Skladba C</t>
  </si>
  <si>
    <t>D Střecha, hlava atik. oplechování</t>
  </si>
  <si>
    <t>1.NP Okno 600x4050 mm v.1,3 mm</t>
  </si>
  <si>
    <t>HS Portal 3700x2750 mm</t>
  </si>
  <si>
    <t>HS Portal 5250x2750 mm</t>
  </si>
  <si>
    <t>Pevné okno 3950x2750 mm</t>
  </si>
  <si>
    <t>Pevné okno 1300x2750 mm</t>
  </si>
  <si>
    <t>Pevné okno 5000x2750 mm</t>
  </si>
  <si>
    <t>K3 - Odvod radonu (odhad) / rezerva</t>
  </si>
  <si>
    <t>K2 - VZT potrubí, sjednocení / oplechování (odhad)</t>
  </si>
  <si>
    <t>1.02 Dveře 900x2150 mm (800x2100)</t>
  </si>
  <si>
    <t>1.01 Skleněné posuvné dveře</t>
  </si>
  <si>
    <t>1.NP Okno 2200x600 mm / ostění</t>
  </si>
  <si>
    <t>HS Portal 3700x2750 mm / ostění</t>
  </si>
  <si>
    <t>Pevné okno 3950x2750 mm  / ostění</t>
  </si>
  <si>
    <t>Pevné okno 1300x2750 mm / ostění</t>
  </si>
  <si>
    <t>Pevné okno 5000x2750 m /,ostění</t>
  </si>
  <si>
    <t>HS Portal 5250x2750 mm  / ostění</t>
  </si>
  <si>
    <t>Pevné okno 3850x2750 mm</t>
  </si>
  <si>
    <t>2.NP Okno 2200x1650 mm (jen pevné zasklení)</t>
  </si>
  <si>
    <t>2.NP Otvor 2200x1650 mm</t>
  </si>
  <si>
    <t>8 Žebřík</t>
  </si>
  <si>
    <t>Zábradlí schod.,východ</t>
  </si>
  <si>
    <t>Z4 - Zábradlí vstup, sever (odhad)</t>
  </si>
  <si>
    <t>9 - Zábradlí sjezd, sever  (odhad)</t>
  </si>
  <si>
    <t>Z1 - Schodiště 1.PP</t>
  </si>
  <si>
    <t>Z2 - Schodiště 1.NP</t>
  </si>
  <si>
    <t>Z3 - Zábradlí</t>
  </si>
  <si>
    <t>Z4 kovové pevné oplocení</t>
  </si>
  <si>
    <t>Z4 kovová branka š.1200 mm</t>
  </si>
  <si>
    <t>Z3 kovová branka š.1500 mm</t>
  </si>
  <si>
    <t>Z1 posuvné křídlo š.2850 mm</t>
  </si>
  <si>
    <t>Z2 posuvné křídlo š.2800 mm</t>
  </si>
  <si>
    <t>002 Sokl mimo obklad</t>
  </si>
  <si>
    <t>1.PP Dlažba</t>
  </si>
  <si>
    <t>1.PP Sokl</t>
  </si>
  <si>
    <t>1.NP Dveře+Schody</t>
  </si>
  <si>
    <t>2.NP Dveře+Schody</t>
  </si>
  <si>
    <t>1.NP Dveře+Schody výstup</t>
  </si>
  <si>
    <t>2.NP Dveře+Schody výstup</t>
  </si>
  <si>
    <t>1PP - 2.NP</t>
  </si>
  <si>
    <t>001 Sklep, epoxi-.nátěr + sokl</t>
  </si>
  <si>
    <t>005 Sklad, epoxi-.nátěr + sokl</t>
  </si>
  <si>
    <t>006 Sklep, epoxi-.nátěr + sokl</t>
  </si>
  <si>
    <t>Schodiště 1.PP, stupnice</t>
  </si>
  <si>
    <t>Schodiště 1.NP, stupnice</t>
  </si>
  <si>
    <t>Schodiště 1.NP, podstupnice</t>
  </si>
  <si>
    <t>Schodiště 1.PP, podstupnice</t>
  </si>
  <si>
    <t>Schodiště 1.PP, sokl</t>
  </si>
  <si>
    <t>Schodiště 1.NP, sokl</t>
  </si>
  <si>
    <t>Parapety</t>
  </si>
  <si>
    <t>Omítka štuková</t>
  </si>
  <si>
    <t>2.01 Laminátová podlaha / SDK podhled</t>
  </si>
  <si>
    <t>2.02 Laminátová podlaha / SDK podhled</t>
  </si>
  <si>
    <t>2.03 Laminátová podlaha / SDK podhled</t>
  </si>
  <si>
    <t>2.05 Laminátová podlaha / SDK podhled</t>
  </si>
  <si>
    <t>1.05 Koupelna, dlažba / SDK podhled</t>
  </si>
  <si>
    <t>1.06 WC, dlažba / SDK podhled</t>
  </si>
  <si>
    <t>2.04 Koupelna,dlažba / SDK podhled</t>
  </si>
  <si>
    <t>SDK pohledy</t>
  </si>
  <si>
    <t>Obrubník</t>
  </si>
  <si>
    <t>2 - Cementotřískové desky</t>
  </si>
  <si>
    <t>nájem uvažován 2 měsíce</t>
  </si>
  <si>
    <t>užitná plocha 1.PP-2.NP</t>
  </si>
  <si>
    <t>viz PBŘ</t>
  </si>
  <si>
    <t>TR 152/16</t>
  </si>
  <si>
    <t>Plech hladký S235 3*2*(0,2*0,2) = 0,24 m2</t>
  </si>
  <si>
    <t>Potřebné množství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</si>
  <si>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</si>
  <si>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</si>
  <si>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</si>
  <si>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</si>
  <si>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</si>
  <si>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</si>
  <si>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</si>
  <si>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</si>
  <si>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</si>
  <si>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</si>
  <si>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</si>
  <si>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</si>
  <si>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</si>
  <si>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</si>
  <si>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</si>
  <si>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</si>
  <si>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</si>
  <si>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</si>
  <si>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</si>
  <si>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</si>
  <si>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</si>
  <si>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</si>
  <si>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</si>
  <si>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</si>
  <si>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</si>
  <si>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</si>
  <si>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</si>
  <si>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</si>
  <si>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</si>
  <si>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</si>
  <si>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</si>
  <si>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</si>
  <si>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</si>
  <si>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</si>
  <si>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</si>
  <si>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</si>
  <si>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</si>
  <si>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</si>
  <si>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</si>
  <si>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</si>
  <si>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</si>
  <si>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05504929/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</si>
  <si>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</si>
  <si>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</si>
  <si>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</si>
  <si>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</si>
  <si>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</si>
  <si>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</si>
  <si>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</si>
  <si>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</si>
  <si>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</si>
  <si>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</si>
  <si>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Základna</t>
  </si>
  <si>
    <t>Pokyny:</t>
  </si>
  <si>
    <t>vyplňujte pouze buňky podbarvené barvou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</si>
</sst>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54"/>
      <name val="Arial"/>
      <charset val="238"/>
    </font>
    <font>
      <sz val="10"/>
      <color indexed="56"/>
      <name val="Arial"/>
      <charset val="238"/>
    </font>
    <font>
      <sz val="10"/>
      <color indexed="61"/>
      <name val="Arial"/>
      <charset val="238"/>
    </font>
    <font>
      <sz val="10"/>
      <color indexed="62"/>
      <name val="Arial"/>
      <charset val="238"/>
    </font>
    <font>
      <i/>
      <sz val="8"/>
      <color indexed="8"/>
      <name val="Arial"/>
      <charset val="238"/>
    </font>
    <font>
      <b/>
      <sz val="10"/>
      <color indexed="54"/>
      <name val="Arial"/>
      <charset val="238"/>
    </font>
    <font>
      <b/>
      <sz val="10"/>
      <color indexed="56"/>
      <name val="Arial"/>
      <charset val="238"/>
    </font>
    <font>
      <i/>
      <sz val="10"/>
      <color indexed="60"/>
      <name val="Arial"/>
      <charset val="238"/>
    </font>
    <font>
      <i/>
      <sz val="10"/>
      <color indexed="51"/>
      <name val="Arial"/>
      <charset val="238"/>
    </font>
    <font>
      <i/>
      <sz val="10"/>
      <color indexed="59"/>
      <name val="Arial"/>
      <charset val="238"/>
    </font>
    <font>
      <i/>
      <sz val="9"/>
      <color indexed="60"/>
      <name val="Arial"/>
      <charset val="238"/>
    </font>
    <font>
      <i/>
      <sz val="9"/>
      <color indexed="63"/>
      <name val="Arial"/>
      <charset val="238"/>
    </font>
    <font>
      <i/>
      <sz val="9"/>
      <color indexed="50"/>
      <name val="Arial"/>
      <charset val="238"/>
    </font>
    <font>
      <i/>
      <sz val="9"/>
      <color indexed="61"/>
      <name val="Arial"/>
      <charset val="238"/>
    </font>
    <font>
      <i/>
      <sz val="9"/>
      <color indexed="62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b/>
      <sz val="11"/>
      <color indexed="8"/>
      <name val="Arial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9"/>
      </patternFill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D7EE"/>
        <bgColor indexed="64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0">
    <xf numFmtId="0" fontId="1" fillId="0" borderId="0" xfId="0" applyFont="1" applyAlignment="1">
      <alignment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1" fillId="0" borderId="3" xfId="0" applyNumberFormat="1" applyFont="1" applyFill="1" applyBorder="1" applyAlignment="1" applyProtection="1">
      <alignment horizontal="left" vertical="center"/>
    </xf>
    <xf numFmtId="49" fontId="4" fillId="2" borderId="4" xfId="0" applyNumberFormat="1" applyFont="1" applyFill="1" applyBorder="1" applyAlignment="1" applyProtection="1">
      <alignment horizontal="left" vertical="center"/>
    </xf>
    <xf numFmtId="49" fontId="5" fillId="3" borderId="5" xfId="0" applyNumberFormat="1" applyFont="1" applyFill="1" applyBorder="1" applyAlignment="1" applyProtection="1">
      <alignment horizontal="left" vertical="center"/>
    </xf>
    <xf numFmtId="49" fontId="6" fillId="0" borderId="5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vertical="center"/>
    </xf>
    <xf numFmtId="49" fontId="7" fillId="0" borderId="5" xfId="0" applyNumberFormat="1" applyFont="1" applyFill="1" applyBorder="1" applyAlignment="1" applyProtection="1">
      <alignment horizontal="left" vertical="center"/>
    </xf>
    <xf numFmtId="49" fontId="4" fillId="2" borderId="5" xfId="0" applyNumberFormat="1" applyFont="1" applyFill="1" applyBorder="1" applyAlignment="1" applyProtection="1">
      <alignment horizontal="left" vertical="center"/>
    </xf>
    <xf numFmtId="49" fontId="6" fillId="0" borderId="6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3" fillId="0" borderId="8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49" fontId="9" fillId="2" borderId="10" xfId="0" applyNumberFormat="1" applyFont="1" applyFill="1" applyBorder="1" applyAlignment="1" applyProtection="1">
      <alignment horizontal="left" vertical="center"/>
    </xf>
    <xf numFmtId="49" fontId="10" fillId="3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49" fontId="6" fillId="0" borderId="11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 vertical="top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4" fillId="2" borderId="10" xfId="0" applyNumberFormat="1" applyFont="1" applyFill="1" applyBorder="1" applyAlignment="1" applyProtection="1">
      <alignment horizontal="left" vertical="center"/>
    </xf>
    <xf numFmtId="49" fontId="5" fillId="3" borderId="0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4" fontId="6" fillId="0" borderId="11" xfId="0" applyNumberFormat="1" applyFont="1" applyFill="1" applyBorder="1" applyAlignment="1" applyProtection="1">
      <alignment horizontal="right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49" fontId="3" fillId="0" borderId="15" xfId="0" applyNumberFormat="1" applyFont="1" applyFill="1" applyBorder="1" applyAlignment="1" applyProtection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center" vertical="center"/>
    </xf>
    <xf numFmtId="49" fontId="9" fillId="2" borderId="18" xfId="0" applyNumberFormat="1" applyFont="1" applyFill="1" applyBorder="1" applyAlignment="1" applyProtection="1">
      <alignment horizontal="right" vertical="center"/>
    </xf>
    <xf numFmtId="49" fontId="10" fillId="3" borderId="19" xfId="0" applyNumberFormat="1" applyFont="1" applyFill="1" applyBorder="1" applyAlignment="1" applyProtection="1">
      <alignment horizontal="right" vertical="center"/>
    </xf>
    <xf numFmtId="49" fontId="6" fillId="0" borderId="19" xfId="0" applyNumberFormat="1" applyFont="1" applyFill="1" applyBorder="1" applyAlignment="1" applyProtection="1">
      <alignment horizontal="right" vertical="center"/>
    </xf>
    <xf numFmtId="49" fontId="7" fillId="0" borderId="19" xfId="0" applyNumberFormat="1" applyFont="1" applyFill="1" applyBorder="1" applyAlignment="1" applyProtection="1">
      <alignment horizontal="right" vertical="center"/>
    </xf>
    <xf numFmtId="49" fontId="9" fillId="2" borderId="19" xfId="0" applyNumberFormat="1" applyFont="1" applyFill="1" applyBorder="1" applyAlignment="1" applyProtection="1">
      <alignment horizontal="right" vertical="center"/>
    </xf>
    <xf numFmtId="49" fontId="6" fillId="0" borderId="20" xfId="0" applyNumberFormat="1" applyFont="1" applyFill="1" applyBorder="1" applyAlignment="1" applyProtection="1">
      <alignment horizontal="right" vertical="center"/>
    </xf>
    <xf numFmtId="0" fontId="1" fillId="0" borderId="21" xfId="0" applyNumberFormat="1" applyFont="1" applyFill="1" applyBorder="1" applyAlignment="1" applyProtection="1">
      <alignment vertical="center"/>
    </xf>
    <xf numFmtId="49" fontId="10" fillId="3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" fontId="9" fillId="2" borderId="10" xfId="0" applyNumberFormat="1" applyFont="1" applyFill="1" applyBorder="1" applyAlignment="1" applyProtection="1">
      <alignment horizontal="right" vertical="center"/>
    </xf>
    <xf numFmtId="4" fontId="10" fillId="3" borderId="0" xfId="0" applyNumberFormat="1" applyFont="1" applyFill="1" applyBorder="1" applyAlignment="1" applyProtection="1">
      <alignment horizontal="right" vertical="center"/>
    </xf>
    <xf numFmtId="4" fontId="9" fillId="2" borderId="0" xfId="0" applyNumberFormat="1" applyFont="1" applyFill="1" applyBorder="1" applyAlignment="1" applyProtection="1">
      <alignment horizontal="right" vertical="center"/>
    </xf>
    <xf numFmtId="4" fontId="3" fillId="0" borderId="7" xfId="0" applyNumberFormat="1" applyFont="1" applyFill="1" applyBorder="1" applyAlignment="1" applyProtection="1">
      <alignment horizontal="right" vertical="center"/>
    </xf>
    <xf numFmtId="9" fontId="9" fillId="2" borderId="10" xfId="0" applyNumberFormat="1" applyFont="1" applyFill="1" applyBorder="1" applyAlignment="1" applyProtection="1">
      <alignment horizontal="center" vertical="center"/>
    </xf>
    <xf numFmtId="9" fontId="10" fillId="3" borderId="0" xfId="0" applyNumberFormat="1" applyFont="1" applyFill="1" applyBorder="1" applyAlignment="1" applyProtection="1">
      <alignment horizontal="center" vertical="center"/>
    </xf>
    <xf numFmtId="9" fontId="6" fillId="0" borderId="0" xfId="0" applyNumberFormat="1" applyFont="1" applyFill="1" applyBorder="1" applyAlignment="1" applyProtection="1">
      <alignment horizontal="center" vertical="center"/>
    </xf>
    <xf numFmtId="9" fontId="7" fillId="0" borderId="0" xfId="0" applyNumberFormat="1" applyFont="1" applyFill="1" applyBorder="1" applyAlignment="1" applyProtection="1">
      <alignment horizontal="center" vertical="center"/>
    </xf>
    <xf numFmtId="9" fontId="9" fillId="2" borderId="0" xfId="0" applyNumberFormat="1" applyFont="1" applyFill="1" applyBorder="1" applyAlignment="1" applyProtection="1">
      <alignment horizontal="center" vertical="center"/>
    </xf>
    <xf numFmtId="9" fontId="6" fillId="0" borderId="1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3" fillId="0" borderId="22" xfId="0" applyNumberFormat="1" applyFont="1" applyFill="1" applyBorder="1" applyAlignment="1" applyProtection="1">
      <alignment horizontal="center" vertical="center"/>
    </xf>
    <xf numFmtId="49" fontId="1" fillId="0" borderId="17" xfId="0" applyNumberFormat="1" applyFont="1" applyFill="1" applyBorder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9" fontId="1" fillId="0" borderId="18" xfId="0" applyNumberFormat="1" applyFont="1" applyFill="1" applyBorder="1" applyAlignment="1" applyProtection="1">
      <alignment horizontal="center" vertical="center"/>
    </xf>
    <xf numFmtId="9" fontId="1" fillId="0" borderId="19" xfId="0" applyNumberFormat="1" applyFont="1" applyFill="1" applyBorder="1" applyAlignment="1" applyProtection="1">
      <alignment horizontal="center" vertical="center"/>
    </xf>
    <xf numFmtId="9" fontId="1" fillId="0" borderId="20" xfId="0" applyNumberFormat="1" applyFont="1" applyFill="1" applyBorder="1" applyAlignment="1" applyProtection="1">
      <alignment horizontal="center" vertical="center"/>
    </xf>
    <xf numFmtId="49" fontId="3" fillId="0" borderId="23" xfId="0" applyNumberFormat="1" applyFont="1" applyFill="1" applyBorder="1" applyAlignment="1" applyProtection="1">
      <alignment horizontal="left" vertical="center"/>
    </xf>
    <xf numFmtId="49" fontId="3" fillId="0" borderId="24" xfId="0" applyNumberFormat="1" applyFont="1" applyFill="1" applyBorder="1" applyAlignment="1" applyProtection="1">
      <alignment horizontal="left" vertical="center"/>
    </xf>
    <xf numFmtId="49" fontId="3" fillId="0" borderId="25" xfId="0" applyNumberFormat="1" applyFont="1" applyFill="1" applyBorder="1" applyAlignment="1" applyProtection="1">
      <alignment horizontal="left" vertical="center"/>
    </xf>
    <xf numFmtId="0" fontId="1" fillId="0" borderId="26" xfId="0" applyNumberFormat="1" applyFont="1" applyFill="1" applyBorder="1" applyAlignment="1" applyProtection="1">
      <alignment vertical="center"/>
    </xf>
    <xf numFmtId="49" fontId="3" fillId="0" borderId="25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9" fontId="10" fillId="3" borderId="4" xfId="0" applyNumberFormat="1" applyFont="1" applyFill="1" applyBorder="1" applyAlignment="1" applyProtection="1">
      <alignment horizontal="left" vertical="center"/>
    </xf>
    <xf numFmtId="49" fontId="10" fillId="3" borderId="5" xfId="0" applyNumberFormat="1" applyFont="1" applyFill="1" applyBorder="1" applyAlignment="1" applyProtection="1">
      <alignment horizontal="left" vertical="center"/>
    </xf>
    <xf numFmtId="49" fontId="10" fillId="3" borderId="10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horizontal="right" vertical="top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25" xfId="0" applyNumberFormat="1" applyFont="1" applyFill="1" applyBorder="1" applyAlignment="1" applyProtection="1">
      <alignment horizontal="right" vertical="center"/>
    </xf>
    <xf numFmtId="4" fontId="17" fillId="0" borderId="0" xfId="0" applyNumberFormat="1" applyFont="1" applyFill="1" applyBorder="1" applyAlignment="1" applyProtection="1">
      <alignment horizontal="right" vertical="center"/>
    </xf>
    <xf numFmtId="4" fontId="18" fillId="0" borderId="0" xfId="0" applyNumberFormat="1" applyFont="1" applyFill="1" applyBorder="1" applyAlignment="1" applyProtection="1">
      <alignment horizontal="right" vertical="center"/>
    </xf>
    <xf numFmtId="49" fontId="3" fillId="0" borderId="27" xfId="0" applyNumberFormat="1" applyFont="1" applyFill="1" applyBorder="1" applyAlignment="1" applyProtection="1">
      <alignment horizontal="left" vertical="center"/>
    </xf>
    <xf numFmtId="49" fontId="10" fillId="3" borderId="18" xfId="0" applyNumberFormat="1" applyFont="1" applyFill="1" applyBorder="1" applyAlignment="1" applyProtection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</xf>
    <xf numFmtId="0" fontId="1" fillId="0" borderId="19" xfId="0" applyNumberFormat="1" applyFont="1" applyFill="1" applyBorder="1" applyAlignment="1" applyProtection="1">
      <alignment vertical="center"/>
    </xf>
    <xf numFmtId="4" fontId="7" fillId="0" borderId="19" xfId="0" applyNumberFormat="1" applyFont="1" applyFill="1" applyBorder="1" applyAlignment="1" applyProtection="1">
      <alignment horizontal="right" vertical="center"/>
    </xf>
    <xf numFmtId="4" fontId="6" fillId="0" borderId="20" xfId="0" applyNumberFormat="1" applyFont="1" applyFill="1" applyBorder="1" applyAlignment="1" applyProtection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</xf>
    <xf numFmtId="49" fontId="20" fillId="4" borderId="28" xfId="0" applyNumberFormat="1" applyFont="1" applyFill="1" applyBorder="1" applyAlignment="1" applyProtection="1">
      <alignment horizontal="center" vertical="center"/>
    </xf>
    <xf numFmtId="49" fontId="21" fillId="0" borderId="26" xfId="0" applyNumberFormat="1" applyFont="1" applyFill="1" applyBorder="1" applyAlignment="1" applyProtection="1">
      <alignment horizontal="left" vertical="center"/>
    </xf>
    <xf numFmtId="49" fontId="21" fillId="0" borderId="29" xfId="0" applyNumberFormat="1" applyFont="1" applyFill="1" applyBorder="1" applyAlignment="1" applyProtection="1">
      <alignment horizontal="left" vertical="center"/>
    </xf>
    <xf numFmtId="0" fontId="1" fillId="0" borderId="30" xfId="0" applyNumberFormat="1" applyFont="1" applyFill="1" applyBorder="1" applyAlignment="1" applyProtection="1">
      <alignment vertical="center"/>
    </xf>
    <xf numFmtId="49" fontId="8" fillId="0" borderId="10" xfId="0" applyNumberFormat="1" applyFont="1" applyFill="1" applyBorder="1" applyAlignment="1" applyProtection="1">
      <alignment horizontal="left" vertical="center"/>
    </xf>
    <xf numFmtId="49" fontId="22" fillId="0" borderId="28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>
      <alignment vertical="center"/>
    </xf>
    <xf numFmtId="0" fontId="1" fillId="0" borderId="31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vertical="center"/>
    </xf>
    <xf numFmtId="4" fontId="22" fillId="0" borderId="28" xfId="0" applyNumberFormat="1" applyFont="1" applyFill="1" applyBorder="1" applyAlignment="1" applyProtection="1">
      <alignment horizontal="right" vertical="center"/>
    </xf>
    <xf numFmtId="49" fontId="22" fillId="0" borderId="28" xfId="0" applyNumberFormat="1" applyFont="1" applyFill="1" applyBorder="1" applyAlignment="1" applyProtection="1">
      <alignment horizontal="right" vertical="center"/>
    </xf>
    <xf numFmtId="4" fontId="22" fillId="0" borderId="15" xfId="0" applyNumberFormat="1" applyFont="1" applyFill="1" applyBorder="1" applyAlignment="1" applyProtection="1">
      <alignment horizontal="right" vertical="center"/>
    </xf>
    <xf numFmtId="0" fontId="1" fillId="0" borderId="18" xfId="0" applyNumberFormat="1" applyFont="1" applyFill="1" applyBorder="1" applyAlignment="1" applyProtection="1">
      <alignment vertical="center"/>
    </xf>
    <xf numFmtId="4" fontId="21" fillId="4" borderId="32" xfId="0" applyNumberFormat="1" applyFont="1" applyFill="1" applyBorder="1" applyAlignment="1" applyProtection="1">
      <alignment horizontal="right" vertical="center"/>
    </xf>
    <xf numFmtId="0" fontId="1" fillId="0" borderId="33" xfId="0" applyNumberFormat="1" applyFont="1" applyFill="1" applyBorder="1" applyAlignment="1" applyProtection="1">
      <alignment vertical="center"/>
    </xf>
    <xf numFmtId="0" fontId="1" fillId="0" borderId="34" xfId="0" applyNumberFormat="1" applyFont="1" applyFill="1" applyBorder="1" applyAlignment="1" applyProtection="1">
      <alignment vertical="center"/>
    </xf>
    <xf numFmtId="4" fontId="1" fillId="0" borderId="28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1" fillId="0" borderId="28" xfId="0" applyNumberFormat="1" applyFont="1" applyFill="1" applyBorder="1" applyAlignment="1" applyProtection="1">
      <alignment horizontal="left" vertical="center"/>
    </xf>
    <xf numFmtId="49" fontId="1" fillId="0" borderId="15" xfId="0" applyNumberFormat="1" applyFont="1" applyFill="1" applyBorder="1" applyAlignment="1" applyProtection="1">
      <alignment horizontal="left" vertical="center"/>
    </xf>
    <xf numFmtId="49" fontId="3" fillId="0" borderId="23" xfId="0" applyNumberFormat="1" applyFont="1" applyFill="1" applyBorder="1" applyAlignment="1" applyProtection="1">
      <alignment horizontal="right" vertical="center"/>
    </xf>
    <xf numFmtId="4" fontId="3" fillId="0" borderId="23" xfId="0" applyNumberFormat="1" applyFont="1" applyFill="1" applyBorder="1" applyAlignment="1" applyProtection="1">
      <alignment horizontal="right" vertical="center"/>
    </xf>
    <xf numFmtId="0" fontId="1" fillId="0" borderId="11" xfId="0" applyNumberFormat="1" applyFont="1" applyFill="1" applyBorder="1" applyAlignment="1" applyProtection="1"/>
    <xf numFmtId="4" fontId="10" fillId="3" borderId="10" xfId="0" applyNumberFormat="1" applyFont="1" applyFill="1" applyBorder="1" applyAlignment="1" applyProtection="1">
      <alignment horizontal="right" vertical="center"/>
    </xf>
    <xf numFmtId="49" fontId="6" fillId="5" borderId="35" xfId="0" applyNumberFormat="1" applyFont="1" applyFill="1" applyBorder="1" applyAlignment="1" applyProtection="1">
      <alignment horizontal="left" vertical="center"/>
    </xf>
    <xf numFmtId="4" fontId="6" fillId="5" borderId="36" xfId="0" applyNumberFormat="1" applyFont="1" applyFill="1" applyBorder="1" applyAlignment="1" applyProtection="1">
      <alignment horizontal="right" vertical="center"/>
    </xf>
    <xf numFmtId="4" fontId="6" fillId="5" borderId="35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49" fontId="6" fillId="5" borderId="37" xfId="0" applyNumberFormat="1" applyFont="1" applyFill="1" applyBorder="1" applyAlignment="1" applyProtection="1">
      <alignment horizontal="left" vertical="center"/>
    </xf>
    <xf numFmtId="49" fontId="15" fillId="5" borderId="35" xfId="0" applyNumberFormat="1" applyFont="1" applyFill="1" applyBorder="1" applyAlignment="1" applyProtection="1">
      <alignment horizontal="left" vertical="center"/>
    </xf>
    <xf numFmtId="4" fontId="6" fillId="5" borderId="37" xfId="0" applyNumberFormat="1" applyFont="1" applyFill="1" applyBorder="1" applyAlignment="1" applyProtection="1">
      <alignment horizontal="right" vertical="center"/>
    </xf>
    <xf numFmtId="49" fontId="6" fillId="5" borderId="36" xfId="0" applyNumberFormat="1" applyFont="1" applyFill="1" applyBorder="1" applyAlignment="1" applyProtection="1">
      <alignment horizontal="right" vertical="center"/>
    </xf>
    <xf numFmtId="49" fontId="6" fillId="5" borderId="1" xfId="0" applyNumberFormat="1" applyFont="1" applyFill="1" applyBorder="1" applyAlignment="1" applyProtection="1">
      <alignment horizontal="right" vertical="center"/>
    </xf>
    <xf numFmtId="4" fontId="17" fillId="5" borderId="35" xfId="0" applyNumberFormat="1" applyFont="1" applyFill="1" applyBorder="1" applyAlignment="1" applyProtection="1">
      <alignment horizontal="right" vertical="center"/>
    </xf>
    <xf numFmtId="49" fontId="15" fillId="5" borderId="37" xfId="0" applyNumberFormat="1" applyFont="1" applyFill="1" applyBorder="1" applyAlignment="1" applyProtection="1">
      <alignment horizontal="left" vertical="center"/>
    </xf>
    <xf numFmtId="4" fontId="17" fillId="5" borderId="37" xfId="0" applyNumberFormat="1" applyFont="1" applyFill="1" applyBorder="1" applyAlignment="1" applyProtection="1">
      <alignment horizontal="right" vertical="center"/>
    </xf>
    <xf numFmtId="49" fontId="7" fillId="5" borderId="35" xfId="0" applyNumberFormat="1" applyFont="1" applyFill="1" applyBorder="1" applyAlignment="1" applyProtection="1">
      <alignment horizontal="left" vertical="center"/>
    </xf>
    <xf numFmtId="4" fontId="7" fillId="5" borderId="36" xfId="0" applyNumberFormat="1" applyFont="1" applyFill="1" applyBorder="1" applyAlignment="1" applyProtection="1">
      <alignment horizontal="right" vertical="center"/>
    </xf>
    <xf numFmtId="4" fontId="7" fillId="5" borderId="35" xfId="0" applyNumberFormat="1" applyFont="1" applyFill="1" applyBorder="1" applyAlignment="1" applyProtection="1">
      <alignment horizontal="right" vertical="center"/>
    </xf>
    <xf numFmtId="49" fontId="7" fillId="5" borderId="37" xfId="0" applyNumberFormat="1" applyFont="1" applyFill="1" applyBorder="1" applyAlignment="1" applyProtection="1">
      <alignment horizontal="left" vertical="center"/>
    </xf>
    <xf numFmtId="4" fontId="7" fillId="5" borderId="37" xfId="0" applyNumberFormat="1" applyFont="1" applyFill="1" applyBorder="1" applyAlignment="1" applyProtection="1">
      <alignment horizontal="right" vertical="center"/>
    </xf>
    <xf numFmtId="49" fontId="7" fillId="5" borderId="36" xfId="0" applyNumberFormat="1" applyFont="1" applyFill="1" applyBorder="1" applyAlignment="1" applyProtection="1">
      <alignment horizontal="right" vertical="center"/>
    </xf>
    <xf numFmtId="49" fontId="7" fillId="5" borderId="1" xfId="0" applyNumberFormat="1" applyFont="1" applyFill="1" applyBorder="1" applyAlignment="1" applyProtection="1">
      <alignment horizontal="right" vertical="center"/>
    </xf>
    <xf numFmtId="4" fontId="18" fillId="5" borderId="35" xfId="0" applyNumberFormat="1" applyFont="1" applyFill="1" applyBorder="1" applyAlignment="1" applyProtection="1">
      <alignment horizontal="right" vertical="center"/>
    </xf>
    <xf numFmtId="4" fontId="18" fillId="5" borderId="37" xfId="0" applyNumberFormat="1" applyFont="1" applyFill="1" applyBorder="1" applyAlignment="1" applyProtection="1">
      <alignment horizontal="right" vertical="center"/>
    </xf>
    <xf numFmtId="9" fontId="6" fillId="5" borderId="35" xfId="0" applyNumberFormat="1" applyFont="1" applyFill="1" applyBorder="1" applyAlignment="1" applyProtection="1">
      <alignment horizontal="center" vertical="center"/>
    </xf>
    <xf numFmtId="9" fontId="7" fillId="5" borderId="35" xfId="0" applyNumberFormat="1" applyFont="1" applyFill="1" applyBorder="1" applyAlignment="1" applyProtection="1">
      <alignment horizontal="center" vertical="center"/>
    </xf>
    <xf numFmtId="49" fontId="1" fillId="0" borderId="29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Fill="1" applyBorder="1" applyAlignment="1" applyProtection="1">
      <alignment horizontal="right" vertical="center"/>
    </xf>
    <xf numFmtId="49" fontId="1" fillId="0" borderId="26" xfId="0" applyNumberFormat="1" applyFont="1" applyFill="1" applyBorder="1" applyAlignment="1" applyProtection="1">
      <alignment horizontal="left" vertical="center"/>
    </xf>
    <xf numFmtId="4" fontId="1" fillId="0" borderId="26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Alignment="1">
      <alignment horizontal="lef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7" borderId="0" xfId="0" applyNumberFormat="1" applyFont="1" applyFill="1" applyBorder="1" applyAlignment="1" applyProtection="1">
      <alignment horizontal="right" vertical="center"/>
    </xf>
    <xf numFmtId="4" fontId="1" fillId="7" borderId="29" xfId="0" applyNumberFormat="1" applyFont="1" applyFill="1" applyBorder="1" applyAlignment="1" applyProtection="1">
      <alignment horizontal="right" vertical="center"/>
    </xf>
    <xf numFmtId="4" fontId="1" fillId="7" borderId="28" xfId="0" applyNumberFormat="1" applyFont="1" applyFill="1" applyBorder="1" applyAlignment="1" applyProtection="1">
      <alignment horizontal="right" vertical="center"/>
    </xf>
    <xf numFmtId="4" fontId="1" fillId="7" borderId="15" xfId="0" applyNumberFormat="1" applyFont="1" applyFill="1" applyBorder="1" applyAlignment="1" applyProtection="1">
      <alignment horizontal="right" vertical="center"/>
    </xf>
    <xf numFmtId="4" fontId="1" fillId="7" borderId="26" xfId="0" applyNumberFormat="1" applyFont="1" applyFill="1" applyBorder="1" applyAlignment="1" applyProtection="1">
      <alignment horizontal="right" vertical="center"/>
    </xf>
    <xf numFmtId="4" fontId="7" fillId="7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49" fontId="22" fillId="0" borderId="21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52" xfId="0" applyNumberFormat="1" applyFont="1" applyFill="1" applyBorder="1" applyAlignment="1" applyProtection="1">
      <alignment horizontal="left" vertical="center"/>
    </xf>
    <xf numFmtId="49" fontId="22" fillId="0" borderId="53" xfId="0" applyNumberFormat="1" applyFont="1" applyFill="1" applyBorder="1" applyAlignment="1" applyProtection="1">
      <alignment horizontal="left" vertical="center"/>
    </xf>
    <xf numFmtId="0" fontId="22" fillId="0" borderId="34" xfId="0" applyNumberFormat="1" applyFont="1" applyFill="1" applyBorder="1" applyAlignment="1" applyProtection="1">
      <alignment horizontal="left" vertical="center"/>
    </xf>
    <xf numFmtId="0" fontId="22" fillId="0" borderId="46" xfId="0" applyNumberFormat="1" applyFont="1" applyFill="1" applyBorder="1" applyAlignment="1" applyProtection="1">
      <alignment horizontal="left" vertical="center"/>
    </xf>
    <xf numFmtId="49" fontId="21" fillId="4" borderId="50" xfId="0" applyNumberFormat="1" applyFont="1" applyFill="1" applyBorder="1" applyAlignment="1" applyProtection="1">
      <alignment horizontal="left" vertical="center"/>
    </xf>
    <xf numFmtId="0" fontId="21" fillId="4" borderId="49" xfId="0" applyNumberFormat="1" applyFont="1" applyFill="1" applyBorder="1" applyAlignment="1" applyProtection="1">
      <alignment horizontal="left" vertical="center"/>
    </xf>
    <xf numFmtId="49" fontId="22" fillId="0" borderId="51" xfId="0" applyNumberFormat="1" applyFont="1" applyFill="1" applyBorder="1" applyAlignment="1" applyProtection="1">
      <alignment horizontal="left" vertical="center"/>
    </xf>
    <xf numFmtId="0" fontId="22" fillId="0" borderId="10" xfId="0" applyNumberFormat="1" applyFont="1" applyFill="1" applyBorder="1" applyAlignment="1" applyProtection="1">
      <alignment horizontal="left" vertical="center"/>
    </xf>
    <xf numFmtId="0" fontId="22" fillId="0" borderId="44" xfId="0" applyNumberFormat="1" applyFont="1" applyFill="1" applyBorder="1" applyAlignment="1" applyProtection="1">
      <alignment horizontal="left" vertical="center"/>
    </xf>
    <xf numFmtId="49" fontId="21" fillId="0" borderId="50" xfId="0" applyNumberFormat="1" applyFont="1" applyFill="1" applyBorder="1" applyAlignment="1" applyProtection="1">
      <alignment horizontal="left" vertical="center"/>
    </xf>
    <xf numFmtId="0" fontId="21" fillId="0" borderId="32" xfId="0" applyNumberFormat="1" applyFont="1" applyFill="1" applyBorder="1" applyAlignment="1" applyProtection="1">
      <alignment horizontal="left" vertical="center"/>
    </xf>
    <xf numFmtId="49" fontId="22" fillId="0" borderId="50" xfId="0" applyNumberFormat="1" applyFont="1" applyFill="1" applyBorder="1" applyAlignment="1" applyProtection="1">
      <alignment horizontal="left" vertical="center"/>
    </xf>
    <xf numFmtId="0" fontId="22" fillId="0" borderId="32" xfId="0" applyNumberFormat="1" applyFont="1" applyFill="1" applyBorder="1" applyAlignment="1" applyProtection="1">
      <alignment horizontal="left" vertical="center"/>
    </xf>
    <xf numFmtId="49" fontId="19" fillId="0" borderId="49" xfId="0" applyNumberFormat="1" applyFont="1" applyFill="1" applyBorder="1" applyAlignment="1" applyProtection="1">
      <alignment horizontal="center" vertical="center"/>
    </xf>
    <xf numFmtId="0" fontId="19" fillId="0" borderId="49" xfId="0" applyNumberFormat="1" applyFont="1" applyFill="1" applyBorder="1" applyAlignment="1" applyProtection="1">
      <alignment horizontal="center" vertical="center"/>
    </xf>
    <xf numFmtId="49" fontId="23" fillId="0" borderId="50" xfId="0" applyNumberFormat="1" applyFont="1" applyFill="1" applyBorder="1" applyAlignment="1" applyProtection="1">
      <alignment horizontal="left" vertical="center"/>
    </xf>
    <xf numFmtId="0" fontId="23" fillId="0" borderId="32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left" vertical="center"/>
    </xf>
    <xf numFmtId="0" fontId="1" fillId="0" borderId="11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49" fontId="1" fillId="0" borderId="19" xfId="0" applyNumberFormat="1" applyFont="1" applyFill="1" applyBorder="1" applyAlignment="1" applyProtection="1">
      <alignment horizontal="left" vertical="center"/>
    </xf>
    <xf numFmtId="0" fontId="1" fillId="0" borderId="19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1" fillId="0" borderId="38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49" fontId="1" fillId="0" borderId="31" xfId="0" applyNumberFormat="1" applyFont="1" applyFill="1" applyBorder="1" applyAlignment="1" applyProtection="1">
      <alignment horizontal="left" vertical="center"/>
    </xf>
    <xf numFmtId="49" fontId="1" fillId="0" borderId="29" xfId="0" applyNumberFormat="1" applyFont="1" applyFill="1" applyBorder="1" applyAlignment="1" applyProtection="1">
      <alignment horizontal="left" vertical="center"/>
    </xf>
    <xf numFmtId="0" fontId="1" fillId="0" borderId="29" xfId="0" applyNumberFormat="1" applyFont="1" applyFill="1" applyBorder="1" applyAlignment="1" applyProtection="1">
      <alignment horizontal="left" vertical="center"/>
    </xf>
    <xf numFmtId="49" fontId="3" fillId="0" borderId="56" xfId="0" applyNumberFormat="1" applyFont="1" applyFill="1" applyBorder="1" applyAlignment="1" applyProtection="1">
      <alignment horizontal="left" vertical="center"/>
    </xf>
    <xf numFmtId="0" fontId="3" fillId="0" borderId="33" xfId="0" applyNumberFormat="1" applyFont="1" applyFill="1" applyBorder="1" applyAlignment="1" applyProtection="1">
      <alignment horizontal="left" vertical="center"/>
    </xf>
    <xf numFmtId="0" fontId="3" fillId="0" borderId="57" xfId="0" applyNumberFormat="1" applyFont="1" applyFill="1" applyBorder="1" applyAlignment="1" applyProtection="1">
      <alignment horizontal="left" vertical="center"/>
    </xf>
    <xf numFmtId="49" fontId="1" fillId="0" borderId="28" xfId="0" applyNumberFormat="1" applyFont="1" applyFill="1" applyBorder="1" applyAlignment="1" applyProtection="1">
      <alignment horizontal="left" vertical="center"/>
    </xf>
    <xf numFmtId="0" fontId="1" fillId="0" borderId="28" xfId="0" applyNumberFormat="1" applyFont="1" applyFill="1" applyBorder="1" applyAlignment="1" applyProtection="1">
      <alignment horizontal="left" vertical="center"/>
    </xf>
    <xf numFmtId="49" fontId="1" fillId="0" borderId="26" xfId="0" applyNumberFormat="1" applyFont="1" applyFill="1" applyBorder="1" applyAlignment="1" applyProtection="1">
      <alignment horizontal="left" vertical="center"/>
    </xf>
    <xf numFmtId="0" fontId="1" fillId="0" borderId="26" xfId="0" applyNumberFormat="1" applyFont="1" applyFill="1" applyBorder="1" applyAlignment="1" applyProtection="1">
      <alignment horizontal="left" vertical="center"/>
    </xf>
    <xf numFmtId="49" fontId="1" fillId="0" borderId="54" xfId="0" applyNumberFormat="1" applyFont="1" applyFill="1" applyBorder="1" applyAlignment="1" applyProtection="1">
      <alignment horizontal="left" vertical="center"/>
    </xf>
    <xf numFmtId="0" fontId="1" fillId="0" borderId="30" xfId="0" applyNumberFormat="1" applyFont="1" applyFill="1" applyBorder="1" applyAlignment="1" applyProtection="1">
      <alignment horizontal="left" vertical="center"/>
    </xf>
    <xf numFmtId="0" fontId="1" fillId="0" borderId="55" xfId="0" applyNumberFormat="1" applyFont="1" applyFill="1" applyBorder="1" applyAlignment="1" applyProtection="1">
      <alignment horizontal="left" vertical="center"/>
    </xf>
    <xf numFmtId="49" fontId="21" fillId="0" borderId="56" xfId="0" applyNumberFormat="1" applyFont="1" applyFill="1" applyBorder="1" applyAlignment="1" applyProtection="1">
      <alignment horizontal="left" vertical="center"/>
    </xf>
    <xf numFmtId="0" fontId="21" fillId="0" borderId="33" xfId="0" applyNumberFormat="1" applyFont="1" applyFill="1" applyBorder="1" applyAlignment="1" applyProtection="1">
      <alignment horizontal="left" vertical="center"/>
    </xf>
    <xf numFmtId="0" fontId="21" fillId="0" borderId="57" xfId="0" applyNumberFormat="1" applyFont="1" applyFill="1" applyBorder="1" applyAlignment="1" applyProtection="1">
      <alignment horizontal="left" vertical="center"/>
    </xf>
    <xf numFmtId="4" fontId="21" fillId="0" borderId="56" xfId="0" applyNumberFormat="1" applyFont="1" applyFill="1" applyBorder="1" applyAlignment="1" applyProtection="1">
      <alignment horizontal="right" vertical="center"/>
    </xf>
    <xf numFmtId="0" fontId="21" fillId="0" borderId="33" xfId="0" applyNumberFormat="1" applyFont="1" applyFill="1" applyBorder="1" applyAlignment="1" applyProtection="1">
      <alignment horizontal="right" vertical="center"/>
    </xf>
    <xf numFmtId="0" fontId="21" fillId="0" borderId="57" xfId="0" applyNumberFormat="1" applyFont="1" applyFill="1" applyBorder="1" applyAlignment="1" applyProtection="1">
      <alignment horizontal="right" vertical="center"/>
    </xf>
    <xf numFmtId="49" fontId="21" fillId="0" borderId="34" xfId="0" applyNumberFormat="1" applyFont="1" applyFill="1" applyBorder="1" applyAlignment="1" applyProtection="1">
      <alignment horizontal="left" vertical="center"/>
    </xf>
    <xf numFmtId="0" fontId="21" fillId="0" borderId="34" xfId="0" applyNumberFormat="1" applyFont="1" applyFill="1" applyBorder="1" applyAlignment="1" applyProtection="1">
      <alignment horizontal="left"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49" fontId="1" fillId="0" borderId="50" xfId="0" applyNumberFormat="1" applyFont="1" applyFill="1" applyBorder="1" applyAlignment="1" applyProtection="1">
      <alignment horizontal="left" vertical="center"/>
    </xf>
    <xf numFmtId="0" fontId="1" fillId="0" borderId="49" xfId="0" applyNumberFormat="1" applyFont="1" applyFill="1" applyBorder="1" applyAlignment="1" applyProtection="1">
      <alignment horizontal="left" vertical="center"/>
    </xf>
    <xf numFmtId="0" fontId="1" fillId="0" borderId="3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44" xfId="0" applyNumberFormat="1" applyFont="1" applyFill="1" applyBorder="1" applyAlignment="1" applyProtection="1">
      <alignment horizontal="left" vertical="center"/>
    </xf>
    <xf numFmtId="49" fontId="3" fillId="0" borderId="41" xfId="0" applyNumberFormat="1" applyFont="1" applyFill="1" applyBorder="1" applyAlignment="1" applyProtection="1">
      <alignment horizontal="center" vertical="center"/>
    </xf>
    <xf numFmtId="0" fontId="3" fillId="0" borderId="42" xfId="0" applyNumberFormat="1" applyFont="1" applyFill="1" applyBorder="1" applyAlignment="1" applyProtection="1">
      <alignment horizontal="center" vertical="center"/>
    </xf>
    <xf numFmtId="0" fontId="3" fillId="0" borderId="45" xfId="0" applyNumberFormat="1" applyFont="1" applyFill="1" applyBorder="1" applyAlignment="1" applyProtection="1">
      <alignment horizontal="center" vertical="center"/>
    </xf>
    <xf numFmtId="49" fontId="3" fillId="0" borderId="39" xfId="0" applyNumberFormat="1" applyFont="1" applyFill="1" applyBorder="1" applyAlignment="1" applyProtection="1">
      <alignment horizontal="left" vertical="center"/>
    </xf>
    <xf numFmtId="0" fontId="3" fillId="0" borderId="34" xfId="0" applyNumberFormat="1" applyFont="1" applyFill="1" applyBorder="1" applyAlignment="1" applyProtection="1">
      <alignment horizontal="left" vertical="center"/>
    </xf>
    <xf numFmtId="0" fontId="3" fillId="0" borderId="46" xfId="0" applyNumberFormat="1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11" xfId="0" applyNumberFormat="1" applyFont="1" applyFill="1" applyBorder="1" applyAlignment="1" applyProtection="1">
      <alignment horizontal="left" vertical="center"/>
    </xf>
    <xf numFmtId="0" fontId="1" fillId="0" borderId="39" xfId="0" applyNumberFormat="1" applyFont="1" applyFill="1" applyBorder="1" applyAlignment="1" applyProtection="1">
      <alignment horizontal="left" vertical="center"/>
    </xf>
    <xf numFmtId="0" fontId="1" fillId="0" borderId="34" xfId="0" applyNumberFormat="1" applyFont="1" applyFill="1" applyBorder="1" applyAlignment="1" applyProtection="1">
      <alignment horizontal="left" vertical="center"/>
    </xf>
    <xf numFmtId="0" fontId="1" fillId="0" borderId="40" xfId="0" applyNumberFormat="1" applyFont="1" applyFill="1" applyBorder="1" applyAlignment="1" applyProtection="1">
      <alignment horizontal="left" vertical="center"/>
    </xf>
    <xf numFmtId="49" fontId="2" fillId="0" borderId="11" xfId="0" applyNumberFormat="1" applyFont="1" applyFill="1" applyBorder="1" applyAlignment="1" applyProtection="1">
      <alignment horizontal="center"/>
    </xf>
    <xf numFmtId="0" fontId="1" fillId="0" borderId="31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0" fontId="1" fillId="0" borderId="31" xfId="0" applyNumberFormat="1" applyFont="1" applyFill="1" applyBorder="1" applyAlignment="1" applyProtection="1">
      <alignment horizontal="left" vertical="center" wrapText="1"/>
    </xf>
    <xf numFmtId="49" fontId="10" fillId="3" borderId="0" xfId="0" applyNumberFormat="1" applyFont="1" applyFill="1" applyBorder="1" applyAlignment="1" applyProtection="1">
      <alignment horizontal="left" vertical="center"/>
    </xf>
    <xf numFmtId="0" fontId="10" fillId="3" borderId="0" xfId="0" applyNumberFormat="1" applyFont="1" applyFill="1" applyBorder="1" applyAlignment="1" applyProtection="1">
      <alignment horizontal="left" vertical="center"/>
    </xf>
    <xf numFmtId="49" fontId="6" fillId="0" borderId="11" xfId="0" applyNumberFormat="1" applyFont="1" applyFill="1" applyBorder="1" applyAlignment="1" applyProtection="1">
      <alignment horizontal="left" vertical="center"/>
    </xf>
    <xf numFmtId="0" fontId="6" fillId="0" borderId="11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/>
    </xf>
    <xf numFmtId="0" fontId="12" fillId="0" borderId="19" xfId="0" applyNumberFormat="1" applyFont="1" applyFill="1" applyBorder="1" applyAlignment="1" applyProtection="1">
      <alignment horizontal="left" vertical="top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/>
    </xf>
    <xf numFmtId="0" fontId="11" fillId="0" borderId="19" xfId="0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19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49" fontId="6" fillId="5" borderId="1" xfId="0" applyNumberFormat="1" applyFont="1" applyFill="1" applyBorder="1" applyAlignment="1" applyProtection="1">
      <alignment horizontal="left" vertical="center"/>
    </xf>
    <xf numFmtId="0" fontId="6" fillId="0" borderId="35" xfId="0" applyNumberFormat="1" applyFont="1" applyFill="1" applyBorder="1" applyAlignment="1" applyProtection="1">
      <alignment horizontal="left" vertical="center"/>
    </xf>
    <xf numFmtId="49" fontId="7" fillId="5" borderId="1" xfId="0" applyNumberFormat="1" applyFont="1" applyFill="1" applyBorder="1" applyAlignment="1" applyProtection="1">
      <alignment horizontal="left" vertical="center"/>
    </xf>
    <xf numFmtId="0" fontId="7" fillId="0" borderId="35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3" fillId="0" borderId="18" xfId="0" applyNumberFormat="1" applyFont="1" applyFill="1" applyBorder="1" applyAlignment="1" applyProtection="1">
      <alignment horizontal="left" vertical="center"/>
    </xf>
    <xf numFmtId="0" fontId="3" fillId="0" borderId="43" xfId="0" applyNumberFormat="1" applyFont="1" applyFill="1" applyBorder="1" applyAlignment="1" applyProtection="1">
      <alignment horizontal="center" vertical="center"/>
    </xf>
    <xf numFmtId="0" fontId="3" fillId="0" borderId="40" xfId="0" applyNumberFormat="1" applyFont="1" applyFill="1" applyBorder="1" applyAlignment="1" applyProtection="1">
      <alignment horizontal="left" vertical="center"/>
    </xf>
    <xf numFmtId="49" fontId="9" fillId="2" borderId="10" xfId="0" applyNumberFormat="1" applyFont="1" applyFill="1" applyBorder="1" applyAlignment="1" applyProtection="1">
      <alignment horizontal="left" vertical="center"/>
    </xf>
    <xf numFmtId="0" fontId="9" fillId="2" borderId="1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49" fontId="16" fillId="5" borderId="35" xfId="0" applyNumberFormat="1" applyFont="1" applyFill="1" applyBorder="1" applyAlignment="1" applyProtection="1">
      <alignment horizontal="left" vertical="center"/>
    </xf>
    <xf numFmtId="49" fontId="16" fillId="0" borderId="35" xfId="0" applyNumberFormat="1" applyFont="1" applyFill="1" applyBorder="1" applyAlignment="1" applyProtection="1">
      <alignment horizontal="left" vertical="center"/>
    </xf>
    <xf numFmtId="49" fontId="16" fillId="5" borderId="37" xfId="0" applyNumberFormat="1" applyFont="1" applyFill="1" applyBorder="1" applyAlignment="1" applyProtection="1">
      <alignment horizontal="left" vertical="center"/>
    </xf>
    <xf numFmtId="49" fontId="16" fillId="0" borderId="37" xfId="0" applyNumberFormat="1" applyFont="1" applyFill="1" applyBorder="1" applyAlignment="1" applyProtection="1">
      <alignment horizontal="left" vertical="center"/>
    </xf>
    <xf numFmtId="49" fontId="7" fillId="5" borderId="37" xfId="0" applyNumberFormat="1" applyFont="1" applyFill="1" applyBorder="1" applyAlignment="1" applyProtection="1">
      <alignment horizontal="left" vertical="center"/>
    </xf>
    <xf numFmtId="0" fontId="7" fillId="0" borderId="37" xfId="0" applyNumberFormat="1" applyFont="1" applyFill="1" applyBorder="1" applyAlignment="1" applyProtection="1">
      <alignment horizontal="left" vertical="center"/>
    </xf>
    <xf numFmtId="49" fontId="6" fillId="5" borderId="37" xfId="0" applyNumberFormat="1" applyFont="1" applyFill="1" applyBorder="1" applyAlignment="1" applyProtection="1">
      <alignment horizontal="left" vertical="center"/>
    </xf>
    <xf numFmtId="0" fontId="6" fillId="0" borderId="37" xfId="0" applyNumberFormat="1" applyFont="1" applyFill="1" applyBorder="1" applyAlignment="1" applyProtection="1">
      <alignment horizontal="left" vertical="center"/>
    </xf>
    <xf numFmtId="49" fontId="3" fillId="0" borderId="47" xfId="0" applyNumberFormat="1" applyFont="1" applyFill="1" applyBorder="1" applyAlignment="1" applyProtection="1">
      <alignment horizontal="left" vertical="center"/>
    </xf>
    <xf numFmtId="0" fontId="3" fillId="0" borderId="48" xfId="0" applyNumberFormat="1" applyFont="1" applyFill="1" applyBorder="1" applyAlignment="1" applyProtection="1">
      <alignment horizontal="left" vertical="center"/>
    </xf>
    <xf numFmtId="49" fontId="10" fillId="3" borderId="10" xfId="0" applyNumberFormat="1" applyFont="1" applyFill="1" applyBorder="1" applyAlignment="1" applyProtection="1">
      <alignment horizontal="left" vertical="center"/>
    </xf>
    <xf numFmtId="0" fontId="10" fillId="3" borderId="10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808080"/>
      <rgbColor rgb="00008080"/>
      <rgbColor rgb="00000000"/>
      <rgbColor rgb="00000000"/>
      <rgbColor rgb="000000FF"/>
      <rgbColor rgb="00008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123" name="Picture 1">
          <a:extLst>
            <a:ext uri="{FF2B5EF4-FFF2-40B4-BE49-F238E27FC236}">
              <a16:creationId xmlns:a16="http://schemas.microsoft.com/office/drawing/2014/main" id="{9B1199BC-C9C6-E6CF-C0C4-A08CCA22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6147" name="Picture 1">
          <a:extLst>
            <a:ext uri="{FF2B5EF4-FFF2-40B4-BE49-F238E27FC236}">
              <a16:creationId xmlns:a16="http://schemas.microsoft.com/office/drawing/2014/main" id="{3C4EE21B-4569-7CBA-69ED-5DC5D49C0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051" name="Picture 1">
          <a:extLst>
            <a:ext uri="{FF2B5EF4-FFF2-40B4-BE49-F238E27FC236}">
              <a16:creationId xmlns:a16="http://schemas.microsoft.com/office/drawing/2014/main" id="{DA755D29-3A97-0C53-0F68-035D2CF9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075" name="Picture 1">
          <a:extLst>
            <a:ext uri="{FF2B5EF4-FFF2-40B4-BE49-F238E27FC236}">
              <a16:creationId xmlns:a16="http://schemas.microsoft.com/office/drawing/2014/main" id="{E513014E-2EAC-4660-7282-AEBC88A4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37CEA17A-01B8-A427-53CC-5BBE2470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099" name="Picture 1">
          <a:extLst>
            <a:ext uri="{FF2B5EF4-FFF2-40B4-BE49-F238E27FC236}">
              <a16:creationId xmlns:a16="http://schemas.microsoft.com/office/drawing/2014/main" id="{B1A567FD-1DE3-31EA-0649-ADC99738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A40" sqref="A40"/>
    </sheetView>
  </sheetViews>
  <sheetFormatPr defaultColWidth="11.5703125" defaultRowHeight="12.75" x14ac:dyDescent="0.2"/>
  <cols>
    <col min="1" max="1" width="9.140625" customWidth="1"/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7" max="7" width="9.140625" customWidth="1"/>
    <col min="8" max="8" width="12.85546875" customWidth="1"/>
    <col min="9" max="9" width="22.85546875" customWidth="1"/>
  </cols>
  <sheetData>
    <row r="1" spans="1:10" ht="72.95" customHeight="1" x14ac:dyDescent="0.2">
      <c r="A1" s="118"/>
      <c r="B1" s="95"/>
      <c r="C1" s="185" t="s">
        <v>1828</v>
      </c>
      <c r="D1" s="186"/>
      <c r="E1" s="186"/>
      <c r="F1" s="186"/>
      <c r="G1" s="186"/>
      <c r="H1" s="186"/>
      <c r="I1" s="186"/>
    </row>
    <row r="2" spans="1:10" x14ac:dyDescent="0.2">
      <c r="A2" s="187" t="s">
        <v>1</v>
      </c>
      <c r="B2" s="188"/>
      <c r="C2" s="189" t="str">
        <f>'Stavební rozpočet'!D2</f>
        <v>RDSD</v>
      </c>
      <c r="D2" s="190"/>
      <c r="E2" s="192" t="s">
        <v>1051</v>
      </c>
      <c r="F2" s="192" t="str">
        <f>'Stavební rozpočet'!K2</f>
        <v>Lucie Součková, Tomáš Dušek</v>
      </c>
      <c r="G2" s="188"/>
      <c r="H2" s="192" t="s">
        <v>1850</v>
      </c>
      <c r="I2" s="193"/>
      <c r="J2" s="6"/>
    </row>
    <row r="3" spans="1:10" x14ac:dyDescent="0.2">
      <c r="A3" s="182"/>
      <c r="B3" s="156"/>
      <c r="C3" s="191"/>
      <c r="D3" s="191"/>
      <c r="E3" s="156"/>
      <c r="F3" s="156"/>
      <c r="G3" s="156"/>
      <c r="H3" s="156"/>
      <c r="I3" s="184"/>
      <c r="J3" s="6"/>
    </row>
    <row r="4" spans="1:10" x14ac:dyDescent="0.2">
      <c r="A4" s="176" t="s">
        <v>2</v>
      </c>
      <c r="B4" s="156"/>
      <c r="C4" s="155" t="str">
        <f>'Stavební rozpočet'!D4</f>
        <v>Novostavba RD</v>
      </c>
      <c r="D4" s="156"/>
      <c r="E4" s="155" t="s">
        <v>1052</v>
      </c>
      <c r="F4" s="155" t="str">
        <f>'Stavební rozpočet'!K4</f>
        <v>Ing.arch.Adam Smotlacha</v>
      </c>
      <c r="G4" s="156"/>
      <c r="H4" s="155" t="s">
        <v>1850</v>
      </c>
      <c r="I4" s="183" t="s">
        <v>1854</v>
      </c>
      <c r="J4" s="6"/>
    </row>
    <row r="5" spans="1:10" x14ac:dyDescent="0.2">
      <c r="A5" s="182"/>
      <c r="B5" s="156"/>
      <c r="C5" s="156"/>
      <c r="D5" s="156"/>
      <c r="E5" s="156"/>
      <c r="F5" s="156"/>
      <c r="G5" s="156"/>
      <c r="H5" s="156"/>
      <c r="I5" s="184"/>
      <c r="J5" s="6"/>
    </row>
    <row r="6" spans="1:10" x14ac:dyDescent="0.2">
      <c r="A6" s="176" t="s">
        <v>3</v>
      </c>
      <c r="B6" s="156"/>
      <c r="C6" s="155" t="str">
        <f>'Stavební rozpočet'!D6</f>
        <v>ul. Vojanova p.č.1672/62, Brandýs nad Labem - Stará Boleslav 250 01</v>
      </c>
      <c r="D6" s="156"/>
      <c r="E6" s="155" t="s">
        <v>1053</v>
      </c>
      <c r="F6" s="155" t="str">
        <f>'Stavební rozpočet'!K6</f>
        <v> </v>
      </c>
      <c r="G6" s="156"/>
      <c r="H6" s="155" t="s">
        <v>1850</v>
      </c>
      <c r="I6" s="183"/>
      <c r="J6" s="6"/>
    </row>
    <row r="7" spans="1:10" x14ac:dyDescent="0.2">
      <c r="A7" s="182"/>
      <c r="B7" s="156"/>
      <c r="C7" s="156"/>
      <c r="D7" s="156"/>
      <c r="E7" s="156"/>
      <c r="F7" s="156"/>
      <c r="G7" s="156"/>
      <c r="H7" s="156"/>
      <c r="I7" s="184"/>
      <c r="J7" s="6"/>
    </row>
    <row r="8" spans="1:10" x14ac:dyDescent="0.2">
      <c r="A8" s="176" t="s">
        <v>1034</v>
      </c>
      <c r="B8" s="156"/>
      <c r="C8" s="155" t="str">
        <f>'Stavební rozpočet'!H4</f>
        <v xml:space="preserve"> </v>
      </c>
      <c r="D8" s="156"/>
      <c r="E8" s="155" t="s">
        <v>1035</v>
      </c>
      <c r="F8" s="155" t="str">
        <f>'Stavební rozpočet'!H6</f>
        <v>31.03.2025</v>
      </c>
      <c r="G8" s="156"/>
      <c r="H8" s="179" t="s">
        <v>1851</v>
      </c>
      <c r="I8" s="183" t="s">
        <v>301</v>
      </c>
      <c r="J8" s="6"/>
    </row>
    <row r="9" spans="1:10" x14ac:dyDescent="0.2">
      <c r="A9" s="182"/>
      <c r="B9" s="156"/>
      <c r="C9" s="156"/>
      <c r="D9" s="156"/>
      <c r="E9" s="156"/>
      <c r="F9" s="156"/>
      <c r="G9" s="156"/>
      <c r="H9" s="156"/>
      <c r="I9" s="184"/>
      <c r="J9" s="6"/>
    </row>
    <row r="10" spans="1:10" x14ac:dyDescent="0.2">
      <c r="A10" s="176" t="s">
        <v>4</v>
      </c>
      <c r="B10" s="156"/>
      <c r="C10" s="155">
        <f>'Stavební rozpočet'!D8</f>
        <v>8036</v>
      </c>
      <c r="D10" s="156"/>
      <c r="E10" s="155" t="s">
        <v>1054</v>
      </c>
      <c r="F10" s="155" t="str">
        <f>'Stavební rozpočet'!K8</f>
        <v> </v>
      </c>
      <c r="G10" s="156"/>
      <c r="H10" s="179" t="s">
        <v>1852</v>
      </c>
      <c r="I10" s="180" t="str">
        <f>'Stavební rozpočet'!H8</f>
        <v>26.08.2022</v>
      </c>
      <c r="J10" s="6"/>
    </row>
    <row r="11" spans="1:10" x14ac:dyDescent="0.2">
      <c r="A11" s="177"/>
      <c r="B11" s="178"/>
      <c r="C11" s="178"/>
      <c r="D11" s="178"/>
      <c r="E11" s="178"/>
      <c r="F11" s="178"/>
      <c r="G11" s="178"/>
      <c r="H11" s="178"/>
      <c r="I11" s="181"/>
      <c r="J11" s="6"/>
    </row>
    <row r="12" spans="1:10" ht="23.45" customHeight="1" x14ac:dyDescent="0.2">
      <c r="A12" s="172" t="s">
        <v>1813</v>
      </c>
      <c r="B12" s="173"/>
      <c r="C12" s="173"/>
      <c r="D12" s="173"/>
      <c r="E12" s="173"/>
      <c r="F12" s="173"/>
      <c r="G12" s="173"/>
      <c r="H12" s="173"/>
      <c r="I12" s="173"/>
    </row>
    <row r="13" spans="1:10" ht="26.45" customHeight="1" x14ac:dyDescent="0.2">
      <c r="A13" s="96" t="s">
        <v>1814</v>
      </c>
      <c r="B13" s="174" t="s">
        <v>1826</v>
      </c>
      <c r="C13" s="175"/>
      <c r="D13" s="96" t="s">
        <v>1829</v>
      </c>
      <c r="E13" s="174" t="s">
        <v>1835</v>
      </c>
      <c r="F13" s="175"/>
      <c r="G13" s="96" t="s">
        <v>1836</v>
      </c>
      <c r="H13" s="174" t="s">
        <v>1853</v>
      </c>
      <c r="I13" s="175"/>
      <c r="J13" s="6"/>
    </row>
    <row r="14" spans="1:10" ht="15.2" customHeight="1" x14ac:dyDescent="0.2">
      <c r="A14" s="97" t="s">
        <v>1815</v>
      </c>
      <c r="B14" s="101" t="s">
        <v>1827</v>
      </c>
      <c r="C14" s="105">
        <f>SUM('Stavební rozpočet'!AB12:AB622)</f>
        <v>0</v>
      </c>
      <c r="D14" s="170"/>
      <c r="E14" s="171"/>
      <c r="F14" s="105">
        <f>VORN!I15</f>
        <v>0</v>
      </c>
      <c r="G14" s="170" t="s">
        <v>1837</v>
      </c>
      <c r="H14" s="171"/>
      <c r="I14" s="105">
        <f>VORN!I21</f>
        <v>0</v>
      </c>
      <c r="J14" s="6"/>
    </row>
    <row r="15" spans="1:10" ht="15.2" customHeight="1" x14ac:dyDescent="0.2">
      <c r="A15" s="98"/>
      <c r="B15" s="101" t="s">
        <v>1063</v>
      </c>
      <c r="C15" s="105">
        <f>SUM('Stavební rozpočet'!AC12:AC622)</f>
        <v>0</v>
      </c>
      <c r="D15" s="170"/>
      <c r="E15" s="171"/>
      <c r="F15" s="105">
        <f>VORN!I16</f>
        <v>0</v>
      </c>
      <c r="G15" s="170" t="s">
        <v>1838</v>
      </c>
      <c r="H15" s="171"/>
      <c r="I15" s="105">
        <f>VORN!I22</f>
        <v>0</v>
      </c>
      <c r="J15" s="6"/>
    </row>
    <row r="16" spans="1:10" ht="15.2" customHeight="1" x14ac:dyDescent="0.2">
      <c r="A16" s="97" t="s">
        <v>1816</v>
      </c>
      <c r="B16" s="101" t="s">
        <v>1827</v>
      </c>
      <c r="C16" s="105">
        <f>SUM('Stavební rozpočet'!AD12:AD622)</f>
        <v>0</v>
      </c>
      <c r="D16" s="170"/>
      <c r="E16" s="171"/>
      <c r="F16" s="105">
        <f>VORN!I17</f>
        <v>0</v>
      </c>
      <c r="G16" s="170" t="s">
        <v>1839</v>
      </c>
      <c r="H16" s="171"/>
      <c r="I16" s="105">
        <f>VORN!I23</f>
        <v>0</v>
      </c>
      <c r="J16" s="6"/>
    </row>
    <row r="17" spans="1:10" ht="15.2" customHeight="1" x14ac:dyDescent="0.2">
      <c r="A17" s="98"/>
      <c r="B17" s="101" t="s">
        <v>1063</v>
      </c>
      <c r="C17" s="105">
        <f>SUM('Stavební rozpočet'!AE12:AE622)</f>
        <v>0</v>
      </c>
      <c r="D17" s="170"/>
      <c r="E17" s="171"/>
      <c r="F17" s="106"/>
      <c r="G17" s="170" t="s">
        <v>1840</v>
      </c>
      <c r="H17" s="171"/>
      <c r="I17" s="105">
        <f>VORN!I24</f>
        <v>0</v>
      </c>
      <c r="J17" s="6"/>
    </row>
    <row r="18" spans="1:10" ht="15.2" customHeight="1" x14ac:dyDescent="0.2">
      <c r="A18" s="97" t="s">
        <v>1817</v>
      </c>
      <c r="B18" s="101" t="s">
        <v>1827</v>
      </c>
      <c r="C18" s="105">
        <f>SUM('Stavební rozpočet'!AF12:AF622)</f>
        <v>0</v>
      </c>
      <c r="D18" s="170"/>
      <c r="E18" s="171"/>
      <c r="F18" s="106"/>
      <c r="G18" s="170" t="s">
        <v>1841</v>
      </c>
      <c r="H18" s="171"/>
      <c r="I18" s="105">
        <f>VORN!I25</f>
        <v>0</v>
      </c>
      <c r="J18" s="6"/>
    </row>
    <row r="19" spans="1:10" ht="15.2" customHeight="1" x14ac:dyDescent="0.2">
      <c r="A19" s="98"/>
      <c r="B19" s="101" t="s">
        <v>1063</v>
      </c>
      <c r="C19" s="105">
        <f>SUM('Stavební rozpočet'!AG12:AG622)</f>
        <v>0</v>
      </c>
      <c r="D19" s="170"/>
      <c r="E19" s="171"/>
      <c r="F19" s="106"/>
      <c r="G19" s="170" t="s">
        <v>1842</v>
      </c>
      <c r="H19" s="171"/>
      <c r="I19" s="105">
        <f>VORN!I26</f>
        <v>0</v>
      </c>
      <c r="J19" s="6"/>
    </row>
    <row r="20" spans="1:10" ht="15.2" customHeight="1" x14ac:dyDescent="0.2">
      <c r="A20" s="168" t="s">
        <v>1818</v>
      </c>
      <c r="B20" s="169"/>
      <c r="C20" s="105">
        <f>SUM('Stavební rozpočet'!AH12:AH622)</f>
        <v>0</v>
      </c>
      <c r="D20" s="170"/>
      <c r="E20" s="171"/>
      <c r="F20" s="106"/>
      <c r="G20" s="170"/>
      <c r="H20" s="171"/>
      <c r="I20" s="106"/>
      <c r="J20" s="6"/>
    </row>
    <row r="21" spans="1:10" ht="15.2" customHeight="1" x14ac:dyDescent="0.2">
      <c r="A21" s="168" t="s">
        <v>1819</v>
      </c>
      <c r="B21" s="169"/>
      <c r="C21" s="105">
        <f>SUM('Stavební rozpočet'!Z12:Z622)</f>
        <v>0</v>
      </c>
      <c r="D21" s="170"/>
      <c r="E21" s="171"/>
      <c r="F21" s="106"/>
      <c r="G21" s="170"/>
      <c r="H21" s="171"/>
      <c r="I21" s="106"/>
      <c r="J21" s="6"/>
    </row>
    <row r="22" spans="1:10" ht="16.7" customHeight="1" x14ac:dyDescent="0.2">
      <c r="A22" s="168" t="s">
        <v>1820</v>
      </c>
      <c r="B22" s="169"/>
      <c r="C22" s="105">
        <f>SUM(C14:C21)</f>
        <v>0</v>
      </c>
      <c r="D22" s="168" t="s">
        <v>1830</v>
      </c>
      <c r="E22" s="169"/>
      <c r="F22" s="105">
        <f>SUM(F14:F21)</f>
        <v>0</v>
      </c>
      <c r="G22" s="168" t="s">
        <v>1843</v>
      </c>
      <c r="H22" s="169"/>
      <c r="I22" s="105">
        <f>SUM(I14:I21)</f>
        <v>0</v>
      </c>
      <c r="J22" s="6"/>
    </row>
    <row r="23" spans="1:10" ht="15.2" customHeight="1" x14ac:dyDescent="0.2">
      <c r="A23" s="10"/>
      <c r="B23" s="10"/>
      <c r="C23" s="103"/>
      <c r="D23" s="168" t="s">
        <v>1831</v>
      </c>
      <c r="E23" s="169"/>
      <c r="F23" s="107">
        <v>0</v>
      </c>
      <c r="G23" s="168" t="s">
        <v>1844</v>
      </c>
      <c r="H23" s="169"/>
      <c r="I23" s="105">
        <v>0</v>
      </c>
      <c r="J23" s="6"/>
    </row>
    <row r="24" spans="1:10" ht="15.2" customHeight="1" x14ac:dyDescent="0.2">
      <c r="D24" s="10"/>
      <c r="E24" s="10"/>
      <c r="F24" s="108"/>
      <c r="G24" s="168" t="s">
        <v>1845</v>
      </c>
      <c r="H24" s="169"/>
      <c r="I24" s="105">
        <f>vorn_sum</f>
        <v>0</v>
      </c>
      <c r="J24" s="6"/>
    </row>
    <row r="25" spans="1:10" ht="15.2" customHeight="1" x14ac:dyDescent="0.2">
      <c r="F25" s="92"/>
      <c r="G25" s="168" t="s">
        <v>1846</v>
      </c>
      <c r="H25" s="169"/>
      <c r="I25" s="105">
        <v>0</v>
      </c>
      <c r="J25" s="6"/>
    </row>
    <row r="26" spans="1:10" x14ac:dyDescent="0.2">
      <c r="A26" s="95"/>
      <c r="B26" s="95"/>
      <c r="C26" s="95"/>
      <c r="G26" s="10"/>
      <c r="H26" s="10"/>
      <c r="I26" s="10"/>
    </row>
    <row r="27" spans="1:10" ht="15.2" customHeight="1" x14ac:dyDescent="0.2">
      <c r="A27" s="163" t="s">
        <v>1821</v>
      </c>
      <c r="B27" s="164"/>
      <c r="C27" s="109">
        <f>SUM('Stavební rozpočet'!AJ12:AJ622)</f>
        <v>0</v>
      </c>
      <c r="D27" s="104"/>
      <c r="E27" s="95"/>
      <c r="F27" s="95"/>
      <c r="G27" s="95"/>
      <c r="H27" s="95"/>
      <c r="I27" s="95"/>
    </row>
    <row r="28" spans="1:10" ht="15.2" customHeight="1" x14ac:dyDescent="0.2">
      <c r="A28" s="163" t="s">
        <v>1822</v>
      </c>
      <c r="B28" s="164"/>
      <c r="C28" s="109">
        <f>SUM('Stavební rozpočet'!AK12:AK622)+(F22+I22+F23+I23+I24+I25)</f>
        <v>0</v>
      </c>
      <c r="D28" s="163" t="s">
        <v>1832</v>
      </c>
      <c r="E28" s="164"/>
      <c r="F28" s="109">
        <f>ROUND(C28*(15/100),2)</f>
        <v>0</v>
      </c>
      <c r="G28" s="163" t="s">
        <v>1847</v>
      </c>
      <c r="H28" s="164"/>
      <c r="I28" s="109">
        <f>SUM(C27:C29)</f>
        <v>0</v>
      </c>
      <c r="J28" s="6"/>
    </row>
    <row r="29" spans="1:10" ht="15.2" customHeight="1" x14ac:dyDescent="0.2">
      <c r="A29" s="163" t="s">
        <v>1823</v>
      </c>
      <c r="B29" s="164"/>
      <c r="C29" s="109">
        <f>SUM('Stavební rozpočet'!AL12:AL622)</f>
        <v>0</v>
      </c>
      <c r="D29" s="163" t="s">
        <v>1833</v>
      </c>
      <c r="E29" s="164"/>
      <c r="F29" s="109">
        <f>ROUND(C29*(21/100),2)</f>
        <v>0</v>
      </c>
      <c r="G29" s="163" t="s">
        <v>1848</v>
      </c>
      <c r="H29" s="164"/>
      <c r="I29" s="109">
        <f>SUM(F28:F29)+I28</f>
        <v>0</v>
      </c>
      <c r="J29" s="6"/>
    </row>
    <row r="30" spans="1:10" x14ac:dyDescent="0.2">
      <c r="A30" s="99"/>
      <c r="B30" s="99"/>
      <c r="C30" s="99"/>
      <c r="D30" s="99"/>
      <c r="E30" s="99"/>
      <c r="F30" s="99"/>
      <c r="G30" s="99"/>
      <c r="H30" s="99"/>
      <c r="I30" s="99"/>
    </row>
    <row r="31" spans="1:10" ht="14.45" customHeight="1" x14ac:dyDescent="0.2">
      <c r="A31" s="165" t="s">
        <v>1824</v>
      </c>
      <c r="B31" s="166"/>
      <c r="C31" s="167"/>
      <c r="D31" s="165" t="s">
        <v>1834</v>
      </c>
      <c r="E31" s="166"/>
      <c r="F31" s="167"/>
      <c r="G31" s="165" t="s">
        <v>1849</v>
      </c>
      <c r="H31" s="166"/>
      <c r="I31" s="167"/>
      <c r="J31" s="43"/>
    </row>
    <row r="32" spans="1:10" ht="14.45" customHeight="1" x14ac:dyDescent="0.2">
      <c r="A32" s="157"/>
      <c r="B32" s="158"/>
      <c r="C32" s="159"/>
      <c r="D32" s="157"/>
      <c r="E32" s="158"/>
      <c r="F32" s="159"/>
      <c r="G32" s="157"/>
      <c r="H32" s="158"/>
      <c r="I32" s="159"/>
      <c r="J32" s="43"/>
    </row>
    <row r="33" spans="1:10" ht="14.45" customHeight="1" x14ac:dyDescent="0.2">
      <c r="A33" s="157"/>
      <c r="B33" s="158"/>
      <c r="C33" s="159"/>
      <c r="D33" s="157"/>
      <c r="E33" s="158"/>
      <c r="F33" s="159"/>
      <c r="G33" s="157"/>
      <c r="H33" s="158"/>
      <c r="I33" s="159"/>
      <c r="J33" s="43"/>
    </row>
    <row r="34" spans="1:10" ht="14.45" customHeight="1" x14ac:dyDescent="0.2">
      <c r="A34" s="157"/>
      <c r="B34" s="158"/>
      <c r="C34" s="159"/>
      <c r="D34" s="157"/>
      <c r="E34" s="158"/>
      <c r="F34" s="159"/>
      <c r="G34" s="157"/>
      <c r="H34" s="158"/>
      <c r="I34" s="159"/>
      <c r="J34" s="43"/>
    </row>
    <row r="35" spans="1:10" ht="14.45" customHeight="1" x14ac:dyDescent="0.2">
      <c r="A35" s="160" t="s">
        <v>1825</v>
      </c>
      <c r="B35" s="161"/>
      <c r="C35" s="162"/>
      <c r="D35" s="160" t="s">
        <v>1825</v>
      </c>
      <c r="E35" s="161"/>
      <c r="F35" s="162"/>
      <c r="G35" s="160" t="s">
        <v>1825</v>
      </c>
      <c r="H35" s="161"/>
      <c r="I35" s="162"/>
      <c r="J35" s="43"/>
    </row>
    <row r="36" spans="1:10" ht="11.25" customHeight="1" x14ac:dyDescent="0.2">
      <c r="A36" s="100" t="s">
        <v>302</v>
      </c>
      <c r="B36" s="102"/>
      <c r="C36" s="102"/>
      <c r="D36" s="102"/>
      <c r="E36" s="102"/>
      <c r="F36" s="102"/>
      <c r="G36" s="102"/>
      <c r="H36" s="102"/>
      <c r="I36" s="102"/>
    </row>
    <row r="37" spans="1:10" ht="89.85" customHeight="1" x14ac:dyDescent="0.2">
      <c r="A37" s="155" t="s">
        <v>303</v>
      </c>
      <c r="B37" s="156"/>
      <c r="C37" s="156"/>
      <c r="D37" s="156"/>
      <c r="E37" s="156"/>
      <c r="F37" s="156"/>
      <c r="G37" s="156"/>
      <c r="H37" s="156"/>
      <c r="I37" s="156"/>
    </row>
    <row r="39" spans="1:10" ht="13.5" thickBot="1" x14ac:dyDescent="0.25">
      <c r="A39" s="147" t="s">
        <v>1866</v>
      </c>
    </row>
    <row r="40" spans="1:10" ht="13.5" thickBot="1" x14ac:dyDescent="0.25">
      <c r="A40" t="s">
        <v>1867</v>
      </c>
      <c r="D40" s="148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0.39400000000000002" right="0.39400000000000002" top="0.59099999999999997" bottom="0.59099999999999997" header="0.5" footer="0.5"/>
  <pageSetup paperSize="9"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D7EE"/>
    <pageSetUpPr fitToPage="1"/>
  </sheetPr>
  <dimension ref="A1:J39"/>
  <sheetViews>
    <sheetView workbookViewId="0">
      <selection activeCell="K20" sqref="K20"/>
    </sheetView>
  </sheetViews>
  <sheetFormatPr defaultColWidth="11.5703125" defaultRowHeight="12.75" x14ac:dyDescent="0.2"/>
  <cols>
    <col min="1" max="1" width="9.140625" customWidth="1"/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7" max="7" width="9.140625" customWidth="1"/>
    <col min="8" max="8" width="17.140625" customWidth="1"/>
    <col min="9" max="9" width="22.85546875" customWidth="1"/>
  </cols>
  <sheetData>
    <row r="1" spans="1:10" ht="72.95" customHeight="1" x14ac:dyDescent="0.2">
      <c r="A1" s="118"/>
      <c r="B1" s="95"/>
      <c r="C1" s="185" t="s">
        <v>1863</v>
      </c>
      <c r="D1" s="186"/>
      <c r="E1" s="186"/>
      <c r="F1" s="186"/>
      <c r="G1" s="186"/>
      <c r="H1" s="186"/>
      <c r="I1" s="186"/>
    </row>
    <row r="2" spans="1:10" x14ac:dyDescent="0.2">
      <c r="A2" s="187" t="s">
        <v>1</v>
      </c>
      <c r="B2" s="188"/>
      <c r="C2" s="189" t="str">
        <f>'Stavební rozpočet'!D2</f>
        <v>RDSD</v>
      </c>
      <c r="D2" s="190"/>
      <c r="E2" s="192" t="s">
        <v>1051</v>
      </c>
      <c r="F2" s="192" t="str">
        <f>'Stavební rozpočet'!K2</f>
        <v>Lucie Součková, Tomáš Dušek</v>
      </c>
      <c r="G2" s="188"/>
      <c r="H2" s="192" t="s">
        <v>1850</v>
      </c>
      <c r="I2" s="193"/>
      <c r="J2" s="6"/>
    </row>
    <row r="3" spans="1:10" x14ac:dyDescent="0.2">
      <c r="A3" s="182"/>
      <c r="B3" s="156"/>
      <c r="C3" s="191"/>
      <c r="D3" s="191"/>
      <c r="E3" s="156"/>
      <c r="F3" s="156"/>
      <c r="G3" s="156"/>
      <c r="H3" s="156"/>
      <c r="I3" s="184"/>
      <c r="J3" s="6"/>
    </row>
    <row r="4" spans="1:10" x14ac:dyDescent="0.2">
      <c r="A4" s="176" t="s">
        <v>2</v>
      </c>
      <c r="B4" s="156"/>
      <c r="C4" s="155" t="str">
        <f>'Stavební rozpočet'!D4</f>
        <v>Novostavba RD</v>
      </c>
      <c r="D4" s="156"/>
      <c r="E4" s="155" t="s">
        <v>1052</v>
      </c>
      <c r="F4" s="155" t="str">
        <f>'Stavební rozpočet'!K4</f>
        <v>Ing.arch.Adam Smotlacha</v>
      </c>
      <c r="G4" s="156"/>
      <c r="H4" s="155" t="s">
        <v>1850</v>
      </c>
      <c r="I4" s="183" t="s">
        <v>1854</v>
      </c>
      <c r="J4" s="6"/>
    </row>
    <row r="5" spans="1:10" x14ac:dyDescent="0.2">
      <c r="A5" s="182"/>
      <c r="B5" s="156"/>
      <c r="C5" s="156"/>
      <c r="D5" s="156"/>
      <c r="E5" s="156"/>
      <c r="F5" s="156"/>
      <c r="G5" s="156"/>
      <c r="H5" s="156"/>
      <c r="I5" s="184"/>
      <c r="J5" s="6"/>
    </row>
    <row r="6" spans="1:10" x14ac:dyDescent="0.2">
      <c r="A6" s="176" t="s">
        <v>3</v>
      </c>
      <c r="B6" s="156"/>
      <c r="C6" s="155" t="str">
        <f>'Stavební rozpočet'!D6</f>
        <v>ul. Vojanova p.č.1672/62, Brandýs nad Labem - Stará Boleslav 250 01</v>
      </c>
      <c r="D6" s="156"/>
      <c r="E6" s="155" t="s">
        <v>1053</v>
      </c>
      <c r="F6" s="155" t="str">
        <f>'Stavební rozpočet'!K6</f>
        <v> </v>
      </c>
      <c r="G6" s="156"/>
      <c r="H6" s="155" t="s">
        <v>1850</v>
      </c>
      <c r="I6" s="183"/>
      <c r="J6" s="6"/>
    </row>
    <row r="7" spans="1:10" x14ac:dyDescent="0.2">
      <c r="A7" s="182"/>
      <c r="B7" s="156"/>
      <c r="C7" s="156"/>
      <c r="D7" s="156"/>
      <c r="E7" s="156"/>
      <c r="F7" s="156"/>
      <c r="G7" s="156"/>
      <c r="H7" s="156"/>
      <c r="I7" s="184"/>
      <c r="J7" s="6"/>
    </row>
    <row r="8" spans="1:10" x14ac:dyDescent="0.2">
      <c r="A8" s="176" t="s">
        <v>1034</v>
      </c>
      <c r="B8" s="156"/>
      <c r="C8" s="155" t="str">
        <f>'Stavební rozpočet'!H4</f>
        <v xml:space="preserve"> </v>
      </c>
      <c r="D8" s="156"/>
      <c r="E8" s="155" t="s">
        <v>1035</v>
      </c>
      <c r="F8" s="155" t="str">
        <f>'Stavební rozpočet'!H6</f>
        <v>31.03.2025</v>
      </c>
      <c r="G8" s="156"/>
      <c r="H8" s="179" t="s">
        <v>1851</v>
      </c>
      <c r="I8" s="183" t="s">
        <v>301</v>
      </c>
      <c r="J8" s="6"/>
    </row>
    <row r="9" spans="1:10" x14ac:dyDescent="0.2">
      <c r="A9" s="182"/>
      <c r="B9" s="156"/>
      <c r="C9" s="156"/>
      <c r="D9" s="156"/>
      <c r="E9" s="156"/>
      <c r="F9" s="156"/>
      <c r="G9" s="156"/>
      <c r="H9" s="156"/>
      <c r="I9" s="184"/>
      <c r="J9" s="6"/>
    </row>
    <row r="10" spans="1:10" x14ac:dyDescent="0.2">
      <c r="A10" s="176" t="s">
        <v>4</v>
      </c>
      <c r="B10" s="156"/>
      <c r="C10" s="155">
        <f>'Stavební rozpočet'!D8</f>
        <v>8036</v>
      </c>
      <c r="D10" s="156"/>
      <c r="E10" s="155" t="s">
        <v>1054</v>
      </c>
      <c r="F10" s="155" t="str">
        <f>'Stavební rozpočet'!K8</f>
        <v> </v>
      </c>
      <c r="G10" s="156"/>
      <c r="H10" s="179" t="s">
        <v>1852</v>
      </c>
      <c r="I10" s="180" t="str">
        <f>'Stavební rozpočet'!H8</f>
        <v>26.08.2022</v>
      </c>
      <c r="J10" s="6"/>
    </row>
    <row r="11" spans="1:10" x14ac:dyDescent="0.2">
      <c r="A11" s="177"/>
      <c r="B11" s="178"/>
      <c r="C11" s="178"/>
      <c r="D11" s="178"/>
      <c r="E11" s="178"/>
      <c r="F11" s="178"/>
      <c r="G11" s="178"/>
      <c r="H11" s="178"/>
      <c r="I11" s="181"/>
      <c r="J11" s="6"/>
    </row>
    <row r="12" spans="1:10" x14ac:dyDescent="0.2">
      <c r="A12" s="10"/>
      <c r="B12" s="10"/>
      <c r="C12" s="10"/>
      <c r="D12" s="10"/>
      <c r="E12" s="10"/>
      <c r="F12" s="10"/>
      <c r="G12" s="10"/>
      <c r="H12" s="10"/>
      <c r="I12" s="10"/>
    </row>
    <row r="13" spans="1:10" ht="15.2" customHeight="1" thickBot="1" x14ac:dyDescent="0.25">
      <c r="A13" s="212" t="s">
        <v>1855</v>
      </c>
      <c r="B13" s="213"/>
      <c r="C13" s="213"/>
      <c r="D13" s="213"/>
      <c r="E13" s="213"/>
      <c r="F13" s="111"/>
      <c r="G13" s="111"/>
      <c r="H13" s="111"/>
      <c r="I13" s="111"/>
    </row>
    <row r="14" spans="1:10" ht="13.5" thickBot="1" x14ac:dyDescent="0.25">
      <c r="A14" s="196" t="s">
        <v>1856</v>
      </c>
      <c r="B14" s="197"/>
      <c r="C14" s="197"/>
      <c r="D14" s="197"/>
      <c r="E14" s="198"/>
      <c r="F14" s="116" t="s">
        <v>1864</v>
      </c>
      <c r="G14" s="116" t="s">
        <v>1065</v>
      </c>
      <c r="H14" s="116" t="s">
        <v>1865</v>
      </c>
      <c r="I14" s="116" t="s">
        <v>1864</v>
      </c>
      <c r="J14" s="43"/>
    </row>
    <row r="15" spans="1:10" x14ac:dyDescent="0.2">
      <c r="A15" s="214"/>
      <c r="B15" s="178"/>
      <c r="C15" s="178"/>
      <c r="D15" s="178"/>
      <c r="E15" s="181"/>
      <c r="F15" s="150">
        <v>0</v>
      </c>
      <c r="G15" s="143"/>
      <c r="H15" s="143"/>
      <c r="I15" s="144">
        <f>F15</f>
        <v>0</v>
      </c>
      <c r="J15" s="6"/>
    </row>
    <row r="16" spans="1:10" x14ac:dyDescent="0.2">
      <c r="A16" s="215"/>
      <c r="B16" s="216"/>
      <c r="C16" s="216"/>
      <c r="D16" s="216"/>
      <c r="E16" s="217"/>
      <c r="F16" s="151">
        <v>0</v>
      </c>
      <c r="G16" s="114"/>
      <c r="H16" s="114"/>
      <c r="I16" s="112">
        <f>F16</f>
        <v>0</v>
      </c>
      <c r="J16" s="6"/>
    </row>
    <row r="17" spans="1:10" x14ac:dyDescent="0.2">
      <c r="A17" s="203"/>
      <c r="B17" s="204"/>
      <c r="C17" s="204"/>
      <c r="D17" s="204"/>
      <c r="E17" s="205"/>
      <c r="F17" s="152">
        <v>0</v>
      </c>
      <c r="G17" s="115"/>
      <c r="H17" s="115"/>
      <c r="I17" s="113">
        <f>F17</f>
        <v>0</v>
      </c>
      <c r="J17" s="6"/>
    </row>
    <row r="18" spans="1:10" x14ac:dyDescent="0.2">
      <c r="A18" s="196" t="s">
        <v>1857</v>
      </c>
      <c r="B18" s="197"/>
      <c r="C18" s="197"/>
      <c r="D18" s="197"/>
      <c r="E18" s="198"/>
      <c r="F18" s="74"/>
      <c r="G18" s="116"/>
      <c r="H18" s="116"/>
      <c r="I18" s="117">
        <f>SUM(I15:I17)</f>
        <v>0</v>
      </c>
      <c r="J18" s="43"/>
    </row>
    <row r="19" spans="1:10" ht="13.5" thickBot="1" x14ac:dyDescent="0.25">
      <c r="A19" s="110"/>
      <c r="B19" s="110"/>
      <c r="C19" s="110"/>
      <c r="D19" s="110"/>
      <c r="E19" s="110"/>
      <c r="F19" s="110"/>
      <c r="G19" s="110"/>
      <c r="H19" s="110"/>
      <c r="I19" s="110"/>
    </row>
    <row r="20" spans="1:10" ht="13.5" thickBot="1" x14ac:dyDescent="0.25">
      <c r="A20" s="196" t="s">
        <v>1853</v>
      </c>
      <c r="B20" s="197"/>
      <c r="C20" s="197"/>
      <c r="D20" s="197"/>
      <c r="E20" s="198"/>
      <c r="F20" s="116" t="s">
        <v>1864</v>
      </c>
      <c r="G20" s="116" t="s">
        <v>1065</v>
      </c>
      <c r="H20" s="116" t="s">
        <v>1865</v>
      </c>
      <c r="I20" s="116" t="s">
        <v>1864</v>
      </c>
      <c r="J20" s="43"/>
    </row>
    <row r="21" spans="1:10" x14ac:dyDescent="0.2">
      <c r="A21" s="214" t="s">
        <v>1837</v>
      </c>
      <c r="B21" s="178"/>
      <c r="C21" s="178"/>
      <c r="D21" s="178"/>
      <c r="E21" s="181"/>
      <c r="F21" s="150">
        <v>0</v>
      </c>
      <c r="G21" s="143"/>
      <c r="H21" s="143"/>
      <c r="I21" s="144">
        <f t="shared" ref="I21:I26" si="0">F21</f>
        <v>0</v>
      </c>
      <c r="J21" s="6"/>
    </row>
    <row r="22" spans="1:10" x14ac:dyDescent="0.2">
      <c r="A22" s="215" t="s">
        <v>1838</v>
      </c>
      <c r="B22" s="216"/>
      <c r="C22" s="216"/>
      <c r="D22" s="216"/>
      <c r="E22" s="217"/>
      <c r="F22" s="151">
        <v>0</v>
      </c>
      <c r="G22" s="114"/>
      <c r="H22" s="114"/>
      <c r="I22" s="112">
        <f t="shared" si="0"/>
        <v>0</v>
      </c>
      <c r="J22" s="6"/>
    </row>
    <row r="23" spans="1:10" x14ac:dyDescent="0.2">
      <c r="A23" s="215" t="s">
        <v>1839</v>
      </c>
      <c r="B23" s="216"/>
      <c r="C23" s="216"/>
      <c r="D23" s="216"/>
      <c r="E23" s="217"/>
      <c r="F23" s="151">
        <v>0</v>
      </c>
      <c r="G23" s="114"/>
      <c r="H23" s="114"/>
      <c r="I23" s="112">
        <f t="shared" si="0"/>
        <v>0</v>
      </c>
      <c r="J23" s="6"/>
    </row>
    <row r="24" spans="1:10" x14ac:dyDescent="0.2">
      <c r="A24" s="215" t="s">
        <v>1840</v>
      </c>
      <c r="B24" s="216"/>
      <c r="C24" s="216"/>
      <c r="D24" s="216"/>
      <c r="E24" s="217"/>
      <c r="F24" s="151">
        <v>0</v>
      </c>
      <c r="G24" s="114"/>
      <c r="H24" s="114"/>
      <c r="I24" s="112">
        <f t="shared" si="0"/>
        <v>0</v>
      </c>
      <c r="J24" s="6"/>
    </row>
    <row r="25" spans="1:10" x14ac:dyDescent="0.2">
      <c r="A25" s="215" t="s">
        <v>1841</v>
      </c>
      <c r="B25" s="216"/>
      <c r="C25" s="216"/>
      <c r="D25" s="216"/>
      <c r="E25" s="217"/>
      <c r="F25" s="151">
        <v>0</v>
      </c>
      <c r="G25" s="114"/>
      <c r="H25" s="114"/>
      <c r="I25" s="112">
        <f t="shared" si="0"/>
        <v>0</v>
      </c>
      <c r="J25" s="6"/>
    </row>
    <row r="26" spans="1:10" x14ac:dyDescent="0.2">
      <c r="A26" s="203" t="s">
        <v>1842</v>
      </c>
      <c r="B26" s="204"/>
      <c r="C26" s="204"/>
      <c r="D26" s="204"/>
      <c r="E26" s="205"/>
      <c r="F26" s="152">
        <v>0</v>
      </c>
      <c r="G26" s="115"/>
      <c r="H26" s="115"/>
      <c r="I26" s="113">
        <f t="shared" si="0"/>
        <v>0</v>
      </c>
      <c r="J26" s="6"/>
    </row>
    <row r="27" spans="1:10" x14ac:dyDescent="0.2">
      <c r="A27" s="196" t="s">
        <v>1858</v>
      </c>
      <c r="B27" s="197"/>
      <c r="C27" s="197"/>
      <c r="D27" s="197"/>
      <c r="E27" s="198"/>
      <c r="F27" s="74"/>
      <c r="G27" s="116"/>
      <c r="H27" s="116"/>
      <c r="I27" s="117">
        <f>SUM(I21:I26)</f>
        <v>0</v>
      </c>
      <c r="J27" s="43"/>
    </row>
    <row r="28" spans="1:10" x14ac:dyDescent="0.2">
      <c r="A28" s="110"/>
      <c r="B28" s="110"/>
      <c r="C28" s="110"/>
      <c r="D28" s="110"/>
      <c r="E28" s="110"/>
      <c r="F28" s="110"/>
      <c r="G28" s="110"/>
      <c r="H28" s="110"/>
      <c r="I28" s="110"/>
    </row>
    <row r="29" spans="1:10" ht="15.2" customHeight="1" x14ac:dyDescent="0.2">
      <c r="A29" s="206" t="s">
        <v>1859</v>
      </c>
      <c r="B29" s="207"/>
      <c r="C29" s="207"/>
      <c r="D29" s="207"/>
      <c r="E29" s="208"/>
      <c r="F29" s="209">
        <f>I18+I27</f>
        <v>0</v>
      </c>
      <c r="G29" s="210"/>
      <c r="H29" s="210"/>
      <c r="I29" s="211"/>
      <c r="J29" s="43"/>
    </row>
    <row r="30" spans="1:10" x14ac:dyDescent="0.2">
      <c r="A30" s="102"/>
      <c r="B30" s="102"/>
      <c r="C30" s="102"/>
      <c r="D30" s="102"/>
      <c r="E30" s="102"/>
      <c r="F30" s="102"/>
      <c r="G30" s="102"/>
      <c r="H30" s="102"/>
      <c r="I30" s="102"/>
    </row>
    <row r="33" spans="1:10" ht="15.2" customHeight="1" thickBot="1" x14ac:dyDescent="0.25">
      <c r="A33" s="212" t="s">
        <v>1860</v>
      </c>
      <c r="B33" s="213"/>
      <c r="C33" s="213"/>
      <c r="D33" s="213"/>
      <c r="E33" s="213"/>
      <c r="F33" s="111"/>
      <c r="G33" s="111"/>
      <c r="H33" s="111"/>
      <c r="I33" s="111"/>
    </row>
    <row r="34" spans="1:10" ht="13.5" thickBot="1" x14ac:dyDescent="0.25">
      <c r="A34" s="196" t="s">
        <v>1861</v>
      </c>
      <c r="B34" s="197"/>
      <c r="C34" s="197"/>
      <c r="D34" s="197"/>
      <c r="E34" s="198"/>
      <c r="F34" s="116" t="s">
        <v>1864</v>
      </c>
      <c r="G34" s="116" t="s">
        <v>1065</v>
      </c>
      <c r="H34" s="116" t="s">
        <v>1865</v>
      </c>
      <c r="I34" s="116" t="s">
        <v>1864</v>
      </c>
      <c r="J34" s="43"/>
    </row>
    <row r="35" spans="1:10" x14ac:dyDescent="0.2">
      <c r="A35" s="194"/>
      <c r="B35" s="195"/>
      <c r="C35" s="195"/>
      <c r="D35" s="195"/>
      <c r="E35" s="195"/>
      <c r="F35" s="150">
        <v>0</v>
      </c>
      <c r="G35" s="143"/>
      <c r="H35" s="143"/>
      <c r="I35" s="144">
        <f>F35</f>
        <v>0</v>
      </c>
      <c r="J35" s="6"/>
    </row>
    <row r="36" spans="1:10" x14ac:dyDescent="0.2">
      <c r="A36" s="199"/>
      <c r="B36" s="200"/>
      <c r="C36" s="200"/>
      <c r="D36" s="200"/>
      <c r="E36" s="200"/>
      <c r="F36" s="151">
        <v>0</v>
      </c>
      <c r="G36" s="114"/>
      <c r="H36" s="114"/>
      <c r="I36" s="112">
        <f>F36</f>
        <v>0</v>
      </c>
      <c r="J36" s="123"/>
    </row>
    <row r="37" spans="1:10" ht="13.5" thickBot="1" x14ac:dyDescent="0.25">
      <c r="A37" s="201"/>
      <c r="B37" s="202"/>
      <c r="C37" s="202"/>
      <c r="D37" s="202"/>
      <c r="E37" s="202"/>
      <c r="F37" s="153">
        <v>0</v>
      </c>
      <c r="G37" s="145"/>
      <c r="H37" s="145"/>
      <c r="I37" s="146">
        <f>F37</f>
        <v>0</v>
      </c>
      <c r="J37" s="123"/>
    </row>
    <row r="38" spans="1:10" ht="13.5" thickBot="1" x14ac:dyDescent="0.25">
      <c r="A38" s="196" t="s">
        <v>1862</v>
      </c>
      <c r="B38" s="197"/>
      <c r="C38" s="197"/>
      <c r="D38" s="197"/>
      <c r="E38" s="198"/>
      <c r="F38" s="74"/>
      <c r="G38" s="116"/>
      <c r="H38" s="116"/>
      <c r="I38" s="117">
        <f>SUM(I35:I37)</f>
        <v>0</v>
      </c>
      <c r="J38" s="43"/>
    </row>
    <row r="39" spans="1:10" x14ac:dyDescent="0.2">
      <c r="A39" s="102"/>
      <c r="B39" s="102"/>
      <c r="C39" s="102"/>
      <c r="D39" s="102"/>
      <c r="E39" s="102"/>
      <c r="F39" s="102"/>
      <c r="G39" s="102"/>
      <c r="H39" s="102"/>
      <c r="I39" s="102"/>
    </row>
  </sheetData>
  <mergeCells count="5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35:E35"/>
    <mergeCell ref="A38:E38"/>
    <mergeCell ref="A36:E36"/>
    <mergeCell ref="A37:E37"/>
    <mergeCell ref="A26:E26"/>
    <mergeCell ref="A27:E27"/>
    <mergeCell ref="A29:E29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workbookViewId="0">
      <pane ySplit="11" topLeftCell="A12" activePane="bottomLeft" state="frozenSplit"/>
      <selection pane="bottomLeft" sqref="A1:L1"/>
    </sheetView>
  </sheetViews>
  <sheetFormatPr defaultColWidth="11.5703125" defaultRowHeight="12.75" x14ac:dyDescent="0.2"/>
  <cols>
    <col min="1" max="1" width="7.5703125" customWidth="1"/>
    <col min="2" max="8" width="15.7109375" customWidth="1"/>
    <col min="9" max="11" width="14.28515625" customWidth="1"/>
    <col min="12" max="12" width="5.7109375" customWidth="1"/>
    <col min="13" max="16" width="12.140625" hidden="1" customWidth="1"/>
  </cols>
  <sheetData>
    <row r="1" spans="1:16" ht="72.95" customHeight="1" x14ac:dyDescent="0.35">
      <c r="A1" s="233" t="s">
        <v>1149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6" x14ac:dyDescent="0.2">
      <c r="A2" s="187" t="s">
        <v>1</v>
      </c>
      <c r="B2" s="188"/>
      <c r="C2" s="188"/>
      <c r="D2" s="189" t="str">
        <f>'Stavební rozpočet'!D2</f>
        <v>RDSD</v>
      </c>
      <c r="E2" s="190"/>
      <c r="F2" s="190"/>
      <c r="G2" s="192" t="s">
        <v>1033</v>
      </c>
      <c r="H2" s="192" t="str">
        <f>'Stavební rozpočet'!H2</f>
        <v>762 dní</v>
      </c>
      <c r="I2" s="192" t="s">
        <v>1051</v>
      </c>
      <c r="J2" s="192" t="str">
        <f>'Stavební rozpočet'!K2</f>
        <v>Lucie Součková, Tomáš Dušek</v>
      </c>
      <c r="K2" s="188"/>
      <c r="L2" s="234"/>
      <c r="M2" s="6"/>
    </row>
    <row r="3" spans="1:16" x14ac:dyDescent="0.2">
      <c r="A3" s="182"/>
      <c r="B3" s="156"/>
      <c r="C3" s="156"/>
      <c r="D3" s="191"/>
      <c r="E3" s="191"/>
      <c r="F3" s="191"/>
      <c r="G3" s="156"/>
      <c r="H3" s="156"/>
      <c r="I3" s="156"/>
      <c r="J3" s="156"/>
      <c r="K3" s="156"/>
      <c r="L3" s="184"/>
      <c r="M3" s="6"/>
    </row>
    <row r="4" spans="1:16" x14ac:dyDescent="0.2">
      <c r="A4" s="176" t="s">
        <v>2</v>
      </c>
      <c r="B4" s="156"/>
      <c r="C4" s="156"/>
      <c r="D4" s="155" t="str">
        <f>'Stavební rozpočet'!D4</f>
        <v>Novostavba RD</v>
      </c>
      <c r="E4" s="156"/>
      <c r="F4" s="156"/>
      <c r="G4" s="155" t="s">
        <v>1034</v>
      </c>
      <c r="H4" s="155" t="str">
        <f>'Stavební rozpočet'!H4</f>
        <v xml:space="preserve"> </v>
      </c>
      <c r="I4" s="155" t="s">
        <v>1052</v>
      </c>
      <c r="J4" s="155" t="str">
        <f>'Stavební rozpočet'!K4</f>
        <v>Ing.arch.Adam Smotlacha</v>
      </c>
      <c r="K4" s="156"/>
      <c r="L4" s="184"/>
      <c r="M4" s="6"/>
    </row>
    <row r="5" spans="1:16" x14ac:dyDescent="0.2">
      <c r="A5" s="182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84"/>
      <c r="M5" s="6"/>
    </row>
    <row r="6" spans="1:16" x14ac:dyDescent="0.2">
      <c r="A6" s="176" t="s">
        <v>3</v>
      </c>
      <c r="B6" s="156"/>
      <c r="C6" s="156"/>
      <c r="D6" s="155" t="str">
        <f>'Stavební rozpočet'!D6</f>
        <v>ul. Vojanova p.č.1672/62, Brandýs nad Labem - Stará Boleslav 250 01</v>
      </c>
      <c r="E6" s="156"/>
      <c r="F6" s="156"/>
      <c r="G6" s="155" t="s">
        <v>1035</v>
      </c>
      <c r="H6" s="155" t="str">
        <f>'Stavební rozpočet'!H6</f>
        <v>31.03.2025</v>
      </c>
      <c r="I6" s="155" t="s">
        <v>1053</v>
      </c>
      <c r="J6" s="155" t="str">
        <f>'Stavební rozpočet'!K6</f>
        <v> </v>
      </c>
      <c r="K6" s="156"/>
      <c r="L6" s="184"/>
      <c r="M6" s="6"/>
    </row>
    <row r="7" spans="1:16" x14ac:dyDescent="0.2">
      <c r="A7" s="182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84"/>
      <c r="M7" s="6"/>
    </row>
    <row r="8" spans="1:16" x14ac:dyDescent="0.2">
      <c r="A8" s="176" t="s">
        <v>4</v>
      </c>
      <c r="B8" s="156"/>
      <c r="C8" s="156"/>
      <c r="D8" s="155">
        <f>'Stavební rozpočet'!D8</f>
        <v>8036</v>
      </c>
      <c r="E8" s="156"/>
      <c r="F8" s="156"/>
      <c r="G8" s="155" t="s">
        <v>1036</v>
      </c>
      <c r="H8" s="155" t="str">
        <f>'Stavební rozpočet'!H8</f>
        <v>26.08.2022</v>
      </c>
      <c r="I8" s="155" t="s">
        <v>1054</v>
      </c>
      <c r="J8" s="155" t="str">
        <f>'Stavební rozpočet'!K8</f>
        <v> </v>
      </c>
      <c r="K8" s="156"/>
      <c r="L8" s="184"/>
      <c r="M8" s="6"/>
    </row>
    <row r="9" spans="1:16" x14ac:dyDescent="0.2">
      <c r="A9" s="230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2"/>
      <c r="M9" s="6"/>
    </row>
    <row r="10" spans="1:16" x14ac:dyDescent="0.2">
      <c r="A10" s="60" t="s">
        <v>6</v>
      </c>
      <c r="B10" s="219" t="s">
        <v>6</v>
      </c>
      <c r="C10" s="220"/>
      <c r="D10" s="220"/>
      <c r="E10" s="220"/>
      <c r="F10" s="220"/>
      <c r="G10" s="220"/>
      <c r="H10" s="221"/>
      <c r="I10" s="222" t="s">
        <v>1060</v>
      </c>
      <c r="J10" s="223"/>
      <c r="K10" s="224"/>
      <c r="L10" s="35" t="s">
        <v>1065</v>
      </c>
      <c r="M10" s="43"/>
    </row>
    <row r="11" spans="1:16" x14ac:dyDescent="0.2">
      <c r="A11" s="61" t="s">
        <v>304</v>
      </c>
      <c r="B11" s="225" t="s">
        <v>617</v>
      </c>
      <c r="C11" s="226"/>
      <c r="D11" s="226"/>
      <c r="E11" s="226"/>
      <c r="F11" s="226"/>
      <c r="G11" s="226"/>
      <c r="H11" s="227"/>
      <c r="I11" s="32" t="s">
        <v>1061</v>
      </c>
      <c r="J11" s="33" t="s">
        <v>1063</v>
      </c>
      <c r="K11" s="66" t="s">
        <v>1064</v>
      </c>
      <c r="L11" s="67" t="s">
        <v>6</v>
      </c>
      <c r="M11" s="43"/>
    </row>
    <row r="12" spans="1:16" x14ac:dyDescent="0.2">
      <c r="A12" s="62" t="s">
        <v>305</v>
      </c>
      <c r="B12" s="228" t="s">
        <v>614</v>
      </c>
      <c r="C12" s="220"/>
      <c r="D12" s="220"/>
      <c r="E12" s="220"/>
      <c r="F12" s="220"/>
      <c r="G12" s="220"/>
      <c r="H12" s="220"/>
      <c r="I12" s="69">
        <f>'Stavební rozpočet'!K12</f>
        <v>0</v>
      </c>
      <c r="J12" s="69">
        <f>'Stavební rozpočet'!L12</f>
        <v>0</v>
      </c>
      <c r="K12" s="69">
        <f>'Stavební rozpočet'!M12</f>
        <v>0</v>
      </c>
      <c r="L12" s="71">
        <f>IF(K15=0,0,K12/K15)</f>
        <v>0</v>
      </c>
      <c r="M12" s="68" t="s">
        <v>1150</v>
      </c>
      <c r="N12" s="45">
        <f>IF(M12="F",0,K12)</f>
        <v>0</v>
      </c>
      <c r="O12" s="22" t="s">
        <v>305</v>
      </c>
      <c r="P12" s="45">
        <f>IF(M12="T",0,K12)</f>
        <v>0</v>
      </c>
    </row>
    <row r="13" spans="1:16" x14ac:dyDescent="0.2">
      <c r="A13" s="63" t="s">
        <v>306</v>
      </c>
      <c r="B13" s="179" t="s">
        <v>981</v>
      </c>
      <c r="C13" s="156"/>
      <c r="D13" s="156"/>
      <c r="E13" s="156"/>
      <c r="F13" s="156"/>
      <c r="G13" s="156"/>
      <c r="H13" s="156"/>
      <c r="I13" s="45">
        <f>'Stavební rozpočet'!K524</f>
        <v>0</v>
      </c>
      <c r="J13" s="45">
        <f>'Stavební rozpočet'!L524</f>
        <v>0</v>
      </c>
      <c r="K13" s="45">
        <f>'Stavební rozpočet'!M524</f>
        <v>0</v>
      </c>
      <c r="L13" s="72">
        <f>IF(K15=0,0,K13/K15)</f>
        <v>0</v>
      </c>
      <c r="M13" s="68" t="s">
        <v>1150</v>
      </c>
      <c r="N13" s="45">
        <f>IF(M13="F",0,K13)</f>
        <v>0</v>
      </c>
      <c r="O13" s="22" t="s">
        <v>306</v>
      </c>
      <c r="P13" s="45">
        <f>IF(M13="T",0,K13)</f>
        <v>0</v>
      </c>
    </row>
    <row r="14" spans="1:16" x14ac:dyDescent="0.2">
      <c r="A14" s="64" t="s">
        <v>307</v>
      </c>
      <c r="B14" s="229" t="s">
        <v>1019</v>
      </c>
      <c r="C14" s="178"/>
      <c r="D14" s="178"/>
      <c r="E14" s="178"/>
      <c r="F14" s="178"/>
      <c r="G14" s="178"/>
      <c r="H14" s="178"/>
      <c r="I14" s="70">
        <f>'Stavební rozpočet'!K583</f>
        <v>0</v>
      </c>
      <c r="J14" s="70">
        <f>'Stavební rozpočet'!L583</f>
        <v>0</v>
      </c>
      <c r="K14" s="70">
        <f>'Stavební rozpočet'!M583</f>
        <v>0</v>
      </c>
      <c r="L14" s="73">
        <f>IF(K15=0,0,K14/K15)</f>
        <v>0</v>
      </c>
      <c r="M14" s="68" t="s">
        <v>1150</v>
      </c>
      <c r="N14" s="45">
        <f>IF(M14="F",0,K14)</f>
        <v>0</v>
      </c>
      <c r="O14" s="22" t="s">
        <v>307</v>
      </c>
      <c r="P14" s="45">
        <f>IF(M14="T",0,K14)</f>
        <v>0</v>
      </c>
    </row>
    <row r="15" spans="1:16" x14ac:dyDescent="0.2">
      <c r="A15" s="10"/>
      <c r="B15" s="10"/>
      <c r="C15" s="10"/>
      <c r="D15" s="10"/>
      <c r="E15" s="10"/>
      <c r="F15" s="10"/>
      <c r="G15" s="10"/>
      <c r="H15" s="10"/>
      <c r="I15" s="218" t="s">
        <v>1062</v>
      </c>
      <c r="J15" s="190"/>
      <c r="K15" s="53">
        <f>SUM(P12:P14)</f>
        <v>0</v>
      </c>
      <c r="L15" s="10"/>
    </row>
    <row r="16" spans="1:16" ht="11.25" customHeight="1" x14ac:dyDescent="0.2">
      <c r="A16" s="11" t="s">
        <v>302</v>
      </c>
    </row>
    <row r="17" spans="1:12" ht="77.099999999999994" customHeight="1" x14ac:dyDescent="0.2">
      <c r="A17" s="155" t="s">
        <v>303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</row>
  </sheetData>
  <mergeCells count="33">
    <mergeCell ref="A1:L1"/>
    <mergeCell ref="A2:C3"/>
    <mergeCell ref="D2:F3"/>
    <mergeCell ref="G2:G3"/>
    <mergeCell ref="H2:H3"/>
    <mergeCell ref="I2:I3"/>
    <mergeCell ref="J2:L3"/>
    <mergeCell ref="A4:C5"/>
    <mergeCell ref="D4:F5"/>
    <mergeCell ref="G4:G5"/>
    <mergeCell ref="H4:H5"/>
    <mergeCell ref="I4:I5"/>
    <mergeCell ref="J4:L5"/>
    <mergeCell ref="A6:C7"/>
    <mergeCell ref="D6:F7"/>
    <mergeCell ref="G6:G7"/>
    <mergeCell ref="H6:H7"/>
    <mergeCell ref="I6:I7"/>
    <mergeCell ref="J6:L7"/>
    <mergeCell ref="A8:C9"/>
    <mergeCell ref="D8:F9"/>
    <mergeCell ref="G8:G9"/>
    <mergeCell ref="H8:H9"/>
    <mergeCell ref="I8:I9"/>
    <mergeCell ref="J8:L9"/>
    <mergeCell ref="I15:J15"/>
    <mergeCell ref="A17:L17"/>
    <mergeCell ref="B10:H10"/>
    <mergeCell ref="I10:K10"/>
    <mergeCell ref="B11:H11"/>
    <mergeCell ref="B12:H12"/>
    <mergeCell ref="B13:H13"/>
    <mergeCell ref="B14:H14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workbookViewId="0">
      <pane ySplit="10" topLeftCell="A11" activePane="bottomLeft" state="frozenSplit"/>
      <selection pane="bottomLeft" sqref="A1:G1"/>
    </sheetView>
  </sheetViews>
  <sheetFormatPr defaultColWidth="11.5703125" defaultRowHeight="12.75" x14ac:dyDescent="0.2"/>
  <cols>
    <col min="1" max="2" width="7.140625" customWidth="1"/>
    <col min="3" max="3" width="57.140625" customWidth="1"/>
    <col min="5" max="5" width="22.140625" customWidth="1"/>
    <col min="6" max="6" width="21" customWidth="1"/>
    <col min="7" max="7" width="20.85546875" customWidth="1"/>
    <col min="8" max="9" width="0" hidden="1" customWidth="1"/>
  </cols>
  <sheetData>
    <row r="1" spans="1:9" ht="72.95" customHeight="1" x14ac:dyDescent="0.35">
      <c r="A1" s="233" t="s">
        <v>1151</v>
      </c>
      <c r="B1" s="186"/>
      <c r="C1" s="186"/>
      <c r="D1" s="186"/>
      <c r="E1" s="186"/>
      <c r="F1" s="186"/>
      <c r="G1" s="186"/>
    </row>
    <row r="2" spans="1:9" x14ac:dyDescent="0.2">
      <c r="A2" s="187" t="s">
        <v>1</v>
      </c>
      <c r="B2" s="188"/>
      <c r="C2" s="189" t="str">
        <f>'Stavební rozpočet'!D2</f>
        <v>RDSD</v>
      </c>
      <c r="D2" s="235" t="s">
        <v>1033</v>
      </c>
      <c r="E2" s="235" t="s">
        <v>1037</v>
      </c>
      <c r="F2" s="192" t="s">
        <v>1051</v>
      </c>
      <c r="G2" s="236" t="str">
        <f>'Stavební rozpočet'!K2</f>
        <v>Lucie Součková, Tomáš Dušek</v>
      </c>
      <c r="H2" s="6"/>
    </row>
    <row r="3" spans="1:9" x14ac:dyDescent="0.2">
      <c r="A3" s="182"/>
      <c r="B3" s="156"/>
      <c r="C3" s="191"/>
      <c r="D3" s="156"/>
      <c r="E3" s="156"/>
      <c r="F3" s="156"/>
      <c r="G3" s="184"/>
      <c r="H3" s="6"/>
    </row>
    <row r="4" spans="1:9" x14ac:dyDescent="0.2">
      <c r="A4" s="176" t="s">
        <v>2</v>
      </c>
      <c r="B4" s="156"/>
      <c r="C4" s="155" t="str">
        <f>'Stavební rozpočet'!D4</f>
        <v>Novostavba RD</v>
      </c>
      <c r="D4" s="179" t="s">
        <v>1034</v>
      </c>
      <c r="E4" s="179" t="s">
        <v>6</v>
      </c>
      <c r="F4" s="155" t="s">
        <v>1052</v>
      </c>
      <c r="G4" s="180" t="str">
        <f>'Stavební rozpočet'!K4</f>
        <v>Ing.arch.Adam Smotlacha</v>
      </c>
      <c r="H4" s="6"/>
    </row>
    <row r="5" spans="1:9" x14ac:dyDescent="0.2">
      <c r="A5" s="182"/>
      <c r="B5" s="156"/>
      <c r="C5" s="156"/>
      <c r="D5" s="156"/>
      <c r="E5" s="156"/>
      <c r="F5" s="156"/>
      <c r="G5" s="184"/>
      <c r="H5" s="6"/>
    </row>
    <row r="6" spans="1:9" x14ac:dyDescent="0.2">
      <c r="A6" s="176" t="s">
        <v>3</v>
      </c>
      <c r="B6" s="156"/>
      <c r="C6" s="155" t="str">
        <f>'Stavební rozpočet'!D6</f>
        <v>ul. Vojanova p.č.1672/62, Brandýs nad Labem - Stará Boleslav 250 01</v>
      </c>
      <c r="D6" s="179" t="s">
        <v>1035</v>
      </c>
      <c r="E6" s="179" t="s">
        <v>1038</v>
      </c>
      <c r="F6" s="155" t="s">
        <v>1053</v>
      </c>
      <c r="G6" s="180" t="str">
        <f>'Stavební rozpočet'!K6</f>
        <v> </v>
      </c>
      <c r="H6" s="6"/>
    </row>
    <row r="7" spans="1:9" x14ac:dyDescent="0.2">
      <c r="A7" s="182"/>
      <c r="B7" s="156"/>
      <c r="C7" s="156"/>
      <c r="D7" s="156"/>
      <c r="E7" s="156"/>
      <c r="F7" s="156"/>
      <c r="G7" s="184"/>
      <c r="H7" s="6"/>
    </row>
    <row r="8" spans="1:9" x14ac:dyDescent="0.2">
      <c r="A8" s="176" t="s">
        <v>1054</v>
      </c>
      <c r="B8" s="156"/>
      <c r="C8" s="155" t="str">
        <f>'Stavební rozpočet'!K8</f>
        <v> </v>
      </c>
      <c r="D8" s="179" t="s">
        <v>1036</v>
      </c>
      <c r="E8" s="179" t="s">
        <v>1039</v>
      </c>
      <c r="F8" s="179" t="s">
        <v>1036</v>
      </c>
      <c r="G8" s="180" t="str">
        <f>'Stavební rozpočet'!H8</f>
        <v>26.08.2022</v>
      </c>
      <c r="H8" s="6"/>
    </row>
    <row r="9" spans="1:9" x14ac:dyDescent="0.2">
      <c r="A9" s="230"/>
      <c r="B9" s="231"/>
      <c r="C9" s="231"/>
      <c r="D9" s="178"/>
      <c r="E9" s="231"/>
      <c r="F9" s="231"/>
      <c r="G9" s="232"/>
      <c r="H9" s="6"/>
    </row>
    <row r="10" spans="1:9" x14ac:dyDescent="0.2">
      <c r="A10" s="74" t="s">
        <v>304</v>
      </c>
      <c r="B10" s="75" t="s">
        <v>308</v>
      </c>
      <c r="C10" s="76" t="s">
        <v>617</v>
      </c>
      <c r="D10" s="77"/>
      <c r="E10" s="78" t="s">
        <v>1152</v>
      </c>
      <c r="F10" s="78" t="s">
        <v>1153</v>
      </c>
      <c r="G10" s="78" t="s">
        <v>1154</v>
      </c>
      <c r="H10" s="6"/>
    </row>
    <row r="11" spans="1:9" x14ac:dyDescent="0.2">
      <c r="A11" s="62" t="s">
        <v>305</v>
      </c>
      <c r="B11" s="65"/>
      <c r="C11" s="228" t="s">
        <v>614</v>
      </c>
      <c r="D11" s="156"/>
      <c r="E11" s="69">
        <f>'Stavební rozpočet'!K12</f>
        <v>0</v>
      </c>
      <c r="F11" s="69">
        <f>'Stavební rozpočet'!L12</f>
        <v>0</v>
      </c>
      <c r="G11" s="69">
        <f>'Stavební rozpočet'!M12</f>
        <v>0</v>
      </c>
      <c r="H11" s="45" t="s">
        <v>1150</v>
      </c>
      <c r="I11" s="45">
        <f t="shared" ref="I11:I42" si="0">IF(H11="F",0,G11)</f>
        <v>0</v>
      </c>
    </row>
    <row r="12" spans="1:9" x14ac:dyDescent="0.2">
      <c r="A12" s="63" t="s">
        <v>305</v>
      </c>
      <c r="B12" s="22" t="s">
        <v>18</v>
      </c>
      <c r="C12" s="179" t="s">
        <v>619</v>
      </c>
      <c r="D12" s="156"/>
      <c r="E12" s="45">
        <f>'Stavební rozpočet'!K13</f>
        <v>0</v>
      </c>
      <c r="F12" s="45">
        <f>'Stavební rozpočet'!L13</f>
        <v>0</v>
      </c>
      <c r="G12" s="45">
        <f>'Stavební rozpočet'!M13</f>
        <v>0</v>
      </c>
      <c r="H12" s="45" t="s">
        <v>1155</v>
      </c>
      <c r="I12" s="45">
        <f t="shared" si="0"/>
        <v>0</v>
      </c>
    </row>
    <row r="13" spans="1:9" x14ac:dyDescent="0.2">
      <c r="A13" s="63" t="s">
        <v>305</v>
      </c>
      <c r="B13" s="22" t="s">
        <v>19</v>
      </c>
      <c r="C13" s="179" t="s">
        <v>626</v>
      </c>
      <c r="D13" s="156"/>
      <c r="E13" s="45">
        <f>'Stavební rozpočet'!K20</f>
        <v>0</v>
      </c>
      <c r="F13" s="45">
        <f>'Stavební rozpočet'!L20</f>
        <v>0</v>
      </c>
      <c r="G13" s="45">
        <f>'Stavební rozpočet'!M20</f>
        <v>0</v>
      </c>
      <c r="H13" s="45" t="s">
        <v>1155</v>
      </c>
      <c r="I13" s="45">
        <f t="shared" si="0"/>
        <v>0</v>
      </c>
    </row>
    <row r="14" spans="1:9" x14ac:dyDescent="0.2">
      <c r="A14" s="63" t="s">
        <v>305</v>
      </c>
      <c r="B14" s="22" t="s">
        <v>22</v>
      </c>
      <c r="C14" s="179" t="s">
        <v>635</v>
      </c>
      <c r="D14" s="156"/>
      <c r="E14" s="45">
        <f>'Stavební rozpočet'!K33</f>
        <v>0</v>
      </c>
      <c r="F14" s="45">
        <f>'Stavební rozpočet'!L33</f>
        <v>0</v>
      </c>
      <c r="G14" s="45">
        <f>'Stavební rozpočet'!M33</f>
        <v>0</v>
      </c>
      <c r="H14" s="45" t="s">
        <v>1155</v>
      </c>
      <c r="I14" s="45">
        <f t="shared" si="0"/>
        <v>0</v>
      </c>
    </row>
    <row r="15" spans="1:9" x14ac:dyDescent="0.2">
      <c r="A15" s="63" t="s">
        <v>305</v>
      </c>
      <c r="B15" s="22" t="s">
        <v>23</v>
      </c>
      <c r="C15" s="179" t="s">
        <v>640</v>
      </c>
      <c r="D15" s="156"/>
      <c r="E15" s="45">
        <f>'Stavební rozpočet'!K38</f>
        <v>0</v>
      </c>
      <c r="F15" s="45">
        <f>'Stavební rozpočet'!L38</f>
        <v>0</v>
      </c>
      <c r="G15" s="45">
        <f>'Stavební rozpočet'!M38</f>
        <v>0</v>
      </c>
      <c r="H15" s="45" t="s">
        <v>1155</v>
      </c>
      <c r="I15" s="45">
        <f t="shared" si="0"/>
        <v>0</v>
      </c>
    </row>
    <row r="16" spans="1:9" x14ac:dyDescent="0.2">
      <c r="A16" s="63" t="s">
        <v>305</v>
      </c>
      <c r="B16" s="22" t="s">
        <v>33</v>
      </c>
      <c r="C16" s="179" t="s">
        <v>645</v>
      </c>
      <c r="D16" s="156"/>
      <c r="E16" s="45">
        <f>'Stavební rozpočet'!K43</f>
        <v>0</v>
      </c>
      <c r="F16" s="45">
        <f>'Stavební rozpočet'!L43</f>
        <v>0</v>
      </c>
      <c r="G16" s="45">
        <f>'Stavební rozpočet'!M43</f>
        <v>0</v>
      </c>
      <c r="H16" s="45" t="s">
        <v>1155</v>
      </c>
      <c r="I16" s="45">
        <f t="shared" si="0"/>
        <v>0</v>
      </c>
    </row>
    <row r="17" spans="1:9" x14ac:dyDescent="0.2">
      <c r="A17" s="63" t="s">
        <v>305</v>
      </c>
      <c r="B17" s="22" t="s">
        <v>37</v>
      </c>
      <c r="C17" s="179" t="s">
        <v>670</v>
      </c>
      <c r="D17" s="156"/>
      <c r="E17" s="45">
        <f>'Stavební rozpočet'!K73</f>
        <v>0</v>
      </c>
      <c r="F17" s="45">
        <f>'Stavební rozpočet'!L73</f>
        <v>0</v>
      </c>
      <c r="G17" s="45">
        <f>'Stavební rozpočet'!M73</f>
        <v>0</v>
      </c>
      <c r="H17" s="45" t="s">
        <v>1155</v>
      </c>
      <c r="I17" s="45">
        <f t="shared" si="0"/>
        <v>0</v>
      </c>
    </row>
    <row r="18" spans="1:9" x14ac:dyDescent="0.2">
      <c r="A18" s="63" t="s">
        <v>305</v>
      </c>
      <c r="B18" s="22" t="s">
        <v>40</v>
      </c>
      <c r="C18" s="179" t="s">
        <v>705</v>
      </c>
      <c r="D18" s="156"/>
      <c r="E18" s="45">
        <f>'Stavební rozpočet'!K123</f>
        <v>0</v>
      </c>
      <c r="F18" s="45">
        <f>'Stavební rozpočet'!L123</f>
        <v>0</v>
      </c>
      <c r="G18" s="45">
        <f>'Stavební rozpočet'!M123</f>
        <v>0</v>
      </c>
      <c r="H18" s="45" t="s">
        <v>1155</v>
      </c>
      <c r="I18" s="45">
        <f t="shared" si="0"/>
        <v>0</v>
      </c>
    </row>
    <row r="19" spans="1:9" x14ac:dyDescent="0.2">
      <c r="A19" s="63" t="s">
        <v>305</v>
      </c>
      <c r="B19" s="22" t="s">
        <v>47</v>
      </c>
      <c r="C19" s="179" t="s">
        <v>713</v>
      </c>
      <c r="D19" s="156"/>
      <c r="E19" s="45">
        <f>'Stavební rozpočet'!K135</f>
        <v>0</v>
      </c>
      <c r="F19" s="45">
        <f>'Stavební rozpočet'!L135</f>
        <v>0</v>
      </c>
      <c r="G19" s="45">
        <f>'Stavební rozpočet'!M135</f>
        <v>0</v>
      </c>
      <c r="H19" s="45" t="s">
        <v>1155</v>
      </c>
      <c r="I19" s="45">
        <f t="shared" si="0"/>
        <v>0</v>
      </c>
    </row>
    <row r="20" spans="1:9" x14ac:dyDescent="0.2">
      <c r="A20" s="63" t="s">
        <v>305</v>
      </c>
      <c r="B20" s="22" t="s">
        <v>49</v>
      </c>
      <c r="C20" s="179" t="s">
        <v>741</v>
      </c>
      <c r="D20" s="156"/>
      <c r="E20" s="45">
        <f>'Stavební rozpočet'!K179</f>
        <v>0</v>
      </c>
      <c r="F20" s="45">
        <f>'Stavební rozpočet'!L179</f>
        <v>0</v>
      </c>
      <c r="G20" s="45">
        <f>'Stavební rozpočet'!M179</f>
        <v>0</v>
      </c>
      <c r="H20" s="45" t="s">
        <v>1155</v>
      </c>
      <c r="I20" s="45">
        <f t="shared" si="0"/>
        <v>0</v>
      </c>
    </row>
    <row r="21" spans="1:9" x14ac:dyDescent="0.2">
      <c r="A21" s="63" t="s">
        <v>305</v>
      </c>
      <c r="B21" s="22" t="s">
        <v>66</v>
      </c>
      <c r="C21" s="179" t="s">
        <v>749</v>
      </c>
      <c r="D21" s="156"/>
      <c r="E21" s="45">
        <f>'Stavební rozpočet'!K190</f>
        <v>0</v>
      </c>
      <c r="F21" s="45">
        <f>'Stavební rozpočet'!L190</f>
        <v>0</v>
      </c>
      <c r="G21" s="45">
        <f>'Stavební rozpočet'!M190</f>
        <v>0</v>
      </c>
      <c r="H21" s="45" t="s">
        <v>1155</v>
      </c>
      <c r="I21" s="45">
        <f t="shared" si="0"/>
        <v>0</v>
      </c>
    </row>
    <row r="22" spans="1:9" x14ac:dyDescent="0.2">
      <c r="A22" s="63" t="s">
        <v>305</v>
      </c>
      <c r="B22" s="22" t="s">
        <v>67</v>
      </c>
      <c r="C22" s="179" t="s">
        <v>751</v>
      </c>
      <c r="D22" s="156"/>
      <c r="E22" s="45">
        <f>'Stavební rozpočet'!K192</f>
        <v>0</v>
      </c>
      <c r="F22" s="45">
        <f>'Stavební rozpočet'!L192</f>
        <v>0</v>
      </c>
      <c r="G22" s="45">
        <f>'Stavební rozpočet'!M192</f>
        <v>0</v>
      </c>
      <c r="H22" s="45" t="s">
        <v>1155</v>
      </c>
      <c r="I22" s="45">
        <f t="shared" si="0"/>
        <v>0</v>
      </c>
    </row>
    <row r="23" spans="1:9" x14ac:dyDescent="0.2">
      <c r="A23" s="63" t="s">
        <v>305</v>
      </c>
      <c r="B23" s="22" t="s">
        <v>68</v>
      </c>
      <c r="C23" s="179" t="s">
        <v>755</v>
      </c>
      <c r="D23" s="156"/>
      <c r="E23" s="45">
        <f>'Stavební rozpočet'!K197</f>
        <v>0</v>
      </c>
      <c r="F23" s="45">
        <f>'Stavební rozpočet'!L197</f>
        <v>0</v>
      </c>
      <c r="G23" s="45">
        <f>'Stavební rozpočet'!M197</f>
        <v>0</v>
      </c>
      <c r="H23" s="45" t="s">
        <v>1155</v>
      </c>
      <c r="I23" s="45">
        <f t="shared" si="0"/>
        <v>0</v>
      </c>
    </row>
    <row r="24" spans="1:9" x14ac:dyDescent="0.2">
      <c r="A24" s="63" t="s">
        <v>305</v>
      </c>
      <c r="B24" s="22" t="s">
        <v>69</v>
      </c>
      <c r="C24" s="179" t="s">
        <v>769</v>
      </c>
      <c r="D24" s="156"/>
      <c r="E24" s="45">
        <f>'Stavební rozpočet'!K217</f>
        <v>0</v>
      </c>
      <c r="F24" s="45">
        <f>'Stavební rozpočet'!L217</f>
        <v>0</v>
      </c>
      <c r="G24" s="45">
        <f>'Stavební rozpočet'!M217</f>
        <v>0</v>
      </c>
      <c r="H24" s="45" t="s">
        <v>1155</v>
      </c>
      <c r="I24" s="45">
        <f t="shared" si="0"/>
        <v>0</v>
      </c>
    </row>
    <row r="25" spans="1:9" x14ac:dyDescent="0.2">
      <c r="A25" s="63" t="s">
        <v>305</v>
      </c>
      <c r="B25" s="22" t="s">
        <v>415</v>
      </c>
      <c r="C25" s="179" t="s">
        <v>777</v>
      </c>
      <c r="D25" s="156"/>
      <c r="E25" s="45">
        <f>'Stavební rozpočet'!K229</f>
        <v>0</v>
      </c>
      <c r="F25" s="45">
        <f>'Stavební rozpočet'!L229</f>
        <v>0</v>
      </c>
      <c r="G25" s="45">
        <f>'Stavební rozpočet'!M229</f>
        <v>0</v>
      </c>
      <c r="H25" s="45" t="s">
        <v>1155</v>
      </c>
      <c r="I25" s="45">
        <f t="shared" si="0"/>
        <v>0</v>
      </c>
    </row>
    <row r="26" spans="1:9" x14ac:dyDescent="0.2">
      <c r="A26" s="63" t="s">
        <v>305</v>
      </c>
      <c r="B26" s="22" t="s">
        <v>426</v>
      </c>
      <c r="C26" s="179" t="s">
        <v>795</v>
      </c>
      <c r="D26" s="156"/>
      <c r="E26" s="45">
        <f>'Stavební rozpočet'!K255</f>
        <v>0</v>
      </c>
      <c r="F26" s="45">
        <f>'Stavební rozpočet'!L255</f>
        <v>0</v>
      </c>
      <c r="G26" s="45">
        <f>'Stavební rozpočet'!M255</f>
        <v>0</v>
      </c>
      <c r="H26" s="45" t="s">
        <v>1155</v>
      </c>
      <c r="I26" s="45">
        <f t="shared" si="0"/>
        <v>0</v>
      </c>
    </row>
    <row r="27" spans="1:9" x14ac:dyDescent="0.2">
      <c r="A27" s="63" t="s">
        <v>305</v>
      </c>
      <c r="B27" s="22" t="s">
        <v>446</v>
      </c>
      <c r="C27" s="179" t="s">
        <v>821</v>
      </c>
      <c r="D27" s="156"/>
      <c r="E27" s="45">
        <f>'Stavební rozpočet'!K296</f>
        <v>0</v>
      </c>
      <c r="F27" s="45">
        <f>'Stavební rozpočet'!L296</f>
        <v>0</v>
      </c>
      <c r="G27" s="45">
        <f>'Stavební rozpočet'!M296</f>
        <v>0</v>
      </c>
      <c r="H27" s="45" t="s">
        <v>1155</v>
      </c>
      <c r="I27" s="45">
        <f t="shared" si="0"/>
        <v>0</v>
      </c>
    </row>
    <row r="28" spans="1:9" x14ac:dyDescent="0.2">
      <c r="A28" s="63" t="s">
        <v>305</v>
      </c>
      <c r="B28" s="22" t="s">
        <v>465</v>
      </c>
      <c r="C28" s="179" t="s">
        <v>845</v>
      </c>
      <c r="D28" s="156"/>
      <c r="E28" s="45">
        <f>'Stavební rozpočet'!K329</f>
        <v>0</v>
      </c>
      <c r="F28" s="45">
        <f>'Stavební rozpočet'!L329</f>
        <v>0</v>
      </c>
      <c r="G28" s="45">
        <f>'Stavební rozpočet'!M329</f>
        <v>0</v>
      </c>
      <c r="H28" s="45" t="s">
        <v>1155</v>
      </c>
      <c r="I28" s="45">
        <f t="shared" si="0"/>
        <v>0</v>
      </c>
    </row>
    <row r="29" spans="1:9" x14ac:dyDescent="0.2">
      <c r="A29" s="63" t="s">
        <v>305</v>
      </c>
      <c r="B29" s="22" t="s">
        <v>468</v>
      </c>
      <c r="C29" s="179" t="s">
        <v>849</v>
      </c>
      <c r="D29" s="156"/>
      <c r="E29" s="45">
        <f>'Stavební rozpočet'!K334</f>
        <v>0</v>
      </c>
      <c r="F29" s="45">
        <f>'Stavební rozpočet'!L334</f>
        <v>0</v>
      </c>
      <c r="G29" s="45">
        <f>'Stavební rozpočet'!M334</f>
        <v>0</v>
      </c>
      <c r="H29" s="45" t="s">
        <v>1155</v>
      </c>
      <c r="I29" s="45">
        <f t="shared" si="0"/>
        <v>0</v>
      </c>
    </row>
    <row r="30" spans="1:9" x14ac:dyDescent="0.2">
      <c r="A30" s="63" t="s">
        <v>305</v>
      </c>
      <c r="B30" s="22" t="s">
        <v>473</v>
      </c>
      <c r="C30" s="179" t="s">
        <v>855</v>
      </c>
      <c r="D30" s="156"/>
      <c r="E30" s="45">
        <f>'Stavební rozpočet'!K342</f>
        <v>0</v>
      </c>
      <c r="F30" s="45">
        <f>'Stavební rozpočet'!L342</f>
        <v>0</v>
      </c>
      <c r="G30" s="45">
        <f>'Stavební rozpočet'!M342</f>
        <v>0</v>
      </c>
      <c r="H30" s="45" t="s">
        <v>1155</v>
      </c>
      <c r="I30" s="45">
        <f t="shared" si="0"/>
        <v>0</v>
      </c>
    </row>
    <row r="31" spans="1:9" x14ac:dyDescent="0.2">
      <c r="A31" s="63" t="s">
        <v>305</v>
      </c>
      <c r="B31" s="22" t="s">
        <v>481</v>
      </c>
      <c r="C31" s="179" t="s">
        <v>866</v>
      </c>
      <c r="D31" s="156"/>
      <c r="E31" s="45">
        <f>'Stavební rozpočet'!K358</f>
        <v>0</v>
      </c>
      <c r="F31" s="45">
        <f>'Stavební rozpočet'!L358</f>
        <v>0</v>
      </c>
      <c r="G31" s="45">
        <f>'Stavební rozpočet'!M358</f>
        <v>0</v>
      </c>
      <c r="H31" s="45" t="s">
        <v>1155</v>
      </c>
      <c r="I31" s="45">
        <f t="shared" si="0"/>
        <v>0</v>
      </c>
    </row>
    <row r="32" spans="1:9" x14ac:dyDescent="0.2">
      <c r="A32" s="63" t="s">
        <v>305</v>
      </c>
      <c r="B32" s="22" t="s">
        <v>508</v>
      </c>
      <c r="C32" s="179" t="s">
        <v>897</v>
      </c>
      <c r="D32" s="156"/>
      <c r="E32" s="45">
        <f>'Stavební rozpočet'!K406</f>
        <v>0</v>
      </c>
      <c r="F32" s="45">
        <f>'Stavební rozpočet'!L406</f>
        <v>0</v>
      </c>
      <c r="G32" s="45">
        <f>'Stavební rozpočet'!M406</f>
        <v>0</v>
      </c>
      <c r="H32" s="45" t="s">
        <v>1155</v>
      </c>
      <c r="I32" s="45">
        <f t="shared" si="0"/>
        <v>0</v>
      </c>
    </row>
    <row r="33" spans="1:9" x14ac:dyDescent="0.2">
      <c r="A33" s="63" t="s">
        <v>305</v>
      </c>
      <c r="B33" s="22" t="s">
        <v>528</v>
      </c>
      <c r="C33" s="179" t="s">
        <v>922</v>
      </c>
      <c r="D33" s="156"/>
      <c r="E33" s="45">
        <f>'Stavební rozpočet'!K443</f>
        <v>0</v>
      </c>
      <c r="F33" s="45">
        <f>'Stavební rozpočet'!L443</f>
        <v>0</v>
      </c>
      <c r="G33" s="45">
        <f>'Stavební rozpočet'!M443</f>
        <v>0</v>
      </c>
      <c r="H33" s="45" t="s">
        <v>1155</v>
      </c>
      <c r="I33" s="45">
        <f t="shared" si="0"/>
        <v>0</v>
      </c>
    </row>
    <row r="34" spans="1:9" x14ac:dyDescent="0.2">
      <c r="A34" s="63" t="s">
        <v>305</v>
      </c>
      <c r="B34" s="22" t="s">
        <v>537</v>
      </c>
      <c r="C34" s="179" t="s">
        <v>933</v>
      </c>
      <c r="D34" s="156"/>
      <c r="E34" s="45">
        <f>'Stavební rozpočet'!K458</f>
        <v>0</v>
      </c>
      <c r="F34" s="45">
        <f>'Stavební rozpočet'!L458</f>
        <v>0</v>
      </c>
      <c r="G34" s="45">
        <f>'Stavební rozpočet'!M458</f>
        <v>0</v>
      </c>
      <c r="H34" s="45" t="s">
        <v>1155</v>
      </c>
      <c r="I34" s="45">
        <f t="shared" si="0"/>
        <v>0</v>
      </c>
    </row>
    <row r="35" spans="1:9" x14ac:dyDescent="0.2">
      <c r="A35" s="63" t="s">
        <v>305</v>
      </c>
      <c r="B35" s="22" t="s">
        <v>546</v>
      </c>
      <c r="C35" s="179" t="s">
        <v>943</v>
      </c>
      <c r="D35" s="156"/>
      <c r="E35" s="45">
        <f>'Stavební rozpočet'!K472</f>
        <v>0</v>
      </c>
      <c r="F35" s="45">
        <f>'Stavební rozpočet'!L472</f>
        <v>0</v>
      </c>
      <c r="G35" s="45">
        <f>'Stavební rozpočet'!M472</f>
        <v>0</v>
      </c>
      <c r="H35" s="45" t="s">
        <v>1155</v>
      </c>
      <c r="I35" s="45">
        <f t="shared" si="0"/>
        <v>0</v>
      </c>
    </row>
    <row r="36" spans="1:9" x14ac:dyDescent="0.2">
      <c r="A36" s="63" t="s">
        <v>305</v>
      </c>
      <c r="B36" s="22" t="s">
        <v>552</v>
      </c>
      <c r="C36" s="179" t="s">
        <v>950</v>
      </c>
      <c r="D36" s="156"/>
      <c r="E36" s="45">
        <f>'Stavební rozpočet'!K482</f>
        <v>0</v>
      </c>
      <c r="F36" s="45">
        <f>'Stavební rozpočet'!L482</f>
        <v>0</v>
      </c>
      <c r="G36" s="45">
        <f>'Stavební rozpočet'!M482</f>
        <v>0</v>
      </c>
      <c r="H36" s="45" t="s">
        <v>1155</v>
      </c>
      <c r="I36" s="45">
        <f t="shared" si="0"/>
        <v>0</v>
      </c>
    </row>
    <row r="37" spans="1:9" x14ac:dyDescent="0.2">
      <c r="A37" s="63" t="s">
        <v>305</v>
      </c>
      <c r="B37" s="22" t="s">
        <v>557</v>
      </c>
      <c r="C37" s="179" t="s">
        <v>955</v>
      </c>
      <c r="D37" s="156"/>
      <c r="E37" s="45">
        <f>'Stavební rozpočet'!K490</f>
        <v>0</v>
      </c>
      <c r="F37" s="45">
        <f>'Stavební rozpočet'!L490</f>
        <v>0</v>
      </c>
      <c r="G37" s="45">
        <f>'Stavební rozpočet'!M490</f>
        <v>0</v>
      </c>
      <c r="H37" s="45" t="s">
        <v>1155</v>
      </c>
      <c r="I37" s="45">
        <f t="shared" si="0"/>
        <v>0</v>
      </c>
    </row>
    <row r="38" spans="1:9" x14ac:dyDescent="0.2">
      <c r="A38" s="63" t="s">
        <v>305</v>
      </c>
      <c r="B38" s="22" t="s">
        <v>560</v>
      </c>
      <c r="C38" s="179" t="s">
        <v>958</v>
      </c>
      <c r="D38" s="156"/>
      <c r="E38" s="45">
        <f>'Stavební rozpočet'!K494</f>
        <v>0</v>
      </c>
      <c r="F38" s="45">
        <f>'Stavební rozpočet'!L494</f>
        <v>0</v>
      </c>
      <c r="G38" s="45">
        <f>'Stavební rozpočet'!M494</f>
        <v>0</v>
      </c>
      <c r="H38" s="45" t="s">
        <v>1155</v>
      </c>
      <c r="I38" s="45">
        <f t="shared" si="0"/>
        <v>0</v>
      </c>
    </row>
    <row r="39" spans="1:9" x14ac:dyDescent="0.2">
      <c r="A39" s="63" t="s">
        <v>305</v>
      </c>
      <c r="B39" s="22" t="s">
        <v>100</v>
      </c>
      <c r="C39" s="179" t="s">
        <v>962</v>
      </c>
      <c r="D39" s="156"/>
      <c r="E39" s="45">
        <f>'Stavební rozpočet'!K499</f>
        <v>0</v>
      </c>
      <c r="F39" s="45">
        <f>'Stavební rozpočet'!L499</f>
        <v>0</v>
      </c>
      <c r="G39" s="45">
        <f>'Stavební rozpočet'!M499</f>
        <v>0</v>
      </c>
      <c r="H39" s="45" t="s">
        <v>1155</v>
      </c>
      <c r="I39" s="45">
        <f t="shared" si="0"/>
        <v>0</v>
      </c>
    </row>
    <row r="40" spans="1:9" x14ac:dyDescent="0.2">
      <c r="A40" s="63" t="s">
        <v>305</v>
      </c>
      <c r="B40" s="22" t="s">
        <v>101</v>
      </c>
      <c r="C40" s="179" t="s">
        <v>968</v>
      </c>
      <c r="D40" s="156"/>
      <c r="E40" s="45">
        <f>'Stavební rozpočet'!K508</f>
        <v>0</v>
      </c>
      <c r="F40" s="45">
        <f>'Stavební rozpočet'!L508</f>
        <v>0</v>
      </c>
      <c r="G40" s="45">
        <f>'Stavební rozpočet'!M508</f>
        <v>0</v>
      </c>
      <c r="H40" s="45" t="s">
        <v>1155</v>
      </c>
      <c r="I40" s="45">
        <f t="shared" si="0"/>
        <v>0</v>
      </c>
    </row>
    <row r="41" spans="1:9" x14ac:dyDescent="0.2">
      <c r="A41" s="63" t="s">
        <v>305</v>
      </c>
      <c r="B41" s="22" t="s">
        <v>571</v>
      </c>
      <c r="C41" s="179" t="s">
        <v>974</v>
      </c>
      <c r="D41" s="156"/>
      <c r="E41" s="45">
        <f>'Stavební rozpočet'!K515</f>
        <v>0</v>
      </c>
      <c r="F41" s="45">
        <f>'Stavební rozpočet'!L515</f>
        <v>0</v>
      </c>
      <c r="G41" s="45">
        <f>'Stavební rozpočet'!M515</f>
        <v>0</v>
      </c>
      <c r="H41" s="45" t="s">
        <v>1155</v>
      </c>
      <c r="I41" s="45">
        <f t="shared" si="0"/>
        <v>0</v>
      </c>
    </row>
    <row r="42" spans="1:9" x14ac:dyDescent="0.2">
      <c r="A42" s="63" t="s">
        <v>305</v>
      </c>
      <c r="B42" s="22" t="s">
        <v>573</v>
      </c>
      <c r="C42" s="179" t="s">
        <v>976</v>
      </c>
      <c r="D42" s="156"/>
      <c r="E42" s="45">
        <f>'Stavební rozpočet'!K517</f>
        <v>0</v>
      </c>
      <c r="F42" s="45">
        <f>'Stavební rozpočet'!L517</f>
        <v>0</v>
      </c>
      <c r="G42" s="45">
        <f>'Stavební rozpočet'!M517</f>
        <v>0</v>
      </c>
      <c r="H42" s="45" t="s">
        <v>1155</v>
      </c>
      <c r="I42" s="45">
        <f t="shared" si="0"/>
        <v>0</v>
      </c>
    </row>
    <row r="43" spans="1:9" x14ac:dyDescent="0.2">
      <c r="A43" s="63" t="s">
        <v>306</v>
      </c>
      <c r="B43" s="22"/>
      <c r="C43" s="179" t="s">
        <v>981</v>
      </c>
      <c r="D43" s="156"/>
      <c r="E43" s="45">
        <f>'Stavební rozpočet'!K524</f>
        <v>0</v>
      </c>
      <c r="F43" s="45">
        <f>'Stavební rozpočet'!L524</f>
        <v>0</v>
      </c>
      <c r="G43" s="45">
        <f>'Stavební rozpočet'!M524</f>
        <v>0</v>
      </c>
      <c r="H43" s="45" t="s">
        <v>1150</v>
      </c>
      <c r="I43" s="45">
        <f t="shared" ref="I43:I60" si="1">IF(H43="F",0,G43)</f>
        <v>0</v>
      </c>
    </row>
    <row r="44" spans="1:9" x14ac:dyDescent="0.2">
      <c r="A44" s="63" t="s">
        <v>306</v>
      </c>
      <c r="B44" s="22" t="s">
        <v>17</v>
      </c>
      <c r="C44" s="179" t="s">
        <v>982</v>
      </c>
      <c r="D44" s="156"/>
      <c r="E44" s="45">
        <f>'Stavební rozpočet'!K525</f>
        <v>0</v>
      </c>
      <c r="F44" s="45">
        <f>'Stavební rozpočet'!L525</f>
        <v>0</v>
      </c>
      <c r="G44" s="45">
        <f>'Stavební rozpočet'!M525</f>
        <v>0</v>
      </c>
      <c r="H44" s="45" t="s">
        <v>1155</v>
      </c>
      <c r="I44" s="45">
        <f t="shared" si="1"/>
        <v>0</v>
      </c>
    </row>
    <row r="45" spans="1:9" x14ac:dyDescent="0.2">
      <c r="A45" s="63" t="s">
        <v>306</v>
      </c>
      <c r="B45" s="22" t="s">
        <v>19</v>
      </c>
      <c r="C45" s="179" t="s">
        <v>626</v>
      </c>
      <c r="D45" s="156"/>
      <c r="E45" s="45">
        <f>'Stavební rozpočet'!K530</f>
        <v>0</v>
      </c>
      <c r="F45" s="45">
        <f>'Stavební rozpočet'!L530</f>
        <v>0</v>
      </c>
      <c r="G45" s="45">
        <f>'Stavební rozpočet'!M530</f>
        <v>0</v>
      </c>
      <c r="H45" s="45" t="s">
        <v>1155</v>
      </c>
      <c r="I45" s="45">
        <f t="shared" si="1"/>
        <v>0</v>
      </c>
    </row>
    <row r="46" spans="1:9" x14ac:dyDescent="0.2">
      <c r="A46" s="63" t="s">
        <v>306</v>
      </c>
      <c r="B46" s="22" t="s">
        <v>22</v>
      </c>
      <c r="C46" s="179" t="s">
        <v>635</v>
      </c>
      <c r="D46" s="156"/>
      <c r="E46" s="45">
        <f>'Stavební rozpočet'!K533</f>
        <v>0</v>
      </c>
      <c r="F46" s="45">
        <f>'Stavební rozpočet'!L533</f>
        <v>0</v>
      </c>
      <c r="G46" s="45">
        <f>'Stavební rozpočet'!M533</f>
        <v>0</v>
      </c>
      <c r="H46" s="45" t="s">
        <v>1155</v>
      </c>
      <c r="I46" s="45">
        <f t="shared" si="1"/>
        <v>0</v>
      </c>
    </row>
    <row r="47" spans="1:9" x14ac:dyDescent="0.2">
      <c r="A47" s="63" t="s">
        <v>306</v>
      </c>
      <c r="B47" s="22" t="s">
        <v>62</v>
      </c>
      <c r="C47" s="179" t="s">
        <v>986</v>
      </c>
      <c r="D47" s="156"/>
      <c r="E47" s="45">
        <f>'Stavební rozpočet'!K535</f>
        <v>0</v>
      </c>
      <c r="F47" s="45">
        <f>'Stavební rozpočet'!L535</f>
        <v>0</v>
      </c>
      <c r="G47" s="45">
        <f>'Stavební rozpočet'!M535</f>
        <v>0</v>
      </c>
      <c r="H47" s="45" t="s">
        <v>1155</v>
      </c>
      <c r="I47" s="45">
        <f t="shared" si="1"/>
        <v>0</v>
      </c>
    </row>
    <row r="48" spans="1:9" x14ac:dyDescent="0.2">
      <c r="A48" s="63" t="s">
        <v>306</v>
      </c>
      <c r="B48" s="22" t="s">
        <v>65</v>
      </c>
      <c r="C48" s="179" t="s">
        <v>994</v>
      </c>
      <c r="D48" s="156"/>
      <c r="E48" s="45">
        <f>'Stavební rozpočet'!K548</f>
        <v>0</v>
      </c>
      <c r="F48" s="45">
        <f>'Stavební rozpočet'!L548</f>
        <v>0</v>
      </c>
      <c r="G48" s="45">
        <f>'Stavební rozpočet'!M548</f>
        <v>0</v>
      </c>
      <c r="H48" s="45" t="s">
        <v>1155</v>
      </c>
      <c r="I48" s="45">
        <f t="shared" si="1"/>
        <v>0</v>
      </c>
    </row>
    <row r="49" spans="1:9" x14ac:dyDescent="0.2">
      <c r="A49" s="63" t="s">
        <v>306</v>
      </c>
      <c r="B49" s="22" t="s">
        <v>481</v>
      </c>
      <c r="C49" s="179" t="s">
        <v>866</v>
      </c>
      <c r="D49" s="156"/>
      <c r="E49" s="45">
        <f>'Stavební rozpočet'!K562</f>
        <v>0</v>
      </c>
      <c r="F49" s="45">
        <f>'Stavební rozpočet'!L562</f>
        <v>0</v>
      </c>
      <c r="G49" s="45">
        <f>'Stavební rozpočet'!M562</f>
        <v>0</v>
      </c>
      <c r="H49" s="45" t="s">
        <v>1155</v>
      </c>
      <c r="I49" s="45">
        <f t="shared" si="1"/>
        <v>0</v>
      </c>
    </row>
    <row r="50" spans="1:9" x14ac:dyDescent="0.2">
      <c r="A50" s="63" t="s">
        <v>306</v>
      </c>
      <c r="B50" s="22" t="s">
        <v>97</v>
      </c>
      <c r="C50" s="179" t="s">
        <v>1009</v>
      </c>
      <c r="D50" s="156"/>
      <c r="E50" s="45">
        <f>'Stavební rozpočet'!K570</f>
        <v>0</v>
      </c>
      <c r="F50" s="45">
        <f>'Stavební rozpočet'!L570</f>
        <v>0</v>
      </c>
      <c r="G50" s="45">
        <f>'Stavební rozpočet'!M570</f>
        <v>0</v>
      </c>
      <c r="H50" s="45" t="s">
        <v>1155</v>
      </c>
      <c r="I50" s="45">
        <f t="shared" si="1"/>
        <v>0</v>
      </c>
    </row>
    <row r="51" spans="1:9" x14ac:dyDescent="0.2">
      <c r="A51" s="63" t="s">
        <v>306</v>
      </c>
      <c r="B51" s="22" t="s">
        <v>597</v>
      </c>
      <c r="C51" s="179" t="s">
        <v>1012</v>
      </c>
      <c r="D51" s="156"/>
      <c r="E51" s="45">
        <f>'Stavební rozpočet'!K574</f>
        <v>0</v>
      </c>
      <c r="F51" s="45">
        <f>'Stavební rozpočet'!L574</f>
        <v>0</v>
      </c>
      <c r="G51" s="45">
        <f>'Stavební rozpočet'!M574</f>
        <v>0</v>
      </c>
      <c r="H51" s="45" t="s">
        <v>1155</v>
      </c>
      <c r="I51" s="45">
        <f t="shared" si="1"/>
        <v>0</v>
      </c>
    </row>
    <row r="52" spans="1:9" x14ac:dyDescent="0.2">
      <c r="A52" s="63" t="s">
        <v>306</v>
      </c>
      <c r="B52" s="22" t="s">
        <v>599</v>
      </c>
      <c r="C52" s="179" t="s">
        <v>1014</v>
      </c>
      <c r="D52" s="156"/>
      <c r="E52" s="45">
        <f>'Stavební rozpočet'!K576</f>
        <v>0</v>
      </c>
      <c r="F52" s="45">
        <f>'Stavební rozpočet'!L576</f>
        <v>0</v>
      </c>
      <c r="G52" s="45">
        <f>'Stavební rozpočet'!M576</f>
        <v>0</v>
      </c>
      <c r="H52" s="45" t="s">
        <v>1155</v>
      </c>
      <c r="I52" s="45">
        <f t="shared" si="1"/>
        <v>0</v>
      </c>
    </row>
    <row r="53" spans="1:9" x14ac:dyDescent="0.2">
      <c r="A53" s="63" t="s">
        <v>307</v>
      </c>
      <c r="B53" s="22"/>
      <c r="C53" s="179" t="s">
        <v>1019</v>
      </c>
      <c r="D53" s="156"/>
      <c r="E53" s="45">
        <f>'Stavební rozpočet'!K583</f>
        <v>0</v>
      </c>
      <c r="F53" s="45">
        <f>'Stavební rozpočet'!L583</f>
        <v>0</v>
      </c>
      <c r="G53" s="45">
        <f>'Stavební rozpočet'!M583</f>
        <v>0</v>
      </c>
      <c r="H53" s="45" t="s">
        <v>1150</v>
      </c>
      <c r="I53" s="45">
        <f t="shared" si="1"/>
        <v>0</v>
      </c>
    </row>
    <row r="54" spans="1:9" x14ac:dyDescent="0.2">
      <c r="A54" s="63" t="s">
        <v>307</v>
      </c>
      <c r="B54" s="22" t="s">
        <v>19</v>
      </c>
      <c r="C54" s="179" t="s">
        <v>626</v>
      </c>
      <c r="D54" s="156"/>
      <c r="E54" s="45">
        <f>'Stavební rozpočet'!K584</f>
        <v>0</v>
      </c>
      <c r="F54" s="45">
        <f>'Stavební rozpočet'!L584</f>
        <v>0</v>
      </c>
      <c r="G54" s="45">
        <f>'Stavební rozpočet'!M584</f>
        <v>0</v>
      </c>
      <c r="H54" s="45" t="s">
        <v>1155</v>
      </c>
      <c r="I54" s="45">
        <f t="shared" si="1"/>
        <v>0</v>
      </c>
    </row>
    <row r="55" spans="1:9" x14ac:dyDescent="0.2">
      <c r="A55" s="63" t="s">
        <v>307</v>
      </c>
      <c r="B55" s="22" t="s">
        <v>22</v>
      </c>
      <c r="C55" s="179" t="s">
        <v>635</v>
      </c>
      <c r="D55" s="156"/>
      <c r="E55" s="45">
        <f>'Stavební rozpočet'!K587</f>
        <v>0</v>
      </c>
      <c r="F55" s="45">
        <f>'Stavební rozpočet'!L587</f>
        <v>0</v>
      </c>
      <c r="G55" s="45">
        <f>'Stavební rozpočet'!M587</f>
        <v>0</v>
      </c>
      <c r="H55" s="45" t="s">
        <v>1155</v>
      </c>
      <c r="I55" s="45">
        <f t="shared" si="1"/>
        <v>0</v>
      </c>
    </row>
    <row r="56" spans="1:9" x14ac:dyDescent="0.2">
      <c r="A56" s="63" t="s">
        <v>307</v>
      </c>
      <c r="B56" s="22" t="s">
        <v>33</v>
      </c>
      <c r="C56" s="179" t="s">
        <v>645</v>
      </c>
      <c r="D56" s="156"/>
      <c r="E56" s="45">
        <f>'Stavební rozpočet'!K590</f>
        <v>0</v>
      </c>
      <c r="F56" s="45">
        <f>'Stavební rozpočet'!L590</f>
        <v>0</v>
      </c>
      <c r="G56" s="45">
        <f>'Stavební rozpočet'!M590</f>
        <v>0</v>
      </c>
      <c r="H56" s="45" t="s">
        <v>1155</v>
      </c>
      <c r="I56" s="45">
        <f t="shared" si="1"/>
        <v>0</v>
      </c>
    </row>
    <row r="57" spans="1:9" x14ac:dyDescent="0.2">
      <c r="A57" s="63" t="s">
        <v>307</v>
      </c>
      <c r="B57" s="22" t="s">
        <v>37</v>
      </c>
      <c r="C57" s="179" t="s">
        <v>670</v>
      </c>
      <c r="D57" s="156"/>
      <c r="E57" s="45">
        <f>'Stavební rozpočet'!K593</f>
        <v>0</v>
      </c>
      <c r="F57" s="45">
        <f>'Stavební rozpočet'!L593</f>
        <v>0</v>
      </c>
      <c r="G57" s="45">
        <f>'Stavební rozpočet'!M593</f>
        <v>0</v>
      </c>
      <c r="H57" s="45" t="s">
        <v>1155</v>
      </c>
      <c r="I57" s="45">
        <f t="shared" si="1"/>
        <v>0</v>
      </c>
    </row>
    <row r="58" spans="1:9" x14ac:dyDescent="0.2">
      <c r="A58" s="63" t="s">
        <v>307</v>
      </c>
      <c r="B58" s="22" t="s">
        <v>68</v>
      </c>
      <c r="C58" s="179" t="s">
        <v>755</v>
      </c>
      <c r="D58" s="156"/>
      <c r="E58" s="45">
        <f>'Stavební rozpočet'!K604</f>
        <v>0</v>
      </c>
      <c r="F58" s="45">
        <f>'Stavební rozpočet'!L604</f>
        <v>0</v>
      </c>
      <c r="G58" s="45">
        <f>'Stavební rozpočet'!M604</f>
        <v>0</v>
      </c>
      <c r="H58" s="45" t="s">
        <v>1155</v>
      </c>
      <c r="I58" s="45">
        <f t="shared" si="1"/>
        <v>0</v>
      </c>
    </row>
    <row r="59" spans="1:9" x14ac:dyDescent="0.2">
      <c r="A59" s="63" t="s">
        <v>307</v>
      </c>
      <c r="B59" s="22" t="s">
        <v>508</v>
      </c>
      <c r="C59" s="179" t="s">
        <v>897</v>
      </c>
      <c r="D59" s="156"/>
      <c r="E59" s="45">
        <f>'Stavební rozpočet'!K611</f>
        <v>0</v>
      </c>
      <c r="F59" s="45">
        <f>'Stavební rozpočet'!L611</f>
        <v>0</v>
      </c>
      <c r="G59" s="45">
        <f>'Stavební rozpočet'!M611</f>
        <v>0</v>
      </c>
      <c r="H59" s="45" t="s">
        <v>1155</v>
      </c>
      <c r="I59" s="45">
        <f t="shared" si="1"/>
        <v>0</v>
      </c>
    </row>
    <row r="60" spans="1:9" x14ac:dyDescent="0.2">
      <c r="A60" s="63" t="s">
        <v>307</v>
      </c>
      <c r="B60" s="22" t="s">
        <v>612</v>
      </c>
      <c r="C60" s="179" t="s">
        <v>1031</v>
      </c>
      <c r="D60" s="156"/>
      <c r="E60" s="45">
        <f>'Stavební rozpočet'!K621</f>
        <v>0</v>
      </c>
      <c r="F60" s="45">
        <f>'Stavební rozpočet'!L621</f>
        <v>0</v>
      </c>
      <c r="G60" s="45">
        <f>'Stavební rozpočet'!M621</f>
        <v>0</v>
      </c>
      <c r="H60" s="45" t="s">
        <v>1155</v>
      </c>
      <c r="I60" s="45">
        <f t="shared" si="1"/>
        <v>0</v>
      </c>
    </row>
    <row r="61" spans="1:9" x14ac:dyDescent="0.2">
      <c r="F61" s="79" t="s">
        <v>1062</v>
      </c>
      <c r="G61" s="80">
        <f>SUM(I11:I60)</f>
        <v>0</v>
      </c>
    </row>
  </sheetData>
  <mergeCells count="75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9:D59"/>
    <mergeCell ref="C60:D60"/>
    <mergeCell ref="C53:D53"/>
    <mergeCell ref="C54:D54"/>
    <mergeCell ref="C55:D55"/>
    <mergeCell ref="C56:D56"/>
    <mergeCell ref="C57:D57"/>
    <mergeCell ref="C58:D58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D7EE"/>
    <pageSetUpPr fitToPage="1"/>
  </sheetPr>
  <dimension ref="A1:BL625"/>
  <sheetViews>
    <sheetView topLeftCell="D1" workbookViewId="0">
      <pane ySplit="11" topLeftCell="A12" activePane="bottomLeft" state="frozenSplit"/>
      <selection pane="bottomLeft" activeCell="J14" sqref="J14"/>
    </sheetView>
  </sheetViews>
  <sheetFormatPr defaultColWidth="11.5703125" defaultRowHeight="12.75" x14ac:dyDescent="0.2"/>
  <cols>
    <col min="1" max="1" width="3.7109375" customWidth="1"/>
    <col min="2" max="2" width="7.7109375" customWidth="1"/>
    <col min="3" max="3" width="14.28515625" customWidth="1"/>
    <col min="4" max="4" width="1.42578125" customWidth="1"/>
    <col min="5" max="5" width="80" customWidth="1"/>
    <col min="8" max="8" width="6.85546875" customWidth="1"/>
    <col min="9" max="9" width="12.85546875" customWidth="1"/>
    <col min="10" max="10" width="12" customWidth="1"/>
    <col min="11" max="13" width="14.28515625" customWidth="1"/>
    <col min="14" max="14" width="6" customWidth="1"/>
    <col min="15" max="15" width="11.7109375" customWidth="1"/>
    <col min="25" max="64" width="12.140625" hidden="1" customWidth="1"/>
  </cols>
  <sheetData>
    <row r="1" spans="1:64" ht="72.95" customHeight="1" x14ac:dyDescent="0.35">
      <c r="A1" s="233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64" x14ac:dyDescent="0.2">
      <c r="A2" s="187" t="s">
        <v>1</v>
      </c>
      <c r="B2" s="188"/>
      <c r="C2" s="188"/>
      <c r="D2" s="189" t="s">
        <v>614</v>
      </c>
      <c r="E2" s="190"/>
      <c r="F2" s="235" t="s">
        <v>1033</v>
      </c>
      <c r="G2" s="188"/>
      <c r="H2" s="235" t="s">
        <v>1037</v>
      </c>
      <c r="I2" s="188"/>
      <c r="J2" s="192" t="s">
        <v>1051</v>
      </c>
      <c r="K2" s="192" t="s">
        <v>1057</v>
      </c>
      <c r="L2" s="188"/>
      <c r="M2" s="188"/>
      <c r="N2" s="188"/>
      <c r="O2" s="234"/>
      <c r="P2" s="6"/>
    </row>
    <row r="3" spans="1:64" x14ac:dyDescent="0.2">
      <c r="A3" s="182"/>
      <c r="B3" s="156"/>
      <c r="C3" s="156"/>
      <c r="D3" s="191"/>
      <c r="E3" s="191"/>
      <c r="F3" s="156"/>
      <c r="G3" s="156"/>
      <c r="H3" s="156"/>
      <c r="I3" s="156"/>
      <c r="J3" s="156"/>
      <c r="K3" s="156"/>
      <c r="L3" s="156"/>
      <c r="M3" s="156"/>
      <c r="N3" s="156"/>
      <c r="O3" s="184"/>
      <c r="P3" s="6"/>
    </row>
    <row r="4" spans="1:64" x14ac:dyDescent="0.2">
      <c r="A4" s="176" t="s">
        <v>2</v>
      </c>
      <c r="B4" s="156"/>
      <c r="C4" s="156"/>
      <c r="D4" s="155" t="s">
        <v>615</v>
      </c>
      <c r="E4" s="156"/>
      <c r="F4" s="179" t="s">
        <v>1034</v>
      </c>
      <c r="G4" s="156"/>
      <c r="H4" s="179" t="s">
        <v>6</v>
      </c>
      <c r="I4" s="156"/>
      <c r="J4" s="155" t="s">
        <v>1052</v>
      </c>
      <c r="K4" s="155" t="s">
        <v>1058</v>
      </c>
      <c r="L4" s="156"/>
      <c r="M4" s="156"/>
      <c r="N4" s="156"/>
      <c r="O4" s="184"/>
      <c r="P4" s="6"/>
    </row>
    <row r="5" spans="1:64" x14ac:dyDescent="0.2">
      <c r="A5" s="182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84"/>
      <c r="P5" s="6"/>
    </row>
    <row r="6" spans="1:64" x14ac:dyDescent="0.2">
      <c r="A6" s="176" t="s">
        <v>3</v>
      </c>
      <c r="B6" s="156"/>
      <c r="C6" s="156"/>
      <c r="D6" s="155" t="s">
        <v>616</v>
      </c>
      <c r="E6" s="156"/>
      <c r="F6" s="179" t="s">
        <v>1035</v>
      </c>
      <c r="G6" s="156"/>
      <c r="H6" s="179" t="s">
        <v>1038</v>
      </c>
      <c r="I6" s="156"/>
      <c r="J6" s="155" t="s">
        <v>1053</v>
      </c>
      <c r="K6" s="179" t="s">
        <v>1059</v>
      </c>
      <c r="L6" s="156"/>
      <c r="M6" s="156"/>
      <c r="N6" s="156"/>
      <c r="O6" s="184"/>
      <c r="P6" s="6"/>
    </row>
    <row r="7" spans="1:64" x14ac:dyDescent="0.2">
      <c r="A7" s="182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84"/>
      <c r="P7" s="6"/>
    </row>
    <row r="8" spans="1:64" x14ac:dyDescent="0.2">
      <c r="A8" s="176" t="s">
        <v>4</v>
      </c>
      <c r="B8" s="156"/>
      <c r="C8" s="156"/>
      <c r="D8" s="155">
        <v>8036</v>
      </c>
      <c r="E8" s="156"/>
      <c r="F8" s="179" t="s">
        <v>1036</v>
      </c>
      <c r="G8" s="156"/>
      <c r="H8" s="179" t="s">
        <v>1039</v>
      </c>
      <c r="I8" s="156"/>
      <c r="J8" s="155" t="s">
        <v>1054</v>
      </c>
      <c r="K8" s="179" t="s">
        <v>1059</v>
      </c>
      <c r="L8" s="156"/>
      <c r="M8" s="156"/>
      <c r="N8" s="156"/>
      <c r="O8" s="184"/>
      <c r="P8" s="6"/>
    </row>
    <row r="9" spans="1:64" x14ac:dyDescent="0.2">
      <c r="A9" s="230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2"/>
      <c r="P9" s="6"/>
    </row>
    <row r="10" spans="1:64" x14ac:dyDescent="0.2">
      <c r="A10" s="1" t="s">
        <v>5</v>
      </c>
      <c r="B10" s="12" t="s">
        <v>304</v>
      </c>
      <c r="C10" s="12" t="s">
        <v>308</v>
      </c>
      <c r="D10" s="260" t="s">
        <v>617</v>
      </c>
      <c r="E10" s="261"/>
      <c r="F10" s="261"/>
      <c r="G10" s="262"/>
      <c r="H10" s="12" t="s">
        <v>1040</v>
      </c>
      <c r="I10" s="26" t="s">
        <v>1050</v>
      </c>
      <c r="J10" s="30" t="s">
        <v>1055</v>
      </c>
      <c r="K10" s="222" t="s">
        <v>1060</v>
      </c>
      <c r="L10" s="223"/>
      <c r="M10" s="263"/>
      <c r="N10" s="30" t="s">
        <v>1065</v>
      </c>
      <c r="O10" s="35" t="s">
        <v>1066</v>
      </c>
      <c r="P10" s="43"/>
      <c r="BK10" s="44" t="s">
        <v>1145</v>
      </c>
      <c r="BL10" s="49" t="s">
        <v>1148</v>
      </c>
    </row>
    <row r="11" spans="1:64" x14ac:dyDescent="0.2">
      <c r="A11" s="2" t="s">
        <v>6</v>
      </c>
      <c r="B11" s="13" t="s">
        <v>6</v>
      </c>
      <c r="C11" s="13" t="s">
        <v>6</v>
      </c>
      <c r="D11" s="225" t="s">
        <v>618</v>
      </c>
      <c r="E11" s="226"/>
      <c r="F11" s="226"/>
      <c r="G11" s="264"/>
      <c r="H11" s="13" t="s">
        <v>6</v>
      </c>
      <c r="I11" s="13" t="s">
        <v>6</v>
      </c>
      <c r="J11" s="31" t="s">
        <v>1056</v>
      </c>
      <c r="K11" s="32" t="s">
        <v>1061</v>
      </c>
      <c r="L11" s="33" t="s">
        <v>1063</v>
      </c>
      <c r="M11" s="33" t="s">
        <v>1064</v>
      </c>
      <c r="N11" s="34" t="s">
        <v>6</v>
      </c>
      <c r="O11" s="36" t="s">
        <v>1067</v>
      </c>
      <c r="P11" s="43"/>
      <c r="Z11" s="44" t="s">
        <v>1071</v>
      </c>
      <c r="AA11" s="44" t="s">
        <v>1072</v>
      </c>
      <c r="AB11" s="44" t="s">
        <v>1073</v>
      </c>
      <c r="AC11" s="44" t="s">
        <v>1074</v>
      </c>
      <c r="AD11" s="44" t="s">
        <v>1075</v>
      </c>
      <c r="AE11" s="44" t="s">
        <v>1076</v>
      </c>
      <c r="AF11" s="44" t="s">
        <v>1077</v>
      </c>
      <c r="AG11" s="44" t="s">
        <v>1078</v>
      </c>
      <c r="AH11" s="44" t="s">
        <v>1079</v>
      </c>
      <c r="BH11" s="44" t="s">
        <v>1142</v>
      </c>
      <c r="BI11" s="44" t="s">
        <v>1143</v>
      </c>
      <c r="BJ11" s="44" t="s">
        <v>1144</v>
      </c>
    </row>
    <row r="12" spans="1:64" x14ac:dyDescent="0.2">
      <c r="A12" s="3"/>
      <c r="B12" s="14" t="s">
        <v>305</v>
      </c>
      <c r="C12" s="14"/>
      <c r="D12" s="265" t="s">
        <v>614</v>
      </c>
      <c r="E12" s="266"/>
      <c r="F12" s="266"/>
      <c r="G12" s="266"/>
      <c r="H12" s="23" t="s">
        <v>6</v>
      </c>
      <c r="I12" s="23" t="s">
        <v>6</v>
      </c>
      <c r="J12" s="23" t="s">
        <v>6</v>
      </c>
      <c r="K12" s="50">
        <f>K13+K20+K33+K38+K43+K73+K123+K135+K179+K190+K192+K197+K217+K229+K255+K296+K329+K334+K342+K358+K406+K443+K458+K472+K482+K490+K494+K499+K508+K515+K517</f>
        <v>0</v>
      </c>
      <c r="L12" s="50">
        <f>L13+L20+L33+L38+L43+L73+L123+L135+L179+L190+L192+L197+L217+L229+L255+L296+L329+L334+L342+L358+L406+L443+L458+L472+L482+L490+L494+L499+L508+L515+L517</f>
        <v>0</v>
      </c>
      <c r="M12" s="50">
        <f>M13+M20+M33+M38+M43+M73+M123+M135+M179+M190+M192+M197+M217+M229+M255+M296+M329+M334+M342+M358+M406+M443+M458+M472+M482+M490+M494+M499+M508+M515+M517</f>
        <v>0</v>
      </c>
      <c r="N12" s="54">
        <f>IF(M623=0,0,M12/M623)</f>
        <v>0</v>
      </c>
      <c r="O12" s="37"/>
      <c r="P12" s="6"/>
    </row>
    <row r="13" spans="1:64" x14ac:dyDescent="0.2">
      <c r="A13" s="4"/>
      <c r="B13" s="15" t="s">
        <v>305</v>
      </c>
      <c r="C13" s="15" t="s">
        <v>18</v>
      </c>
      <c r="D13" s="237" t="s">
        <v>619</v>
      </c>
      <c r="E13" s="238"/>
      <c r="F13" s="238"/>
      <c r="G13" s="238"/>
      <c r="H13" s="24" t="s">
        <v>6</v>
      </c>
      <c r="I13" s="24" t="s">
        <v>6</v>
      </c>
      <c r="J13" s="24" t="s">
        <v>6</v>
      </c>
      <c r="K13" s="51">
        <f>SUM(K14:K19)</f>
        <v>0</v>
      </c>
      <c r="L13" s="51">
        <f>SUM(L14:L19)</f>
        <v>0</v>
      </c>
      <c r="M13" s="51">
        <f>SUM(M14:M19)</f>
        <v>0</v>
      </c>
      <c r="N13" s="55">
        <f>IF(M623=0,0,M13/M623)</f>
        <v>0</v>
      </c>
      <c r="O13" s="38"/>
      <c r="P13" s="6"/>
      <c r="AI13" s="44" t="s">
        <v>305</v>
      </c>
      <c r="AS13" s="51">
        <f>SUM(AJ14:AJ19)</f>
        <v>0</v>
      </c>
      <c r="AT13" s="51">
        <f>SUM(AK14:AK19)</f>
        <v>0</v>
      </c>
      <c r="AU13" s="51">
        <f>SUM(AL14:AL19)</f>
        <v>0</v>
      </c>
    </row>
    <row r="14" spans="1:64" x14ac:dyDescent="0.2">
      <c r="A14" s="5" t="s">
        <v>7</v>
      </c>
      <c r="B14" s="16" t="s">
        <v>305</v>
      </c>
      <c r="C14" s="16" t="s">
        <v>309</v>
      </c>
      <c r="D14" s="243" t="s">
        <v>620</v>
      </c>
      <c r="E14" s="244"/>
      <c r="F14" s="244"/>
      <c r="G14" s="244"/>
      <c r="H14" s="16" t="s">
        <v>1041</v>
      </c>
      <c r="I14" s="27">
        <v>106.15</v>
      </c>
      <c r="J14" s="149"/>
      <c r="K14" s="27">
        <f>I14*AO14</f>
        <v>0</v>
      </c>
      <c r="L14" s="27">
        <f>I14*AP14</f>
        <v>0</v>
      </c>
      <c r="M14" s="27">
        <f>I14*J14</f>
        <v>0</v>
      </c>
      <c r="N14" s="56">
        <f>IF(M623=0,0,M14/M623)</f>
        <v>0</v>
      </c>
      <c r="O14" s="39" t="s">
        <v>1068</v>
      </c>
      <c r="P14" s="6"/>
      <c r="Z14" s="45">
        <f>IF(AQ14="5",BJ14,0)</f>
        <v>0</v>
      </c>
      <c r="AB14" s="45">
        <f>IF(AQ14="1",BH14,0)</f>
        <v>0</v>
      </c>
      <c r="AC14" s="45">
        <f>IF(AQ14="1",BI14,0)</f>
        <v>0</v>
      </c>
      <c r="AD14" s="45">
        <f>IF(AQ14="7",BH14,0)</f>
        <v>0</v>
      </c>
      <c r="AE14" s="45">
        <f>IF(AQ14="7",BI14,0)</f>
        <v>0</v>
      </c>
      <c r="AF14" s="45">
        <f>IF(AQ14="2",BH14,0)</f>
        <v>0</v>
      </c>
      <c r="AG14" s="45">
        <f>IF(AQ14="2",BI14,0)</f>
        <v>0</v>
      </c>
      <c r="AH14" s="45">
        <f>IF(AQ14="0",BJ14,0)</f>
        <v>0</v>
      </c>
      <c r="AI14" s="44" t="s">
        <v>305</v>
      </c>
      <c r="AJ14" s="27">
        <f>IF(AN14=0,M14,0)</f>
        <v>0</v>
      </c>
      <c r="AK14" s="27">
        <f>IF(AN14=15,M14,0)</f>
        <v>0</v>
      </c>
      <c r="AL14" s="27">
        <f>IF(AN14=21,M14,0)</f>
        <v>0</v>
      </c>
      <c r="AN14" s="45">
        <v>15</v>
      </c>
      <c r="AO14" s="45">
        <f>J14*0</f>
        <v>0</v>
      </c>
      <c r="AP14" s="45">
        <f>J14*(1-0)</f>
        <v>0</v>
      </c>
      <c r="AQ14" s="46" t="s">
        <v>7</v>
      </c>
      <c r="AV14" s="45">
        <f>AW14+AX14</f>
        <v>0</v>
      </c>
      <c r="AW14" s="45">
        <f>I14*AO14</f>
        <v>0</v>
      </c>
      <c r="AX14" s="45">
        <f>I14*AP14</f>
        <v>0</v>
      </c>
      <c r="AY14" s="48" t="s">
        <v>1080</v>
      </c>
      <c r="AZ14" s="48" t="s">
        <v>1118</v>
      </c>
      <c r="BA14" s="44" t="s">
        <v>1139</v>
      </c>
      <c r="BC14" s="45">
        <f>AW14+AX14</f>
        <v>0</v>
      </c>
      <c r="BD14" s="45">
        <f>J14/(100-BE14)*100</f>
        <v>0</v>
      </c>
      <c r="BE14" s="45">
        <v>0</v>
      </c>
      <c r="BF14" s="45">
        <f>14</f>
        <v>14</v>
      </c>
      <c r="BH14" s="27">
        <f>I14*AO14</f>
        <v>0</v>
      </c>
      <c r="BI14" s="27">
        <f>I14*AP14</f>
        <v>0</v>
      </c>
      <c r="BJ14" s="27">
        <f>I14*J14</f>
        <v>0</v>
      </c>
      <c r="BK14" s="27" t="s">
        <v>1146</v>
      </c>
      <c r="BL14" s="45">
        <v>12</v>
      </c>
    </row>
    <row r="15" spans="1:64" x14ac:dyDescent="0.2">
      <c r="A15" s="6"/>
      <c r="C15" s="20" t="s">
        <v>302</v>
      </c>
      <c r="D15" s="248" t="s">
        <v>621</v>
      </c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50"/>
      <c r="P15" s="6"/>
    </row>
    <row r="16" spans="1:64" x14ac:dyDescent="0.2">
      <c r="A16" s="6"/>
      <c r="C16" s="21" t="s">
        <v>310</v>
      </c>
      <c r="D16" s="245" t="s">
        <v>622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6"/>
    </row>
    <row r="17" spans="1:64" x14ac:dyDescent="0.2">
      <c r="A17" s="5" t="s">
        <v>8</v>
      </c>
      <c r="B17" s="16" t="s">
        <v>305</v>
      </c>
      <c r="C17" s="16" t="s">
        <v>311</v>
      </c>
      <c r="D17" s="243" t="s">
        <v>623</v>
      </c>
      <c r="E17" s="244"/>
      <c r="F17" s="244"/>
      <c r="G17" s="244"/>
      <c r="H17" s="16" t="s">
        <v>1041</v>
      </c>
      <c r="I17" s="27">
        <v>41.74</v>
      </c>
      <c r="J17" s="149"/>
      <c r="K17" s="27">
        <f>I17*AO17</f>
        <v>0</v>
      </c>
      <c r="L17" s="27">
        <f>I17*AP17</f>
        <v>0</v>
      </c>
      <c r="M17" s="27">
        <f>I17*J17</f>
        <v>0</v>
      </c>
      <c r="N17" s="56">
        <f>IF(M623=0,0,M17/M623)</f>
        <v>0</v>
      </c>
      <c r="O17" s="39" t="s">
        <v>1068</v>
      </c>
      <c r="P17" s="6"/>
      <c r="Z17" s="45">
        <f>IF(AQ17="5",BJ17,0)</f>
        <v>0</v>
      </c>
      <c r="AB17" s="45">
        <f>IF(AQ17="1",BH17,0)</f>
        <v>0</v>
      </c>
      <c r="AC17" s="45">
        <f>IF(AQ17="1",BI17,0)</f>
        <v>0</v>
      </c>
      <c r="AD17" s="45">
        <f>IF(AQ17="7",BH17,0)</f>
        <v>0</v>
      </c>
      <c r="AE17" s="45">
        <f>IF(AQ17="7",BI17,0)</f>
        <v>0</v>
      </c>
      <c r="AF17" s="45">
        <f>IF(AQ17="2",BH17,0)</f>
        <v>0</v>
      </c>
      <c r="AG17" s="45">
        <f>IF(AQ17="2",BI17,0)</f>
        <v>0</v>
      </c>
      <c r="AH17" s="45">
        <f>IF(AQ17="0",BJ17,0)</f>
        <v>0</v>
      </c>
      <c r="AI17" s="44" t="s">
        <v>305</v>
      </c>
      <c r="AJ17" s="27">
        <f>IF(AN17=0,M17,0)</f>
        <v>0</v>
      </c>
      <c r="AK17" s="27">
        <f>IF(AN17=15,M17,0)</f>
        <v>0</v>
      </c>
      <c r="AL17" s="27">
        <f>IF(AN17=21,M17,0)</f>
        <v>0</v>
      </c>
      <c r="AN17" s="45">
        <v>15</v>
      </c>
      <c r="AO17" s="45">
        <f>J17*0</f>
        <v>0</v>
      </c>
      <c r="AP17" s="45">
        <f>J17*(1-0)</f>
        <v>0</v>
      </c>
      <c r="AQ17" s="46" t="s">
        <v>7</v>
      </c>
      <c r="AV17" s="45">
        <f>AW17+AX17</f>
        <v>0</v>
      </c>
      <c r="AW17" s="45">
        <f>I17*AO17</f>
        <v>0</v>
      </c>
      <c r="AX17" s="45">
        <f>I17*AP17</f>
        <v>0</v>
      </c>
      <c r="AY17" s="48" t="s">
        <v>1080</v>
      </c>
      <c r="AZ17" s="48" t="s">
        <v>1118</v>
      </c>
      <c r="BA17" s="44" t="s">
        <v>1139</v>
      </c>
      <c r="BC17" s="45">
        <f>AW17+AX17</f>
        <v>0</v>
      </c>
      <c r="BD17" s="45">
        <f>J17/(100-BE17)*100</f>
        <v>0</v>
      </c>
      <c r="BE17" s="45">
        <v>0</v>
      </c>
      <c r="BF17" s="45">
        <f>17</f>
        <v>17</v>
      </c>
      <c r="BH17" s="27">
        <f>I17*AO17</f>
        <v>0</v>
      </c>
      <c r="BI17" s="27">
        <f>I17*AP17</f>
        <v>0</v>
      </c>
      <c r="BJ17" s="27">
        <f>I17*J17</f>
        <v>0</v>
      </c>
      <c r="BK17" s="27" t="s">
        <v>1146</v>
      </c>
      <c r="BL17" s="45">
        <v>12</v>
      </c>
    </row>
    <row r="18" spans="1:64" x14ac:dyDescent="0.2">
      <c r="A18" s="6"/>
      <c r="C18" s="21" t="s">
        <v>310</v>
      </c>
      <c r="D18" s="245" t="s">
        <v>624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6"/>
    </row>
    <row r="19" spans="1:64" x14ac:dyDescent="0.2">
      <c r="A19" s="5" t="s">
        <v>9</v>
      </c>
      <c r="B19" s="16" t="s">
        <v>305</v>
      </c>
      <c r="C19" s="16" t="s">
        <v>312</v>
      </c>
      <c r="D19" s="243" t="s">
        <v>625</v>
      </c>
      <c r="E19" s="244"/>
      <c r="F19" s="244"/>
      <c r="G19" s="244"/>
      <c r="H19" s="16" t="s">
        <v>1041</v>
      </c>
      <c r="I19" s="27">
        <v>41.74</v>
      </c>
      <c r="J19" s="149"/>
      <c r="K19" s="27">
        <f>I19*AO19</f>
        <v>0</v>
      </c>
      <c r="L19" s="27">
        <f>I19*AP19</f>
        <v>0</v>
      </c>
      <c r="M19" s="27">
        <f>I19*J19</f>
        <v>0</v>
      </c>
      <c r="N19" s="56">
        <f>IF(M623=0,0,M19/M623)</f>
        <v>0</v>
      </c>
      <c r="O19" s="39" t="s">
        <v>1068</v>
      </c>
      <c r="P19" s="6"/>
      <c r="Z19" s="45">
        <f>IF(AQ19="5",BJ19,0)</f>
        <v>0</v>
      </c>
      <c r="AB19" s="45">
        <f>IF(AQ19="1",BH19,0)</f>
        <v>0</v>
      </c>
      <c r="AC19" s="45">
        <f>IF(AQ19="1",BI19,0)</f>
        <v>0</v>
      </c>
      <c r="AD19" s="45">
        <f>IF(AQ19="7",BH19,0)</f>
        <v>0</v>
      </c>
      <c r="AE19" s="45">
        <f>IF(AQ19="7",BI19,0)</f>
        <v>0</v>
      </c>
      <c r="AF19" s="45">
        <f>IF(AQ19="2",BH19,0)</f>
        <v>0</v>
      </c>
      <c r="AG19" s="45">
        <f>IF(AQ19="2",BI19,0)</f>
        <v>0</v>
      </c>
      <c r="AH19" s="45">
        <f>IF(AQ19="0",BJ19,0)</f>
        <v>0</v>
      </c>
      <c r="AI19" s="44" t="s">
        <v>305</v>
      </c>
      <c r="AJ19" s="27">
        <f>IF(AN19=0,M19,0)</f>
        <v>0</v>
      </c>
      <c r="AK19" s="27">
        <f>IF(AN19=15,M19,0)</f>
        <v>0</v>
      </c>
      <c r="AL19" s="27">
        <f>IF(AN19=21,M19,0)</f>
        <v>0</v>
      </c>
      <c r="AN19" s="45">
        <v>15</v>
      </c>
      <c r="AO19" s="45">
        <f>J19*0</f>
        <v>0</v>
      </c>
      <c r="AP19" s="45">
        <f>J19*(1-0)</f>
        <v>0</v>
      </c>
      <c r="AQ19" s="46" t="s">
        <v>7</v>
      </c>
      <c r="AV19" s="45">
        <f>AW19+AX19</f>
        <v>0</v>
      </c>
      <c r="AW19" s="45">
        <f>I19*AO19</f>
        <v>0</v>
      </c>
      <c r="AX19" s="45">
        <f>I19*AP19</f>
        <v>0</v>
      </c>
      <c r="AY19" s="48" t="s">
        <v>1080</v>
      </c>
      <c r="AZ19" s="48" t="s">
        <v>1118</v>
      </c>
      <c r="BA19" s="44" t="s">
        <v>1139</v>
      </c>
      <c r="BC19" s="45">
        <f>AW19+AX19</f>
        <v>0</v>
      </c>
      <c r="BD19" s="45">
        <f>J19/(100-BE19)*100</f>
        <v>0</v>
      </c>
      <c r="BE19" s="45">
        <v>0</v>
      </c>
      <c r="BF19" s="45">
        <f>19</f>
        <v>19</v>
      </c>
      <c r="BH19" s="27">
        <f>I19*AO19</f>
        <v>0</v>
      </c>
      <c r="BI19" s="27">
        <f>I19*AP19</f>
        <v>0</v>
      </c>
      <c r="BJ19" s="27">
        <f>I19*J19</f>
        <v>0</v>
      </c>
      <c r="BK19" s="27" t="s">
        <v>1146</v>
      </c>
      <c r="BL19" s="45">
        <v>12</v>
      </c>
    </row>
    <row r="20" spans="1:64" x14ac:dyDescent="0.2">
      <c r="A20" s="4"/>
      <c r="B20" s="15" t="s">
        <v>305</v>
      </c>
      <c r="C20" s="15" t="s">
        <v>19</v>
      </c>
      <c r="D20" s="237" t="s">
        <v>626</v>
      </c>
      <c r="E20" s="238"/>
      <c r="F20" s="238"/>
      <c r="G20" s="238"/>
      <c r="H20" s="24" t="s">
        <v>6</v>
      </c>
      <c r="I20" s="24" t="s">
        <v>6</v>
      </c>
      <c r="J20" s="24" t="s">
        <v>6</v>
      </c>
      <c r="K20" s="51">
        <f>SUM(K21:K32)</f>
        <v>0</v>
      </c>
      <c r="L20" s="51">
        <f>SUM(L21:L32)</f>
        <v>0</v>
      </c>
      <c r="M20" s="51">
        <f>SUM(M21:M32)</f>
        <v>0</v>
      </c>
      <c r="N20" s="55">
        <f>IF(M623=0,0,M20/M623)</f>
        <v>0</v>
      </c>
      <c r="O20" s="38"/>
      <c r="P20" s="6"/>
      <c r="AI20" s="44" t="s">
        <v>305</v>
      </c>
      <c r="AS20" s="51">
        <f>SUM(AJ21:AJ32)</f>
        <v>0</v>
      </c>
      <c r="AT20" s="51">
        <f>SUM(AK21:AK32)</f>
        <v>0</v>
      </c>
      <c r="AU20" s="51">
        <f>SUM(AL21:AL32)</f>
        <v>0</v>
      </c>
    </row>
    <row r="21" spans="1:64" x14ac:dyDescent="0.2">
      <c r="A21" s="5" t="s">
        <v>10</v>
      </c>
      <c r="B21" s="16" t="s">
        <v>305</v>
      </c>
      <c r="C21" s="16" t="s">
        <v>313</v>
      </c>
      <c r="D21" s="243" t="s">
        <v>627</v>
      </c>
      <c r="E21" s="244"/>
      <c r="F21" s="244"/>
      <c r="G21" s="244"/>
      <c r="H21" s="16" t="s">
        <v>1041</v>
      </c>
      <c r="I21" s="27">
        <v>344.62</v>
      </c>
      <c r="J21" s="149"/>
      <c r="K21" s="27">
        <f>I21*AO21</f>
        <v>0</v>
      </c>
      <c r="L21" s="27">
        <f>I21*AP21</f>
        <v>0</v>
      </c>
      <c r="M21" s="27">
        <f>I21*J21</f>
        <v>0</v>
      </c>
      <c r="N21" s="56">
        <f>IF(M623=0,0,M21/M623)</f>
        <v>0</v>
      </c>
      <c r="O21" s="39" t="s">
        <v>1068</v>
      </c>
      <c r="P21" s="6"/>
      <c r="Z21" s="45">
        <f>IF(AQ21="5",BJ21,0)</f>
        <v>0</v>
      </c>
      <c r="AB21" s="45">
        <f>IF(AQ21="1",BH21,0)</f>
        <v>0</v>
      </c>
      <c r="AC21" s="45">
        <f>IF(AQ21="1",BI21,0)</f>
        <v>0</v>
      </c>
      <c r="AD21" s="45">
        <f>IF(AQ21="7",BH21,0)</f>
        <v>0</v>
      </c>
      <c r="AE21" s="45">
        <f>IF(AQ21="7",BI21,0)</f>
        <v>0</v>
      </c>
      <c r="AF21" s="45">
        <f>IF(AQ21="2",BH21,0)</f>
        <v>0</v>
      </c>
      <c r="AG21" s="45">
        <f>IF(AQ21="2",BI21,0)</f>
        <v>0</v>
      </c>
      <c r="AH21" s="45">
        <f>IF(AQ21="0",BJ21,0)</f>
        <v>0</v>
      </c>
      <c r="AI21" s="44" t="s">
        <v>305</v>
      </c>
      <c r="AJ21" s="27">
        <f>IF(AN21=0,M21,0)</f>
        <v>0</v>
      </c>
      <c r="AK21" s="27">
        <f>IF(AN21=15,M21,0)</f>
        <v>0</v>
      </c>
      <c r="AL21" s="27">
        <f>IF(AN21=21,M21,0)</f>
        <v>0</v>
      </c>
      <c r="AN21" s="45">
        <v>15</v>
      </c>
      <c r="AO21" s="45">
        <f>J21*0</f>
        <v>0</v>
      </c>
      <c r="AP21" s="45">
        <f>J21*(1-0)</f>
        <v>0</v>
      </c>
      <c r="AQ21" s="46" t="s">
        <v>7</v>
      </c>
      <c r="AV21" s="45">
        <f>AW21+AX21</f>
        <v>0</v>
      </c>
      <c r="AW21" s="45">
        <f>I21*AO21</f>
        <v>0</v>
      </c>
      <c r="AX21" s="45">
        <f>I21*AP21</f>
        <v>0</v>
      </c>
      <c r="AY21" s="48" t="s">
        <v>1081</v>
      </c>
      <c r="AZ21" s="48" t="s">
        <v>1118</v>
      </c>
      <c r="BA21" s="44" t="s">
        <v>1139</v>
      </c>
      <c r="BC21" s="45">
        <f>AW21+AX21</f>
        <v>0</v>
      </c>
      <c r="BD21" s="45">
        <f>J21/(100-BE21)*100</f>
        <v>0</v>
      </c>
      <c r="BE21" s="45">
        <v>0</v>
      </c>
      <c r="BF21" s="45">
        <f>21</f>
        <v>21</v>
      </c>
      <c r="BH21" s="27">
        <f>I21*AO21</f>
        <v>0</v>
      </c>
      <c r="BI21" s="27">
        <f>I21*AP21</f>
        <v>0</v>
      </c>
      <c r="BJ21" s="27">
        <f>I21*J21</f>
        <v>0</v>
      </c>
      <c r="BK21" s="27" t="s">
        <v>1146</v>
      </c>
      <c r="BL21" s="45">
        <v>13</v>
      </c>
    </row>
    <row r="22" spans="1:64" x14ac:dyDescent="0.2">
      <c r="A22" s="6"/>
      <c r="C22" s="21" t="s">
        <v>310</v>
      </c>
      <c r="D22" s="245" t="s">
        <v>624</v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6"/>
    </row>
    <row r="23" spans="1:64" x14ac:dyDescent="0.2">
      <c r="A23" s="5" t="s">
        <v>11</v>
      </c>
      <c r="B23" s="16" t="s">
        <v>305</v>
      </c>
      <c r="C23" s="16" t="s">
        <v>314</v>
      </c>
      <c r="D23" s="243" t="s">
        <v>628</v>
      </c>
      <c r="E23" s="244"/>
      <c r="F23" s="244"/>
      <c r="G23" s="244"/>
      <c r="H23" s="16" t="s">
        <v>1041</v>
      </c>
      <c r="I23" s="27">
        <v>344.62</v>
      </c>
      <c r="J23" s="149"/>
      <c r="K23" s="27">
        <f>I23*AO23</f>
        <v>0</v>
      </c>
      <c r="L23" s="27">
        <f>I23*AP23</f>
        <v>0</v>
      </c>
      <c r="M23" s="27">
        <f>I23*J23</f>
        <v>0</v>
      </c>
      <c r="N23" s="56">
        <f>IF(M623=0,0,M23/M623)</f>
        <v>0</v>
      </c>
      <c r="O23" s="39" t="s">
        <v>1068</v>
      </c>
      <c r="P23" s="6"/>
      <c r="Z23" s="45">
        <f>IF(AQ23="5",BJ23,0)</f>
        <v>0</v>
      </c>
      <c r="AB23" s="45">
        <f>IF(AQ23="1",BH23,0)</f>
        <v>0</v>
      </c>
      <c r="AC23" s="45">
        <f>IF(AQ23="1",BI23,0)</f>
        <v>0</v>
      </c>
      <c r="AD23" s="45">
        <f>IF(AQ23="7",BH23,0)</f>
        <v>0</v>
      </c>
      <c r="AE23" s="45">
        <f>IF(AQ23="7",BI23,0)</f>
        <v>0</v>
      </c>
      <c r="AF23" s="45">
        <f>IF(AQ23="2",BH23,0)</f>
        <v>0</v>
      </c>
      <c r="AG23" s="45">
        <f>IF(AQ23="2",BI23,0)</f>
        <v>0</v>
      </c>
      <c r="AH23" s="45">
        <f>IF(AQ23="0",BJ23,0)</f>
        <v>0</v>
      </c>
      <c r="AI23" s="44" t="s">
        <v>305</v>
      </c>
      <c r="AJ23" s="27">
        <f>IF(AN23=0,M23,0)</f>
        <v>0</v>
      </c>
      <c r="AK23" s="27">
        <f>IF(AN23=15,M23,0)</f>
        <v>0</v>
      </c>
      <c r="AL23" s="27">
        <f>IF(AN23=21,M23,0)</f>
        <v>0</v>
      </c>
      <c r="AN23" s="45">
        <v>15</v>
      </c>
      <c r="AO23" s="45">
        <f>J23*0</f>
        <v>0</v>
      </c>
      <c r="AP23" s="45">
        <f>J23*(1-0)</f>
        <v>0</v>
      </c>
      <c r="AQ23" s="46" t="s">
        <v>7</v>
      </c>
      <c r="AV23" s="45">
        <f>AW23+AX23</f>
        <v>0</v>
      </c>
      <c r="AW23" s="45">
        <f>I23*AO23</f>
        <v>0</v>
      </c>
      <c r="AX23" s="45">
        <f>I23*AP23</f>
        <v>0</v>
      </c>
      <c r="AY23" s="48" t="s">
        <v>1081</v>
      </c>
      <c r="AZ23" s="48" t="s">
        <v>1118</v>
      </c>
      <c r="BA23" s="44" t="s">
        <v>1139</v>
      </c>
      <c r="BC23" s="45">
        <f>AW23+AX23</f>
        <v>0</v>
      </c>
      <c r="BD23" s="45">
        <f>J23/(100-BE23)*100</f>
        <v>0</v>
      </c>
      <c r="BE23" s="45">
        <v>0</v>
      </c>
      <c r="BF23" s="45">
        <f>23</f>
        <v>23</v>
      </c>
      <c r="BH23" s="27">
        <f>I23*AO23</f>
        <v>0</v>
      </c>
      <c r="BI23" s="27">
        <f>I23*AP23</f>
        <v>0</v>
      </c>
      <c r="BJ23" s="27">
        <f>I23*J23</f>
        <v>0</v>
      </c>
      <c r="BK23" s="27" t="s">
        <v>1146</v>
      </c>
      <c r="BL23" s="45">
        <v>13</v>
      </c>
    </row>
    <row r="24" spans="1:64" x14ac:dyDescent="0.2">
      <c r="A24" s="5" t="s">
        <v>12</v>
      </c>
      <c r="B24" s="16" t="s">
        <v>305</v>
      </c>
      <c r="C24" s="16" t="s">
        <v>315</v>
      </c>
      <c r="D24" s="243" t="s">
        <v>629</v>
      </c>
      <c r="E24" s="244"/>
      <c r="F24" s="244"/>
      <c r="G24" s="244"/>
      <c r="H24" s="16" t="s">
        <v>1041</v>
      </c>
      <c r="I24" s="27">
        <v>13.04</v>
      </c>
      <c r="J24" s="149"/>
      <c r="K24" s="27">
        <f>I24*AO24</f>
        <v>0</v>
      </c>
      <c r="L24" s="27">
        <f>I24*AP24</f>
        <v>0</v>
      </c>
      <c r="M24" s="27">
        <f>I24*J24</f>
        <v>0</v>
      </c>
      <c r="N24" s="56">
        <f>IF(M623=0,0,M24/M623)</f>
        <v>0</v>
      </c>
      <c r="O24" s="39" t="s">
        <v>1068</v>
      </c>
      <c r="P24" s="6"/>
      <c r="Z24" s="45">
        <f>IF(AQ24="5",BJ24,0)</f>
        <v>0</v>
      </c>
      <c r="AB24" s="45">
        <f>IF(AQ24="1",BH24,0)</f>
        <v>0</v>
      </c>
      <c r="AC24" s="45">
        <f>IF(AQ24="1",BI24,0)</f>
        <v>0</v>
      </c>
      <c r="AD24" s="45">
        <f>IF(AQ24="7",BH24,0)</f>
        <v>0</v>
      </c>
      <c r="AE24" s="45">
        <f>IF(AQ24="7",BI24,0)</f>
        <v>0</v>
      </c>
      <c r="AF24" s="45">
        <f>IF(AQ24="2",BH24,0)</f>
        <v>0</v>
      </c>
      <c r="AG24" s="45">
        <f>IF(AQ24="2",BI24,0)</f>
        <v>0</v>
      </c>
      <c r="AH24" s="45">
        <f>IF(AQ24="0",BJ24,0)</f>
        <v>0</v>
      </c>
      <c r="AI24" s="44" t="s">
        <v>305</v>
      </c>
      <c r="AJ24" s="27">
        <f>IF(AN24=0,M24,0)</f>
        <v>0</v>
      </c>
      <c r="AK24" s="27">
        <f>IF(AN24=15,M24,0)</f>
        <v>0</v>
      </c>
      <c r="AL24" s="27">
        <f>IF(AN24=21,M24,0)</f>
        <v>0</v>
      </c>
      <c r="AN24" s="45">
        <v>15</v>
      </c>
      <c r="AO24" s="45">
        <f>J24*0</f>
        <v>0</v>
      </c>
      <c r="AP24" s="45">
        <f>J24*(1-0)</f>
        <v>0</v>
      </c>
      <c r="AQ24" s="46" t="s">
        <v>7</v>
      </c>
      <c r="AV24" s="45">
        <f>AW24+AX24</f>
        <v>0</v>
      </c>
      <c r="AW24" s="45">
        <f>I24*AO24</f>
        <v>0</v>
      </c>
      <c r="AX24" s="45">
        <f>I24*AP24</f>
        <v>0</v>
      </c>
      <c r="AY24" s="48" t="s">
        <v>1081</v>
      </c>
      <c r="AZ24" s="48" t="s">
        <v>1118</v>
      </c>
      <c r="BA24" s="44" t="s">
        <v>1139</v>
      </c>
      <c r="BC24" s="45">
        <f>AW24+AX24</f>
        <v>0</v>
      </c>
      <c r="BD24" s="45">
        <f>J24/(100-BE24)*100</f>
        <v>0</v>
      </c>
      <c r="BE24" s="45">
        <v>0</v>
      </c>
      <c r="BF24" s="45">
        <f>24</f>
        <v>24</v>
      </c>
      <c r="BH24" s="27">
        <f>I24*AO24</f>
        <v>0</v>
      </c>
      <c r="BI24" s="27">
        <f>I24*AP24</f>
        <v>0</v>
      </c>
      <c r="BJ24" s="27">
        <f>I24*J24</f>
        <v>0</v>
      </c>
      <c r="BK24" s="27" t="s">
        <v>1146</v>
      </c>
      <c r="BL24" s="45">
        <v>13</v>
      </c>
    </row>
    <row r="25" spans="1:64" x14ac:dyDescent="0.2">
      <c r="A25" s="6"/>
      <c r="C25" s="21" t="s">
        <v>310</v>
      </c>
      <c r="D25" s="245" t="s">
        <v>624</v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7"/>
      <c r="P25" s="6"/>
    </row>
    <row r="26" spans="1:64" x14ac:dyDescent="0.2">
      <c r="A26" s="5" t="s">
        <v>13</v>
      </c>
      <c r="B26" s="16" t="s">
        <v>305</v>
      </c>
      <c r="C26" s="16" t="s">
        <v>316</v>
      </c>
      <c r="D26" s="243" t="s">
        <v>630</v>
      </c>
      <c r="E26" s="244"/>
      <c r="F26" s="244"/>
      <c r="G26" s="244"/>
      <c r="H26" s="16" t="s">
        <v>1041</v>
      </c>
      <c r="I26" s="27">
        <v>13.04</v>
      </c>
      <c r="J26" s="149"/>
      <c r="K26" s="27">
        <f>I26*AO26</f>
        <v>0</v>
      </c>
      <c r="L26" s="27">
        <f>I26*AP26</f>
        <v>0</v>
      </c>
      <c r="M26" s="27">
        <f>I26*J26</f>
        <v>0</v>
      </c>
      <c r="N26" s="56">
        <f>IF(M623=0,0,M26/M623)</f>
        <v>0</v>
      </c>
      <c r="O26" s="39" t="s">
        <v>1068</v>
      </c>
      <c r="P26" s="6"/>
      <c r="Z26" s="45">
        <f>IF(AQ26="5",BJ26,0)</f>
        <v>0</v>
      </c>
      <c r="AB26" s="45">
        <f>IF(AQ26="1",BH26,0)</f>
        <v>0</v>
      </c>
      <c r="AC26" s="45">
        <f>IF(AQ26="1",BI26,0)</f>
        <v>0</v>
      </c>
      <c r="AD26" s="45">
        <f>IF(AQ26="7",BH26,0)</f>
        <v>0</v>
      </c>
      <c r="AE26" s="45">
        <f>IF(AQ26="7",BI26,0)</f>
        <v>0</v>
      </c>
      <c r="AF26" s="45">
        <f>IF(AQ26="2",BH26,0)</f>
        <v>0</v>
      </c>
      <c r="AG26" s="45">
        <f>IF(AQ26="2",BI26,0)</f>
        <v>0</v>
      </c>
      <c r="AH26" s="45">
        <f>IF(AQ26="0",BJ26,0)</f>
        <v>0</v>
      </c>
      <c r="AI26" s="44" t="s">
        <v>305</v>
      </c>
      <c r="AJ26" s="27">
        <f>IF(AN26=0,M26,0)</f>
        <v>0</v>
      </c>
      <c r="AK26" s="27">
        <f>IF(AN26=15,M26,0)</f>
        <v>0</v>
      </c>
      <c r="AL26" s="27">
        <f>IF(AN26=21,M26,0)</f>
        <v>0</v>
      </c>
      <c r="AN26" s="45">
        <v>15</v>
      </c>
      <c r="AO26" s="45">
        <f>J26*0</f>
        <v>0</v>
      </c>
      <c r="AP26" s="45">
        <f>J26*(1-0)</f>
        <v>0</v>
      </c>
      <c r="AQ26" s="46" t="s">
        <v>7</v>
      </c>
      <c r="AV26" s="45">
        <f>AW26+AX26</f>
        <v>0</v>
      </c>
      <c r="AW26" s="45">
        <f>I26*AO26</f>
        <v>0</v>
      </c>
      <c r="AX26" s="45">
        <f>I26*AP26</f>
        <v>0</v>
      </c>
      <c r="AY26" s="48" t="s">
        <v>1081</v>
      </c>
      <c r="AZ26" s="48" t="s">
        <v>1118</v>
      </c>
      <c r="BA26" s="44" t="s">
        <v>1139</v>
      </c>
      <c r="BC26" s="45">
        <f>AW26+AX26</f>
        <v>0</v>
      </c>
      <c r="BD26" s="45">
        <f>J26/(100-BE26)*100</f>
        <v>0</v>
      </c>
      <c r="BE26" s="45">
        <v>0</v>
      </c>
      <c r="BF26" s="45">
        <f>26</f>
        <v>26</v>
      </c>
      <c r="BH26" s="27">
        <f>I26*AO26</f>
        <v>0</v>
      </c>
      <c r="BI26" s="27">
        <f>I26*AP26</f>
        <v>0</v>
      </c>
      <c r="BJ26" s="27">
        <f>I26*J26</f>
        <v>0</v>
      </c>
      <c r="BK26" s="27" t="s">
        <v>1146</v>
      </c>
      <c r="BL26" s="45">
        <v>13</v>
      </c>
    </row>
    <row r="27" spans="1:64" x14ac:dyDescent="0.2">
      <c r="A27" s="5" t="s">
        <v>14</v>
      </c>
      <c r="B27" s="16" t="s">
        <v>305</v>
      </c>
      <c r="C27" s="16" t="s">
        <v>317</v>
      </c>
      <c r="D27" s="243" t="s">
        <v>631</v>
      </c>
      <c r="E27" s="244"/>
      <c r="F27" s="244"/>
      <c r="G27" s="244"/>
      <c r="H27" s="16" t="s">
        <v>1041</v>
      </c>
      <c r="I27" s="27">
        <v>21.38</v>
      </c>
      <c r="J27" s="149"/>
      <c r="K27" s="27">
        <f>I27*AO27</f>
        <v>0</v>
      </c>
      <c r="L27" s="27">
        <f>I27*AP27</f>
        <v>0</v>
      </c>
      <c r="M27" s="27">
        <f>I27*J27</f>
        <v>0</v>
      </c>
      <c r="N27" s="56">
        <f>IF(M623=0,0,M27/M623)</f>
        <v>0</v>
      </c>
      <c r="O27" s="39" t="s">
        <v>1068</v>
      </c>
      <c r="P27" s="6"/>
      <c r="Z27" s="45">
        <f>IF(AQ27="5",BJ27,0)</f>
        <v>0</v>
      </c>
      <c r="AB27" s="45">
        <f>IF(AQ27="1",BH27,0)</f>
        <v>0</v>
      </c>
      <c r="AC27" s="45">
        <f>IF(AQ27="1",BI27,0)</f>
        <v>0</v>
      </c>
      <c r="AD27" s="45">
        <f>IF(AQ27="7",BH27,0)</f>
        <v>0</v>
      </c>
      <c r="AE27" s="45">
        <f>IF(AQ27="7",BI27,0)</f>
        <v>0</v>
      </c>
      <c r="AF27" s="45">
        <f>IF(AQ27="2",BH27,0)</f>
        <v>0</v>
      </c>
      <c r="AG27" s="45">
        <f>IF(AQ27="2",BI27,0)</f>
        <v>0</v>
      </c>
      <c r="AH27" s="45">
        <f>IF(AQ27="0",BJ27,0)</f>
        <v>0</v>
      </c>
      <c r="AI27" s="44" t="s">
        <v>305</v>
      </c>
      <c r="AJ27" s="27">
        <f>IF(AN27=0,M27,0)</f>
        <v>0</v>
      </c>
      <c r="AK27" s="27">
        <f>IF(AN27=15,M27,0)</f>
        <v>0</v>
      </c>
      <c r="AL27" s="27">
        <f>IF(AN27=21,M27,0)</f>
        <v>0</v>
      </c>
      <c r="AN27" s="45">
        <v>15</v>
      </c>
      <c r="AO27" s="45">
        <f>J27*0</f>
        <v>0</v>
      </c>
      <c r="AP27" s="45">
        <f>J27*(1-0)</f>
        <v>0</v>
      </c>
      <c r="AQ27" s="46" t="s">
        <v>7</v>
      </c>
      <c r="AV27" s="45">
        <f>AW27+AX27</f>
        <v>0</v>
      </c>
      <c r="AW27" s="45">
        <f>I27*AO27</f>
        <v>0</v>
      </c>
      <c r="AX27" s="45">
        <f>I27*AP27</f>
        <v>0</v>
      </c>
      <c r="AY27" s="48" t="s">
        <v>1081</v>
      </c>
      <c r="AZ27" s="48" t="s">
        <v>1118</v>
      </c>
      <c r="BA27" s="44" t="s">
        <v>1139</v>
      </c>
      <c r="BC27" s="45">
        <f>AW27+AX27</f>
        <v>0</v>
      </c>
      <c r="BD27" s="45">
        <f>J27/(100-BE27)*100</f>
        <v>0</v>
      </c>
      <c r="BE27" s="45">
        <v>0</v>
      </c>
      <c r="BF27" s="45">
        <f>27</f>
        <v>27</v>
      </c>
      <c r="BH27" s="27">
        <f>I27*AO27</f>
        <v>0</v>
      </c>
      <c r="BI27" s="27">
        <f>I27*AP27</f>
        <v>0</v>
      </c>
      <c r="BJ27" s="27">
        <f>I27*J27</f>
        <v>0</v>
      </c>
      <c r="BK27" s="27" t="s">
        <v>1146</v>
      </c>
      <c r="BL27" s="45">
        <v>13</v>
      </c>
    </row>
    <row r="28" spans="1:64" x14ac:dyDescent="0.2">
      <c r="A28" s="6"/>
      <c r="C28" s="21" t="s">
        <v>310</v>
      </c>
      <c r="D28" s="245" t="s">
        <v>624</v>
      </c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7"/>
      <c r="P28" s="6"/>
    </row>
    <row r="29" spans="1:64" x14ac:dyDescent="0.2">
      <c r="A29" s="5" t="s">
        <v>15</v>
      </c>
      <c r="B29" s="16" t="s">
        <v>305</v>
      </c>
      <c r="C29" s="16" t="s">
        <v>318</v>
      </c>
      <c r="D29" s="243" t="s">
        <v>632</v>
      </c>
      <c r="E29" s="244"/>
      <c r="F29" s="244"/>
      <c r="G29" s="244"/>
      <c r="H29" s="16" t="s">
        <v>1041</v>
      </c>
      <c r="I29" s="27">
        <v>21.38</v>
      </c>
      <c r="J29" s="149"/>
      <c r="K29" s="27">
        <f>I29*AO29</f>
        <v>0</v>
      </c>
      <c r="L29" s="27">
        <f>I29*AP29</f>
        <v>0</v>
      </c>
      <c r="M29" s="27">
        <f>I29*J29</f>
        <v>0</v>
      </c>
      <c r="N29" s="56">
        <f>IF(M623=0,0,M29/M623)</f>
        <v>0</v>
      </c>
      <c r="O29" s="39" t="s">
        <v>1068</v>
      </c>
      <c r="P29" s="6"/>
      <c r="Z29" s="45">
        <f>IF(AQ29="5",BJ29,0)</f>
        <v>0</v>
      </c>
      <c r="AB29" s="45">
        <f>IF(AQ29="1",BH29,0)</f>
        <v>0</v>
      </c>
      <c r="AC29" s="45">
        <f>IF(AQ29="1",BI29,0)</f>
        <v>0</v>
      </c>
      <c r="AD29" s="45">
        <f>IF(AQ29="7",BH29,0)</f>
        <v>0</v>
      </c>
      <c r="AE29" s="45">
        <f>IF(AQ29="7",BI29,0)</f>
        <v>0</v>
      </c>
      <c r="AF29" s="45">
        <f>IF(AQ29="2",BH29,0)</f>
        <v>0</v>
      </c>
      <c r="AG29" s="45">
        <f>IF(AQ29="2",BI29,0)</f>
        <v>0</v>
      </c>
      <c r="AH29" s="45">
        <f>IF(AQ29="0",BJ29,0)</f>
        <v>0</v>
      </c>
      <c r="AI29" s="44" t="s">
        <v>305</v>
      </c>
      <c r="AJ29" s="27">
        <f>IF(AN29=0,M29,0)</f>
        <v>0</v>
      </c>
      <c r="AK29" s="27">
        <f>IF(AN29=15,M29,0)</f>
        <v>0</v>
      </c>
      <c r="AL29" s="27">
        <f>IF(AN29=21,M29,0)</f>
        <v>0</v>
      </c>
      <c r="AN29" s="45">
        <v>15</v>
      </c>
      <c r="AO29" s="45">
        <f>J29*0</f>
        <v>0</v>
      </c>
      <c r="AP29" s="45">
        <f>J29*(1-0)</f>
        <v>0</v>
      </c>
      <c r="AQ29" s="46" t="s">
        <v>7</v>
      </c>
      <c r="AV29" s="45">
        <f>AW29+AX29</f>
        <v>0</v>
      </c>
      <c r="AW29" s="45">
        <f>I29*AO29</f>
        <v>0</v>
      </c>
      <c r="AX29" s="45">
        <f>I29*AP29</f>
        <v>0</v>
      </c>
      <c r="AY29" s="48" t="s">
        <v>1081</v>
      </c>
      <c r="AZ29" s="48" t="s">
        <v>1118</v>
      </c>
      <c r="BA29" s="44" t="s">
        <v>1139</v>
      </c>
      <c r="BC29" s="45">
        <f>AW29+AX29</f>
        <v>0</v>
      </c>
      <c r="BD29" s="45">
        <f>J29/(100-BE29)*100</f>
        <v>0</v>
      </c>
      <c r="BE29" s="45">
        <v>0</v>
      </c>
      <c r="BF29" s="45">
        <f>29</f>
        <v>29</v>
      </c>
      <c r="BH29" s="27">
        <f>I29*AO29</f>
        <v>0</v>
      </c>
      <c r="BI29" s="27">
        <f>I29*AP29</f>
        <v>0</v>
      </c>
      <c r="BJ29" s="27">
        <f>I29*J29</f>
        <v>0</v>
      </c>
      <c r="BK29" s="27" t="s">
        <v>1146</v>
      </c>
      <c r="BL29" s="45">
        <v>13</v>
      </c>
    </row>
    <row r="30" spans="1:64" x14ac:dyDescent="0.2">
      <c r="A30" s="5" t="s">
        <v>16</v>
      </c>
      <c r="B30" s="16" t="s">
        <v>305</v>
      </c>
      <c r="C30" s="16" t="s">
        <v>319</v>
      </c>
      <c r="D30" s="243" t="s">
        <v>633</v>
      </c>
      <c r="E30" s="244"/>
      <c r="F30" s="244"/>
      <c r="G30" s="244"/>
      <c r="H30" s="16" t="s">
        <v>1041</v>
      </c>
      <c r="I30" s="27">
        <v>1.24</v>
      </c>
      <c r="J30" s="149"/>
      <c r="K30" s="27">
        <f>I30*AO30</f>
        <v>0</v>
      </c>
      <c r="L30" s="27">
        <f>I30*AP30</f>
        <v>0</v>
      </c>
      <c r="M30" s="27">
        <f>I30*J30</f>
        <v>0</v>
      </c>
      <c r="N30" s="56">
        <f>IF(M623=0,0,M30/M623)</f>
        <v>0</v>
      </c>
      <c r="O30" s="39" t="s">
        <v>1068</v>
      </c>
      <c r="P30" s="6"/>
      <c r="Z30" s="45">
        <f>IF(AQ30="5",BJ30,0)</f>
        <v>0</v>
      </c>
      <c r="AB30" s="45">
        <f>IF(AQ30="1",BH30,0)</f>
        <v>0</v>
      </c>
      <c r="AC30" s="45">
        <f>IF(AQ30="1",BI30,0)</f>
        <v>0</v>
      </c>
      <c r="AD30" s="45">
        <f>IF(AQ30="7",BH30,0)</f>
        <v>0</v>
      </c>
      <c r="AE30" s="45">
        <f>IF(AQ30="7",BI30,0)</f>
        <v>0</v>
      </c>
      <c r="AF30" s="45">
        <f>IF(AQ30="2",BH30,0)</f>
        <v>0</v>
      </c>
      <c r="AG30" s="45">
        <f>IF(AQ30="2",BI30,0)</f>
        <v>0</v>
      </c>
      <c r="AH30" s="45">
        <f>IF(AQ30="0",BJ30,0)</f>
        <v>0</v>
      </c>
      <c r="AI30" s="44" t="s">
        <v>305</v>
      </c>
      <c r="AJ30" s="27">
        <f>IF(AN30=0,M30,0)</f>
        <v>0</v>
      </c>
      <c r="AK30" s="27">
        <f>IF(AN30=15,M30,0)</f>
        <v>0</v>
      </c>
      <c r="AL30" s="27">
        <f>IF(AN30=21,M30,0)</f>
        <v>0</v>
      </c>
      <c r="AN30" s="45">
        <v>15</v>
      </c>
      <c r="AO30" s="45">
        <f>J30*0</f>
        <v>0</v>
      </c>
      <c r="AP30" s="45">
        <f>J30*(1-0)</f>
        <v>0</v>
      </c>
      <c r="AQ30" s="46" t="s">
        <v>7</v>
      </c>
      <c r="AV30" s="45">
        <f>AW30+AX30</f>
        <v>0</v>
      </c>
      <c r="AW30" s="45">
        <f>I30*AO30</f>
        <v>0</v>
      </c>
      <c r="AX30" s="45">
        <f>I30*AP30</f>
        <v>0</v>
      </c>
      <c r="AY30" s="48" t="s">
        <v>1081</v>
      </c>
      <c r="AZ30" s="48" t="s">
        <v>1118</v>
      </c>
      <c r="BA30" s="44" t="s">
        <v>1139</v>
      </c>
      <c r="BC30" s="45">
        <f>AW30+AX30</f>
        <v>0</v>
      </c>
      <c r="BD30" s="45">
        <f>J30/(100-BE30)*100</f>
        <v>0</v>
      </c>
      <c r="BE30" s="45">
        <v>0</v>
      </c>
      <c r="BF30" s="45">
        <f>30</f>
        <v>30</v>
      </c>
      <c r="BH30" s="27">
        <f>I30*AO30</f>
        <v>0</v>
      </c>
      <c r="BI30" s="27">
        <f>I30*AP30</f>
        <v>0</v>
      </c>
      <c r="BJ30" s="27">
        <f>I30*J30</f>
        <v>0</v>
      </c>
      <c r="BK30" s="27" t="s">
        <v>1146</v>
      </c>
      <c r="BL30" s="45">
        <v>13</v>
      </c>
    </row>
    <row r="31" spans="1:64" x14ac:dyDescent="0.2">
      <c r="A31" s="6"/>
      <c r="C31" s="21" t="s">
        <v>310</v>
      </c>
      <c r="D31" s="245" t="s">
        <v>624</v>
      </c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7"/>
      <c r="P31" s="6"/>
    </row>
    <row r="32" spans="1:64" x14ac:dyDescent="0.2">
      <c r="A32" s="5" t="s">
        <v>17</v>
      </c>
      <c r="B32" s="16" t="s">
        <v>305</v>
      </c>
      <c r="C32" s="16" t="s">
        <v>320</v>
      </c>
      <c r="D32" s="243" t="s">
        <v>634</v>
      </c>
      <c r="E32" s="244"/>
      <c r="F32" s="244"/>
      <c r="G32" s="244"/>
      <c r="H32" s="16" t="s">
        <v>1041</v>
      </c>
      <c r="I32" s="27">
        <v>1.24</v>
      </c>
      <c r="J32" s="149"/>
      <c r="K32" s="27">
        <f>I32*AO32</f>
        <v>0</v>
      </c>
      <c r="L32" s="27">
        <f>I32*AP32</f>
        <v>0</v>
      </c>
      <c r="M32" s="27">
        <f>I32*J32</f>
        <v>0</v>
      </c>
      <c r="N32" s="56">
        <f>IF(M623=0,0,M32/M623)</f>
        <v>0</v>
      </c>
      <c r="O32" s="39" t="s">
        <v>1068</v>
      </c>
      <c r="P32" s="6"/>
      <c r="Z32" s="45">
        <f>IF(AQ32="5",BJ32,0)</f>
        <v>0</v>
      </c>
      <c r="AB32" s="45">
        <f>IF(AQ32="1",BH32,0)</f>
        <v>0</v>
      </c>
      <c r="AC32" s="45">
        <f>IF(AQ32="1",BI32,0)</f>
        <v>0</v>
      </c>
      <c r="AD32" s="45">
        <f>IF(AQ32="7",BH32,0)</f>
        <v>0</v>
      </c>
      <c r="AE32" s="45">
        <f>IF(AQ32="7",BI32,0)</f>
        <v>0</v>
      </c>
      <c r="AF32" s="45">
        <f>IF(AQ32="2",BH32,0)</f>
        <v>0</v>
      </c>
      <c r="AG32" s="45">
        <f>IF(AQ32="2",BI32,0)</f>
        <v>0</v>
      </c>
      <c r="AH32" s="45">
        <f>IF(AQ32="0",BJ32,0)</f>
        <v>0</v>
      </c>
      <c r="AI32" s="44" t="s">
        <v>305</v>
      </c>
      <c r="AJ32" s="27">
        <f>IF(AN32=0,M32,0)</f>
        <v>0</v>
      </c>
      <c r="AK32" s="27">
        <f>IF(AN32=15,M32,0)</f>
        <v>0</v>
      </c>
      <c r="AL32" s="27">
        <f>IF(AN32=21,M32,0)</f>
        <v>0</v>
      </c>
      <c r="AN32" s="45">
        <v>15</v>
      </c>
      <c r="AO32" s="45">
        <f>J32*0</f>
        <v>0</v>
      </c>
      <c r="AP32" s="45">
        <f>J32*(1-0)</f>
        <v>0</v>
      </c>
      <c r="AQ32" s="46" t="s">
        <v>7</v>
      </c>
      <c r="AV32" s="45">
        <f>AW32+AX32</f>
        <v>0</v>
      </c>
      <c r="AW32" s="45">
        <f>I32*AO32</f>
        <v>0</v>
      </c>
      <c r="AX32" s="45">
        <f>I32*AP32</f>
        <v>0</v>
      </c>
      <c r="AY32" s="48" t="s">
        <v>1081</v>
      </c>
      <c r="AZ32" s="48" t="s">
        <v>1118</v>
      </c>
      <c r="BA32" s="44" t="s">
        <v>1139</v>
      </c>
      <c r="BC32" s="45">
        <f>AW32+AX32</f>
        <v>0</v>
      </c>
      <c r="BD32" s="45">
        <f>J32/(100-BE32)*100</f>
        <v>0</v>
      </c>
      <c r="BE32" s="45">
        <v>0</v>
      </c>
      <c r="BF32" s="45">
        <f>32</f>
        <v>32</v>
      </c>
      <c r="BH32" s="27">
        <f>I32*AO32</f>
        <v>0</v>
      </c>
      <c r="BI32" s="27">
        <f>I32*AP32</f>
        <v>0</v>
      </c>
      <c r="BJ32" s="27">
        <f>I32*J32</f>
        <v>0</v>
      </c>
      <c r="BK32" s="27" t="s">
        <v>1146</v>
      </c>
      <c r="BL32" s="45">
        <v>13</v>
      </c>
    </row>
    <row r="33" spans="1:64" x14ac:dyDescent="0.2">
      <c r="A33" s="4"/>
      <c r="B33" s="15" t="s">
        <v>305</v>
      </c>
      <c r="C33" s="15" t="s">
        <v>22</v>
      </c>
      <c r="D33" s="237" t="s">
        <v>635</v>
      </c>
      <c r="E33" s="238"/>
      <c r="F33" s="238"/>
      <c r="G33" s="238"/>
      <c r="H33" s="24" t="s">
        <v>6</v>
      </c>
      <c r="I33" s="24" t="s">
        <v>6</v>
      </c>
      <c r="J33" s="24" t="s">
        <v>6</v>
      </c>
      <c r="K33" s="51">
        <f>SUM(K34:K37)</f>
        <v>0</v>
      </c>
      <c r="L33" s="51">
        <f>SUM(L34:L37)</f>
        <v>0</v>
      </c>
      <c r="M33" s="51">
        <f>SUM(M34:M37)</f>
        <v>0</v>
      </c>
      <c r="N33" s="55">
        <f>IF(M623=0,0,M33/M623)</f>
        <v>0</v>
      </c>
      <c r="O33" s="38"/>
      <c r="P33" s="6"/>
      <c r="AI33" s="44" t="s">
        <v>305</v>
      </c>
      <c r="AS33" s="51">
        <f>SUM(AJ34:AJ37)</f>
        <v>0</v>
      </c>
      <c r="AT33" s="51">
        <f>SUM(AK34:AK37)</f>
        <v>0</v>
      </c>
      <c r="AU33" s="51">
        <f>SUM(AL34:AL37)</f>
        <v>0</v>
      </c>
    </row>
    <row r="34" spans="1:64" x14ac:dyDescent="0.2">
      <c r="A34" s="5" t="s">
        <v>18</v>
      </c>
      <c r="B34" s="16" t="s">
        <v>305</v>
      </c>
      <c r="C34" s="16" t="s">
        <v>321</v>
      </c>
      <c r="D34" s="243" t="s">
        <v>636</v>
      </c>
      <c r="E34" s="244"/>
      <c r="F34" s="244"/>
      <c r="G34" s="244"/>
      <c r="H34" s="16" t="s">
        <v>1041</v>
      </c>
      <c r="I34" s="27">
        <v>759.96</v>
      </c>
      <c r="J34" s="149"/>
      <c r="K34" s="27">
        <f>I34*AO34</f>
        <v>0</v>
      </c>
      <c r="L34" s="27">
        <f>I34*AP34</f>
        <v>0</v>
      </c>
      <c r="M34" s="27">
        <f>I34*J34</f>
        <v>0</v>
      </c>
      <c r="N34" s="56">
        <f>IF(M623=0,0,M34/M623)</f>
        <v>0</v>
      </c>
      <c r="O34" s="39" t="s">
        <v>1068</v>
      </c>
      <c r="P34" s="6"/>
      <c r="Z34" s="45">
        <f>IF(AQ34="5",BJ34,0)</f>
        <v>0</v>
      </c>
      <c r="AB34" s="45">
        <f>IF(AQ34="1",BH34,0)</f>
        <v>0</v>
      </c>
      <c r="AC34" s="45">
        <f>IF(AQ34="1",BI34,0)</f>
        <v>0</v>
      </c>
      <c r="AD34" s="45">
        <f>IF(AQ34="7",BH34,0)</f>
        <v>0</v>
      </c>
      <c r="AE34" s="45">
        <f>IF(AQ34="7",BI34,0)</f>
        <v>0</v>
      </c>
      <c r="AF34" s="45">
        <f>IF(AQ34="2",BH34,0)</f>
        <v>0</v>
      </c>
      <c r="AG34" s="45">
        <f>IF(AQ34="2",BI34,0)</f>
        <v>0</v>
      </c>
      <c r="AH34" s="45">
        <f>IF(AQ34="0",BJ34,0)</f>
        <v>0</v>
      </c>
      <c r="AI34" s="44" t="s">
        <v>305</v>
      </c>
      <c r="AJ34" s="27">
        <f>IF(AN34=0,M34,0)</f>
        <v>0</v>
      </c>
      <c r="AK34" s="27">
        <f>IF(AN34=15,M34,0)</f>
        <v>0</v>
      </c>
      <c r="AL34" s="27">
        <f>IF(AN34=21,M34,0)</f>
        <v>0</v>
      </c>
      <c r="AN34" s="45">
        <v>15</v>
      </c>
      <c r="AO34" s="45">
        <f>J34*0</f>
        <v>0</v>
      </c>
      <c r="AP34" s="45">
        <f>J34*(1-0)</f>
        <v>0</v>
      </c>
      <c r="AQ34" s="46" t="s">
        <v>7</v>
      </c>
      <c r="AV34" s="45">
        <f>AW34+AX34</f>
        <v>0</v>
      </c>
      <c r="AW34" s="45">
        <f>I34*AO34</f>
        <v>0</v>
      </c>
      <c r="AX34" s="45">
        <f>I34*AP34</f>
        <v>0</v>
      </c>
      <c r="AY34" s="48" t="s">
        <v>1082</v>
      </c>
      <c r="AZ34" s="48" t="s">
        <v>1118</v>
      </c>
      <c r="BA34" s="44" t="s">
        <v>1139</v>
      </c>
      <c r="BC34" s="45">
        <f>AW34+AX34</f>
        <v>0</v>
      </c>
      <c r="BD34" s="45">
        <f>J34/(100-BE34)*100</f>
        <v>0</v>
      </c>
      <c r="BE34" s="45">
        <v>0</v>
      </c>
      <c r="BF34" s="45">
        <f>34</f>
        <v>34</v>
      </c>
      <c r="BH34" s="27">
        <f>I34*AO34</f>
        <v>0</v>
      </c>
      <c r="BI34" s="27">
        <f>I34*AP34</f>
        <v>0</v>
      </c>
      <c r="BJ34" s="27">
        <f>I34*J34</f>
        <v>0</v>
      </c>
      <c r="BK34" s="27" t="s">
        <v>1146</v>
      </c>
      <c r="BL34" s="45">
        <v>16</v>
      </c>
    </row>
    <row r="35" spans="1:64" ht="25.7" customHeight="1" x14ac:dyDescent="0.2">
      <c r="A35" s="6"/>
      <c r="C35" s="20" t="s">
        <v>302</v>
      </c>
      <c r="D35" s="248" t="s">
        <v>637</v>
      </c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50"/>
      <c r="P35" s="6"/>
    </row>
    <row r="36" spans="1:64" x14ac:dyDescent="0.2">
      <c r="A36" s="6"/>
      <c r="C36" s="21" t="s">
        <v>310</v>
      </c>
      <c r="D36" s="245" t="s">
        <v>638</v>
      </c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7"/>
      <c r="P36" s="6"/>
    </row>
    <row r="37" spans="1:64" x14ac:dyDescent="0.2">
      <c r="A37" s="5" t="s">
        <v>19</v>
      </c>
      <c r="B37" s="16" t="s">
        <v>305</v>
      </c>
      <c r="C37" s="16" t="s">
        <v>322</v>
      </c>
      <c r="D37" s="243" t="s">
        <v>639</v>
      </c>
      <c r="E37" s="244"/>
      <c r="F37" s="244"/>
      <c r="G37" s="244"/>
      <c r="H37" s="16" t="s">
        <v>1041</v>
      </c>
      <c r="I37" s="27">
        <v>337.94</v>
      </c>
      <c r="J37" s="149"/>
      <c r="K37" s="27">
        <f>I37*AO37</f>
        <v>0</v>
      </c>
      <c r="L37" s="27">
        <f>I37*AP37</f>
        <v>0</v>
      </c>
      <c r="M37" s="27">
        <f>I37*J37</f>
        <v>0</v>
      </c>
      <c r="N37" s="56">
        <f>IF(M623=0,0,M37/M623)</f>
        <v>0</v>
      </c>
      <c r="O37" s="39" t="s">
        <v>1068</v>
      </c>
      <c r="P37" s="6"/>
      <c r="Z37" s="45">
        <f>IF(AQ37="5",BJ37,0)</f>
        <v>0</v>
      </c>
      <c r="AB37" s="45">
        <f>IF(AQ37="1",BH37,0)</f>
        <v>0</v>
      </c>
      <c r="AC37" s="45">
        <f>IF(AQ37="1",BI37,0)</f>
        <v>0</v>
      </c>
      <c r="AD37" s="45">
        <f>IF(AQ37="7",BH37,0)</f>
        <v>0</v>
      </c>
      <c r="AE37" s="45">
        <f>IF(AQ37="7",BI37,0)</f>
        <v>0</v>
      </c>
      <c r="AF37" s="45">
        <f>IF(AQ37="2",BH37,0)</f>
        <v>0</v>
      </c>
      <c r="AG37" s="45">
        <f>IF(AQ37="2",BI37,0)</f>
        <v>0</v>
      </c>
      <c r="AH37" s="45">
        <f>IF(AQ37="0",BJ37,0)</f>
        <v>0</v>
      </c>
      <c r="AI37" s="44" t="s">
        <v>305</v>
      </c>
      <c r="AJ37" s="27">
        <f>IF(AN37=0,M37,0)</f>
        <v>0</v>
      </c>
      <c r="AK37" s="27">
        <f>IF(AN37=15,M37,0)</f>
        <v>0</v>
      </c>
      <c r="AL37" s="27">
        <f>IF(AN37=21,M37,0)</f>
        <v>0</v>
      </c>
      <c r="AN37" s="45">
        <v>15</v>
      </c>
      <c r="AO37" s="45">
        <f>J37*0</f>
        <v>0</v>
      </c>
      <c r="AP37" s="45">
        <f>J37*(1-0)</f>
        <v>0</v>
      </c>
      <c r="AQ37" s="46" t="s">
        <v>7</v>
      </c>
      <c r="AV37" s="45">
        <f>AW37+AX37</f>
        <v>0</v>
      </c>
      <c r="AW37" s="45">
        <f>I37*AO37</f>
        <v>0</v>
      </c>
      <c r="AX37" s="45">
        <f>I37*AP37</f>
        <v>0</v>
      </c>
      <c r="AY37" s="48" t="s">
        <v>1082</v>
      </c>
      <c r="AZ37" s="48" t="s">
        <v>1118</v>
      </c>
      <c r="BA37" s="44" t="s">
        <v>1139</v>
      </c>
      <c r="BC37" s="45">
        <f>AW37+AX37</f>
        <v>0</v>
      </c>
      <c r="BD37" s="45">
        <f>J37/(100-BE37)*100</f>
        <v>0</v>
      </c>
      <c r="BE37" s="45">
        <v>0</v>
      </c>
      <c r="BF37" s="45">
        <f>37</f>
        <v>37</v>
      </c>
      <c r="BH37" s="27">
        <f>I37*AO37</f>
        <v>0</v>
      </c>
      <c r="BI37" s="27">
        <f>I37*AP37</f>
        <v>0</v>
      </c>
      <c r="BJ37" s="27">
        <f>I37*J37</f>
        <v>0</v>
      </c>
      <c r="BK37" s="27" t="s">
        <v>1146</v>
      </c>
      <c r="BL37" s="45">
        <v>16</v>
      </c>
    </row>
    <row r="38" spans="1:64" x14ac:dyDescent="0.2">
      <c r="A38" s="4"/>
      <c r="B38" s="15" t="s">
        <v>305</v>
      </c>
      <c r="C38" s="15" t="s">
        <v>23</v>
      </c>
      <c r="D38" s="237" t="s">
        <v>640</v>
      </c>
      <c r="E38" s="238"/>
      <c r="F38" s="238"/>
      <c r="G38" s="238"/>
      <c r="H38" s="24" t="s">
        <v>6</v>
      </c>
      <c r="I38" s="24" t="s">
        <v>6</v>
      </c>
      <c r="J38" s="24" t="s">
        <v>6</v>
      </c>
      <c r="K38" s="51">
        <f>SUM(K39:K41)</f>
        <v>0</v>
      </c>
      <c r="L38" s="51">
        <f>SUM(L39:L41)</f>
        <v>0</v>
      </c>
      <c r="M38" s="51">
        <f>SUM(M39:M41)</f>
        <v>0</v>
      </c>
      <c r="N38" s="55">
        <f>IF(M623=0,0,M38/M623)</f>
        <v>0</v>
      </c>
      <c r="O38" s="38"/>
      <c r="P38" s="6"/>
      <c r="AI38" s="44" t="s">
        <v>305</v>
      </c>
      <c r="AS38" s="51">
        <f>SUM(AJ39:AJ41)</f>
        <v>0</v>
      </c>
      <c r="AT38" s="51">
        <f>SUM(AK39:AK41)</f>
        <v>0</v>
      </c>
      <c r="AU38" s="51">
        <f>SUM(AL39:AL41)</f>
        <v>0</v>
      </c>
    </row>
    <row r="39" spans="1:64" x14ac:dyDescent="0.2">
      <c r="A39" s="5" t="s">
        <v>20</v>
      </c>
      <c r="B39" s="16" t="s">
        <v>305</v>
      </c>
      <c r="C39" s="16" t="s">
        <v>323</v>
      </c>
      <c r="D39" s="243" t="s">
        <v>641</v>
      </c>
      <c r="E39" s="244"/>
      <c r="F39" s="244"/>
      <c r="G39" s="244"/>
      <c r="H39" s="16" t="s">
        <v>1041</v>
      </c>
      <c r="I39" s="27">
        <v>93.49</v>
      </c>
      <c r="J39" s="149"/>
      <c r="K39" s="27">
        <f>I39*AO39</f>
        <v>0</v>
      </c>
      <c r="L39" s="27">
        <f>I39*AP39</f>
        <v>0</v>
      </c>
      <c r="M39" s="27">
        <f>I39*J39</f>
        <v>0</v>
      </c>
      <c r="N39" s="56">
        <f>IF(M623=0,0,M39/M623)</f>
        <v>0</v>
      </c>
      <c r="O39" s="39" t="s">
        <v>1068</v>
      </c>
      <c r="P39" s="6"/>
      <c r="Z39" s="45">
        <f>IF(AQ39="5",BJ39,0)</f>
        <v>0</v>
      </c>
      <c r="AB39" s="45">
        <f>IF(AQ39="1",BH39,0)</f>
        <v>0</v>
      </c>
      <c r="AC39" s="45">
        <f>IF(AQ39="1",BI39,0)</f>
        <v>0</v>
      </c>
      <c r="AD39" s="45">
        <f>IF(AQ39="7",BH39,0)</f>
        <v>0</v>
      </c>
      <c r="AE39" s="45">
        <f>IF(AQ39="7",BI39,0)</f>
        <v>0</v>
      </c>
      <c r="AF39" s="45">
        <f>IF(AQ39="2",BH39,0)</f>
        <v>0</v>
      </c>
      <c r="AG39" s="45">
        <f>IF(AQ39="2",BI39,0)</f>
        <v>0</v>
      </c>
      <c r="AH39" s="45">
        <f>IF(AQ39="0",BJ39,0)</f>
        <v>0</v>
      </c>
      <c r="AI39" s="44" t="s">
        <v>305</v>
      </c>
      <c r="AJ39" s="27">
        <f>IF(AN39=0,M39,0)</f>
        <v>0</v>
      </c>
      <c r="AK39" s="27">
        <f>IF(AN39=15,M39,0)</f>
        <v>0</v>
      </c>
      <c r="AL39" s="27">
        <f>IF(AN39=21,M39,0)</f>
        <v>0</v>
      </c>
      <c r="AN39" s="45">
        <v>15</v>
      </c>
      <c r="AO39" s="45">
        <f>J39*0</f>
        <v>0</v>
      </c>
      <c r="AP39" s="45">
        <f>J39*(1-0)</f>
        <v>0</v>
      </c>
      <c r="AQ39" s="46" t="s">
        <v>7</v>
      </c>
      <c r="AV39" s="45">
        <f>AW39+AX39</f>
        <v>0</v>
      </c>
      <c r="AW39" s="45">
        <f>I39*AO39</f>
        <v>0</v>
      </c>
      <c r="AX39" s="45">
        <f>I39*AP39</f>
        <v>0</v>
      </c>
      <c r="AY39" s="48" t="s">
        <v>1083</v>
      </c>
      <c r="AZ39" s="48" t="s">
        <v>1118</v>
      </c>
      <c r="BA39" s="44" t="s">
        <v>1139</v>
      </c>
      <c r="BC39" s="45">
        <f>AW39+AX39</f>
        <v>0</v>
      </c>
      <c r="BD39" s="45">
        <f>J39/(100-BE39)*100</f>
        <v>0</v>
      </c>
      <c r="BE39" s="45">
        <v>0</v>
      </c>
      <c r="BF39" s="45">
        <f>39</f>
        <v>39</v>
      </c>
      <c r="BH39" s="27">
        <f>I39*AO39</f>
        <v>0</v>
      </c>
      <c r="BI39" s="27">
        <f>I39*AP39</f>
        <v>0</v>
      </c>
      <c r="BJ39" s="27">
        <f>I39*J39</f>
        <v>0</v>
      </c>
      <c r="BK39" s="27" t="s">
        <v>1146</v>
      </c>
      <c r="BL39" s="45">
        <v>17</v>
      </c>
    </row>
    <row r="40" spans="1:64" x14ac:dyDescent="0.2">
      <c r="A40" s="6"/>
      <c r="C40" s="21" t="s">
        <v>310</v>
      </c>
      <c r="D40" s="245" t="s">
        <v>642</v>
      </c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7"/>
      <c r="P40" s="6"/>
    </row>
    <row r="41" spans="1:64" x14ac:dyDescent="0.2">
      <c r="A41" s="120" t="s">
        <v>21</v>
      </c>
      <c r="B41" s="120" t="s">
        <v>305</v>
      </c>
      <c r="C41" s="120" t="s">
        <v>324</v>
      </c>
      <c r="D41" s="256" t="s">
        <v>643</v>
      </c>
      <c r="E41" s="244"/>
      <c r="F41" s="244"/>
      <c r="G41" s="257"/>
      <c r="H41" s="120" t="s">
        <v>1041</v>
      </c>
      <c r="I41" s="122">
        <v>244.45</v>
      </c>
      <c r="J41" s="149"/>
      <c r="K41" s="122">
        <f>I41*AO41</f>
        <v>0</v>
      </c>
      <c r="L41" s="122">
        <f>I41*AP41</f>
        <v>0</v>
      </c>
      <c r="M41" s="122">
        <f>I41*J41</f>
        <v>0</v>
      </c>
      <c r="N41" s="141">
        <f>IF(M623=0,0,M41/M623)</f>
        <v>0</v>
      </c>
      <c r="O41" s="128" t="s">
        <v>1068</v>
      </c>
      <c r="P41" s="123"/>
      <c r="Z41" s="45">
        <f>IF(AQ41="5",BJ41,0)</f>
        <v>0</v>
      </c>
      <c r="AB41" s="45">
        <f>IF(AQ41="1",BH41,0)</f>
        <v>0</v>
      </c>
      <c r="AC41" s="45">
        <f>IF(AQ41="1",BI41,0)</f>
        <v>0</v>
      </c>
      <c r="AD41" s="45">
        <f>IF(AQ41="7",BH41,0)</f>
        <v>0</v>
      </c>
      <c r="AE41" s="45">
        <f>IF(AQ41="7",BI41,0)</f>
        <v>0</v>
      </c>
      <c r="AF41" s="45">
        <f>IF(AQ41="2",BH41,0)</f>
        <v>0</v>
      </c>
      <c r="AG41" s="45">
        <f>IF(AQ41="2",BI41,0)</f>
        <v>0</v>
      </c>
      <c r="AH41" s="45">
        <f>IF(AQ41="0",BJ41,0)</f>
        <v>0</v>
      </c>
      <c r="AI41" s="44" t="s">
        <v>305</v>
      </c>
      <c r="AJ41" s="27">
        <f>IF(AN41=0,M41,0)</f>
        <v>0</v>
      </c>
      <c r="AK41" s="27">
        <f>IF(AN41=15,M41,0)</f>
        <v>0</v>
      </c>
      <c r="AL41" s="27">
        <f>IF(AN41=21,M41,0)</f>
        <v>0</v>
      </c>
      <c r="AN41" s="45">
        <v>15</v>
      </c>
      <c r="AO41" s="45">
        <f>J41*0</f>
        <v>0</v>
      </c>
      <c r="AP41" s="45">
        <f>J41*(1-0)</f>
        <v>0</v>
      </c>
      <c r="AQ41" s="46" t="s">
        <v>7</v>
      </c>
      <c r="AV41" s="45">
        <f>AW41+AX41</f>
        <v>0</v>
      </c>
      <c r="AW41" s="45">
        <f>I41*AO41</f>
        <v>0</v>
      </c>
      <c r="AX41" s="45">
        <f>I41*AP41</f>
        <v>0</v>
      </c>
      <c r="AY41" s="48" t="s">
        <v>1083</v>
      </c>
      <c r="AZ41" s="48" t="s">
        <v>1118</v>
      </c>
      <c r="BA41" s="44" t="s">
        <v>1139</v>
      </c>
      <c r="BC41" s="45">
        <f>AW41+AX41</f>
        <v>0</v>
      </c>
      <c r="BD41" s="45">
        <f>J41/(100-BE41)*100</f>
        <v>0</v>
      </c>
      <c r="BE41" s="45">
        <v>0</v>
      </c>
      <c r="BF41" s="45">
        <f>41</f>
        <v>41</v>
      </c>
      <c r="BH41" s="27">
        <f>I41*AO41</f>
        <v>0</v>
      </c>
      <c r="BI41" s="27">
        <f>I41*AP41</f>
        <v>0</v>
      </c>
      <c r="BJ41" s="27">
        <f>I41*J41</f>
        <v>0</v>
      </c>
      <c r="BK41" s="27" t="s">
        <v>1146</v>
      </c>
      <c r="BL41" s="45">
        <v>17</v>
      </c>
    </row>
    <row r="42" spans="1:64" x14ac:dyDescent="0.2">
      <c r="A42" s="6"/>
      <c r="C42" s="21" t="s">
        <v>310</v>
      </c>
      <c r="D42" s="245" t="s">
        <v>644</v>
      </c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7"/>
      <c r="P42" s="6"/>
    </row>
    <row r="43" spans="1:64" x14ac:dyDescent="0.2">
      <c r="A43" s="4"/>
      <c r="B43" s="15" t="s">
        <v>305</v>
      </c>
      <c r="C43" s="15" t="s">
        <v>33</v>
      </c>
      <c r="D43" s="237" t="s">
        <v>645</v>
      </c>
      <c r="E43" s="238"/>
      <c r="F43" s="238"/>
      <c r="G43" s="238"/>
      <c r="H43" s="24" t="s">
        <v>6</v>
      </c>
      <c r="I43" s="24" t="s">
        <v>6</v>
      </c>
      <c r="J43" s="24" t="s">
        <v>6</v>
      </c>
      <c r="K43" s="51">
        <f>SUM(K44:K71)</f>
        <v>0</v>
      </c>
      <c r="L43" s="51">
        <f>SUM(L44:L71)</f>
        <v>0</v>
      </c>
      <c r="M43" s="51">
        <f>SUM(M44:M71)</f>
        <v>0</v>
      </c>
      <c r="N43" s="55">
        <f>IF(M623=0,0,M43/M623)</f>
        <v>0</v>
      </c>
      <c r="O43" s="38"/>
      <c r="P43" s="6"/>
      <c r="AI43" s="44" t="s">
        <v>305</v>
      </c>
      <c r="AS43" s="51">
        <f>SUM(AJ44:AJ71)</f>
        <v>0</v>
      </c>
      <c r="AT43" s="51">
        <f>SUM(AK44:AK71)</f>
        <v>0</v>
      </c>
      <c r="AU43" s="51">
        <f>SUM(AL44:AL71)</f>
        <v>0</v>
      </c>
    </row>
    <row r="44" spans="1:64" x14ac:dyDescent="0.2">
      <c r="A44" s="5" t="s">
        <v>22</v>
      </c>
      <c r="B44" s="16" t="s">
        <v>305</v>
      </c>
      <c r="C44" s="16" t="s">
        <v>325</v>
      </c>
      <c r="D44" s="243" t="s">
        <v>646</v>
      </c>
      <c r="E44" s="244"/>
      <c r="F44" s="244"/>
      <c r="G44" s="244"/>
      <c r="H44" s="16" t="s">
        <v>1041</v>
      </c>
      <c r="I44" s="27">
        <v>15.93</v>
      </c>
      <c r="J44" s="149"/>
      <c r="K44" s="27">
        <f>I44*AO44</f>
        <v>0</v>
      </c>
      <c r="L44" s="27">
        <f>I44*AP44</f>
        <v>0</v>
      </c>
      <c r="M44" s="27">
        <f>I44*J44</f>
        <v>0</v>
      </c>
      <c r="N44" s="56">
        <f>IF(M623=0,0,M44/M623)</f>
        <v>0</v>
      </c>
      <c r="O44" s="39" t="s">
        <v>1068</v>
      </c>
      <c r="P44" s="6"/>
      <c r="Z44" s="45">
        <f>IF(AQ44="5",BJ44,0)</f>
        <v>0</v>
      </c>
      <c r="AB44" s="45">
        <f>IF(AQ44="1",BH44,0)</f>
        <v>0</v>
      </c>
      <c r="AC44" s="45">
        <f>IF(AQ44="1",BI44,0)</f>
        <v>0</v>
      </c>
      <c r="AD44" s="45">
        <f>IF(AQ44="7",BH44,0)</f>
        <v>0</v>
      </c>
      <c r="AE44" s="45">
        <f>IF(AQ44="7",BI44,0)</f>
        <v>0</v>
      </c>
      <c r="AF44" s="45">
        <f>IF(AQ44="2",BH44,0)</f>
        <v>0</v>
      </c>
      <c r="AG44" s="45">
        <f>IF(AQ44="2",BI44,0)</f>
        <v>0</v>
      </c>
      <c r="AH44" s="45">
        <f>IF(AQ44="0",BJ44,0)</f>
        <v>0</v>
      </c>
      <c r="AI44" s="44" t="s">
        <v>305</v>
      </c>
      <c r="AJ44" s="27">
        <f>IF(AN44=0,M44,0)</f>
        <v>0</v>
      </c>
      <c r="AK44" s="27">
        <f>IF(AN44=15,M44,0)</f>
        <v>0</v>
      </c>
      <c r="AL44" s="27">
        <f>IF(AN44=21,M44,0)</f>
        <v>0</v>
      </c>
      <c r="AN44" s="45">
        <v>15</v>
      </c>
      <c r="AO44" s="45">
        <f>J44*0.5626015625</f>
        <v>0</v>
      </c>
      <c r="AP44" s="45">
        <f>J44*(1-0.5626015625)</f>
        <v>0</v>
      </c>
      <c r="AQ44" s="46" t="s">
        <v>7</v>
      </c>
      <c r="AV44" s="45">
        <f>AW44+AX44</f>
        <v>0</v>
      </c>
      <c r="AW44" s="45">
        <f>I44*AO44</f>
        <v>0</v>
      </c>
      <c r="AX44" s="45">
        <f>I44*AP44</f>
        <v>0</v>
      </c>
      <c r="AY44" s="48" t="s">
        <v>1084</v>
      </c>
      <c r="AZ44" s="48" t="s">
        <v>1119</v>
      </c>
      <c r="BA44" s="44" t="s">
        <v>1139</v>
      </c>
      <c r="BC44" s="45">
        <f>AW44+AX44</f>
        <v>0</v>
      </c>
      <c r="BD44" s="45">
        <f>J44/(100-BE44)*100</f>
        <v>0</v>
      </c>
      <c r="BE44" s="45">
        <v>0</v>
      </c>
      <c r="BF44" s="45">
        <f>44</f>
        <v>44</v>
      </c>
      <c r="BH44" s="27">
        <f>I44*AO44</f>
        <v>0</v>
      </c>
      <c r="BI44" s="27">
        <f>I44*AP44</f>
        <v>0</v>
      </c>
      <c r="BJ44" s="27">
        <f>I44*J44</f>
        <v>0</v>
      </c>
      <c r="BK44" s="27" t="s">
        <v>1146</v>
      </c>
      <c r="BL44" s="45">
        <v>27</v>
      </c>
    </row>
    <row r="45" spans="1:64" x14ac:dyDescent="0.2">
      <c r="A45" s="6"/>
      <c r="C45" s="21" t="s">
        <v>310</v>
      </c>
      <c r="D45" s="245" t="s">
        <v>647</v>
      </c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7"/>
      <c r="P45" s="6"/>
    </row>
    <row r="46" spans="1:64" x14ac:dyDescent="0.2">
      <c r="A46" s="5" t="s">
        <v>23</v>
      </c>
      <c r="B46" s="16" t="s">
        <v>305</v>
      </c>
      <c r="C46" s="16" t="s">
        <v>326</v>
      </c>
      <c r="D46" s="243" t="s">
        <v>648</v>
      </c>
      <c r="E46" s="244"/>
      <c r="F46" s="244"/>
      <c r="G46" s="244"/>
      <c r="H46" s="16" t="s">
        <v>1041</v>
      </c>
      <c r="I46" s="27">
        <v>11.43</v>
      </c>
      <c r="J46" s="149"/>
      <c r="K46" s="27">
        <f>I46*AO46</f>
        <v>0</v>
      </c>
      <c r="L46" s="27">
        <f>I46*AP46</f>
        <v>0</v>
      </c>
      <c r="M46" s="27">
        <f>I46*J46</f>
        <v>0</v>
      </c>
      <c r="N46" s="56">
        <f>IF(M623=0,0,M46/M623)</f>
        <v>0</v>
      </c>
      <c r="O46" s="39" t="s">
        <v>1068</v>
      </c>
      <c r="P46" s="6"/>
      <c r="Z46" s="45">
        <f>IF(AQ46="5",BJ46,0)</f>
        <v>0</v>
      </c>
      <c r="AB46" s="45">
        <f>IF(AQ46="1",BH46,0)</f>
        <v>0</v>
      </c>
      <c r="AC46" s="45">
        <f>IF(AQ46="1",BI46,0)</f>
        <v>0</v>
      </c>
      <c r="AD46" s="45">
        <f>IF(AQ46="7",BH46,0)</f>
        <v>0</v>
      </c>
      <c r="AE46" s="45">
        <f>IF(AQ46="7",BI46,0)</f>
        <v>0</v>
      </c>
      <c r="AF46" s="45">
        <f>IF(AQ46="2",BH46,0)</f>
        <v>0</v>
      </c>
      <c r="AG46" s="45">
        <f>IF(AQ46="2",BI46,0)</f>
        <v>0</v>
      </c>
      <c r="AH46" s="45">
        <f>IF(AQ46="0",BJ46,0)</f>
        <v>0</v>
      </c>
      <c r="AI46" s="44" t="s">
        <v>305</v>
      </c>
      <c r="AJ46" s="27">
        <f>IF(AN46=0,M46,0)</f>
        <v>0</v>
      </c>
      <c r="AK46" s="27">
        <f>IF(AN46=15,M46,0)</f>
        <v>0</v>
      </c>
      <c r="AL46" s="27">
        <f>IF(AN46=21,M46,0)</f>
        <v>0</v>
      </c>
      <c r="AN46" s="45">
        <v>15</v>
      </c>
      <c r="AO46" s="45">
        <f>J46*0.824622377622378</f>
        <v>0</v>
      </c>
      <c r="AP46" s="45">
        <f>J46*(1-0.824622377622378)</f>
        <v>0</v>
      </c>
      <c r="AQ46" s="46" t="s">
        <v>7</v>
      </c>
      <c r="AV46" s="45">
        <f>AW46+AX46</f>
        <v>0</v>
      </c>
      <c r="AW46" s="45">
        <f>I46*AO46</f>
        <v>0</v>
      </c>
      <c r="AX46" s="45">
        <f>I46*AP46</f>
        <v>0</v>
      </c>
      <c r="AY46" s="48" t="s">
        <v>1084</v>
      </c>
      <c r="AZ46" s="48" t="s">
        <v>1119</v>
      </c>
      <c r="BA46" s="44" t="s">
        <v>1139</v>
      </c>
      <c r="BC46" s="45">
        <f>AW46+AX46</f>
        <v>0</v>
      </c>
      <c r="BD46" s="45">
        <f>J46/(100-BE46)*100</f>
        <v>0</v>
      </c>
      <c r="BE46" s="45">
        <v>0</v>
      </c>
      <c r="BF46" s="45">
        <f>46</f>
        <v>46</v>
      </c>
      <c r="BH46" s="27">
        <f>I46*AO46</f>
        <v>0</v>
      </c>
      <c r="BI46" s="27">
        <f>I46*AP46</f>
        <v>0</v>
      </c>
      <c r="BJ46" s="27">
        <f>I46*J46</f>
        <v>0</v>
      </c>
      <c r="BK46" s="27" t="s">
        <v>1146</v>
      </c>
      <c r="BL46" s="45">
        <v>27</v>
      </c>
    </row>
    <row r="47" spans="1:64" x14ac:dyDescent="0.2">
      <c r="A47" s="6"/>
      <c r="C47" s="21" t="s">
        <v>310</v>
      </c>
      <c r="D47" s="245" t="s">
        <v>647</v>
      </c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  <c r="P47" s="6"/>
    </row>
    <row r="48" spans="1:64" x14ac:dyDescent="0.2">
      <c r="A48" s="5" t="s">
        <v>24</v>
      </c>
      <c r="B48" s="16" t="s">
        <v>305</v>
      </c>
      <c r="C48" s="16" t="s">
        <v>327</v>
      </c>
      <c r="D48" s="243" t="s">
        <v>649</v>
      </c>
      <c r="E48" s="244"/>
      <c r="F48" s="244"/>
      <c r="G48" s="244"/>
      <c r="H48" s="16" t="s">
        <v>1041</v>
      </c>
      <c r="I48" s="27">
        <v>34.380000000000003</v>
      </c>
      <c r="J48" s="149"/>
      <c r="K48" s="27">
        <f>I48*AO48</f>
        <v>0</v>
      </c>
      <c r="L48" s="27">
        <f>I48*AP48</f>
        <v>0</v>
      </c>
      <c r="M48" s="27">
        <f>I48*J48</f>
        <v>0</v>
      </c>
      <c r="N48" s="56">
        <f>IF(M623=0,0,M48/M623)</f>
        <v>0</v>
      </c>
      <c r="O48" s="39" t="s">
        <v>1068</v>
      </c>
      <c r="P48" s="6"/>
      <c r="Z48" s="45">
        <f>IF(AQ48="5",BJ48,0)</f>
        <v>0</v>
      </c>
      <c r="AB48" s="45">
        <f>IF(AQ48="1",BH48,0)</f>
        <v>0</v>
      </c>
      <c r="AC48" s="45">
        <f>IF(AQ48="1",BI48,0)</f>
        <v>0</v>
      </c>
      <c r="AD48" s="45">
        <f>IF(AQ48="7",BH48,0)</f>
        <v>0</v>
      </c>
      <c r="AE48" s="45">
        <f>IF(AQ48="7",BI48,0)</f>
        <v>0</v>
      </c>
      <c r="AF48" s="45">
        <f>IF(AQ48="2",BH48,0)</f>
        <v>0</v>
      </c>
      <c r="AG48" s="45">
        <f>IF(AQ48="2",BI48,0)</f>
        <v>0</v>
      </c>
      <c r="AH48" s="45">
        <f>IF(AQ48="0",BJ48,0)</f>
        <v>0</v>
      </c>
      <c r="AI48" s="44" t="s">
        <v>305</v>
      </c>
      <c r="AJ48" s="27">
        <f>IF(AN48=0,M48,0)</f>
        <v>0</v>
      </c>
      <c r="AK48" s="27">
        <f>IF(AN48=15,M48,0)</f>
        <v>0</v>
      </c>
      <c r="AL48" s="27">
        <f>IF(AN48=21,M48,0)</f>
        <v>0</v>
      </c>
      <c r="AN48" s="45">
        <v>15</v>
      </c>
      <c r="AO48" s="45">
        <f>J48*0.888124763705104</f>
        <v>0</v>
      </c>
      <c r="AP48" s="45">
        <f>J48*(1-0.888124763705104)</f>
        <v>0</v>
      </c>
      <c r="AQ48" s="46" t="s">
        <v>7</v>
      </c>
      <c r="AV48" s="45">
        <f>AW48+AX48</f>
        <v>0</v>
      </c>
      <c r="AW48" s="45">
        <f>I48*AO48</f>
        <v>0</v>
      </c>
      <c r="AX48" s="45">
        <f>I48*AP48</f>
        <v>0</v>
      </c>
      <c r="AY48" s="48" t="s">
        <v>1084</v>
      </c>
      <c r="AZ48" s="48" t="s">
        <v>1119</v>
      </c>
      <c r="BA48" s="44" t="s">
        <v>1139</v>
      </c>
      <c r="BC48" s="45">
        <f>AW48+AX48</f>
        <v>0</v>
      </c>
      <c r="BD48" s="45">
        <f>J48/(100-BE48)*100</f>
        <v>0</v>
      </c>
      <c r="BE48" s="45">
        <v>0</v>
      </c>
      <c r="BF48" s="45">
        <f>48</f>
        <v>48</v>
      </c>
      <c r="BH48" s="27">
        <f>I48*AO48</f>
        <v>0</v>
      </c>
      <c r="BI48" s="27">
        <f>I48*AP48</f>
        <v>0</v>
      </c>
      <c r="BJ48" s="27">
        <f>I48*J48</f>
        <v>0</v>
      </c>
      <c r="BK48" s="27" t="s">
        <v>1146</v>
      </c>
      <c r="BL48" s="45">
        <v>27</v>
      </c>
    </row>
    <row r="49" spans="1:64" x14ac:dyDescent="0.2">
      <c r="A49" s="6"/>
      <c r="C49" s="21" t="s">
        <v>310</v>
      </c>
      <c r="D49" s="245" t="s">
        <v>650</v>
      </c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6"/>
    </row>
    <row r="50" spans="1:64" x14ac:dyDescent="0.2">
      <c r="A50" s="5" t="s">
        <v>25</v>
      </c>
      <c r="B50" s="16" t="s">
        <v>305</v>
      </c>
      <c r="C50" s="16" t="s">
        <v>328</v>
      </c>
      <c r="D50" s="243" t="s">
        <v>651</v>
      </c>
      <c r="E50" s="244"/>
      <c r="F50" s="244"/>
      <c r="G50" s="244"/>
      <c r="H50" s="16" t="s">
        <v>1042</v>
      </c>
      <c r="I50" s="27">
        <v>26.88</v>
      </c>
      <c r="J50" s="149"/>
      <c r="K50" s="27">
        <f>I50*AO50</f>
        <v>0</v>
      </c>
      <c r="L50" s="27">
        <f>I50*AP50</f>
        <v>0</v>
      </c>
      <c r="M50" s="27">
        <f>I50*J50</f>
        <v>0</v>
      </c>
      <c r="N50" s="56">
        <f>IF(M623=0,0,M50/M623)</f>
        <v>0</v>
      </c>
      <c r="O50" s="39" t="s">
        <v>1068</v>
      </c>
      <c r="P50" s="6"/>
      <c r="Z50" s="45">
        <f>IF(AQ50="5",BJ50,0)</f>
        <v>0</v>
      </c>
      <c r="AB50" s="45">
        <f>IF(AQ50="1",BH50,0)</f>
        <v>0</v>
      </c>
      <c r="AC50" s="45">
        <f>IF(AQ50="1",BI50,0)</f>
        <v>0</v>
      </c>
      <c r="AD50" s="45">
        <f>IF(AQ50="7",BH50,0)</f>
        <v>0</v>
      </c>
      <c r="AE50" s="45">
        <f>IF(AQ50="7",BI50,0)</f>
        <v>0</v>
      </c>
      <c r="AF50" s="45">
        <f>IF(AQ50="2",BH50,0)</f>
        <v>0</v>
      </c>
      <c r="AG50" s="45">
        <f>IF(AQ50="2",BI50,0)</f>
        <v>0</v>
      </c>
      <c r="AH50" s="45">
        <f>IF(AQ50="0",BJ50,0)</f>
        <v>0</v>
      </c>
      <c r="AI50" s="44" t="s">
        <v>305</v>
      </c>
      <c r="AJ50" s="27">
        <f>IF(AN50=0,M50,0)</f>
        <v>0</v>
      </c>
      <c r="AK50" s="27">
        <f>IF(AN50=15,M50,0)</f>
        <v>0</v>
      </c>
      <c r="AL50" s="27">
        <f>IF(AN50=21,M50,0)</f>
        <v>0</v>
      </c>
      <c r="AN50" s="45">
        <v>15</v>
      </c>
      <c r="AO50" s="45">
        <f>J50*0.262740619902121</f>
        <v>0</v>
      </c>
      <c r="AP50" s="45">
        <f>J50*(1-0.262740619902121)</f>
        <v>0</v>
      </c>
      <c r="AQ50" s="46" t="s">
        <v>7</v>
      </c>
      <c r="AV50" s="45">
        <f>AW50+AX50</f>
        <v>0</v>
      </c>
      <c r="AW50" s="45">
        <f>I50*AO50</f>
        <v>0</v>
      </c>
      <c r="AX50" s="45">
        <f>I50*AP50</f>
        <v>0</v>
      </c>
      <c r="AY50" s="48" t="s">
        <v>1084</v>
      </c>
      <c r="AZ50" s="48" t="s">
        <v>1119</v>
      </c>
      <c r="BA50" s="44" t="s">
        <v>1139</v>
      </c>
      <c r="BC50" s="45">
        <f>AW50+AX50</f>
        <v>0</v>
      </c>
      <c r="BD50" s="45">
        <f>J50/(100-BE50)*100</f>
        <v>0</v>
      </c>
      <c r="BE50" s="45">
        <v>0</v>
      </c>
      <c r="BF50" s="45">
        <f>50</f>
        <v>50</v>
      </c>
      <c r="BH50" s="27">
        <f>I50*AO50</f>
        <v>0</v>
      </c>
      <c r="BI50" s="27">
        <f>I50*AP50</f>
        <v>0</v>
      </c>
      <c r="BJ50" s="27">
        <f>I50*J50</f>
        <v>0</v>
      </c>
      <c r="BK50" s="27" t="s">
        <v>1146</v>
      </c>
      <c r="BL50" s="45">
        <v>27</v>
      </c>
    </row>
    <row r="51" spans="1:64" x14ac:dyDescent="0.2">
      <c r="A51" s="5" t="s">
        <v>26</v>
      </c>
      <c r="B51" s="16" t="s">
        <v>305</v>
      </c>
      <c r="C51" s="16" t="s">
        <v>329</v>
      </c>
      <c r="D51" s="243" t="s">
        <v>652</v>
      </c>
      <c r="E51" s="244"/>
      <c r="F51" s="244"/>
      <c r="G51" s="244"/>
      <c r="H51" s="16" t="s">
        <v>1042</v>
      </c>
      <c r="I51" s="27">
        <v>26.88</v>
      </c>
      <c r="J51" s="149"/>
      <c r="K51" s="27">
        <f>I51*AO51</f>
        <v>0</v>
      </c>
      <c r="L51" s="27">
        <f>I51*AP51</f>
        <v>0</v>
      </c>
      <c r="M51" s="27">
        <f>I51*J51</f>
        <v>0</v>
      </c>
      <c r="N51" s="56">
        <f>IF(M623=0,0,M51/M623)</f>
        <v>0</v>
      </c>
      <c r="O51" s="39" t="s">
        <v>1068</v>
      </c>
      <c r="P51" s="6"/>
      <c r="Z51" s="45">
        <f>IF(AQ51="5",BJ51,0)</f>
        <v>0</v>
      </c>
      <c r="AB51" s="45">
        <f>IF(AQ51="1",BH51,0)</f>
        <v>0</v>
      </c>
      <c r="AC51" s="45">
        <f>IF(AQ51="1",BI51,0)</f>
        <v>0</v>
      </c>
      <c r="AD51" s="45">
        <f>IF(AQ51="7",BH51,0)</f>
        <v>0</v>
      </c>
      <c r="AE51" s="45">
        <f>IF(AQ51="7",BI51,0)</f>
        <v>0</v>
      </c>
      <c r="AF51" s="45">
        <f>IF(AQ51="2",BH51,0)</f>
        <v>0</v>
      </c>
      <c r="AG51" s="45">
        <f>IF(AQ51="2",BI51,0)</f>
        <v>0</v>
      </c>
      <c r="AH51" s="45">
        <f>IF(AQ51="0",BJ51,0)</f>
        <v>0</v>
      </c>
      <c r="AI51" s="44" t="s">
        <v>305</v>
      </c>
      <c r="AJ51" s="27">
        <f>IF(AN51=0,M51,0)</f>
        <v>0</v>
      </c>
      <c r="AK51" s="27">
        <f>IF(AN51=15,M51,0)</f>
        <v>0</v>
      </c>
      <c r="AL51" s="27">
        <f>IF(AN51=21,M51,0)</f>
        <v>0</v>
      </c>
      <c r="AN51" s="45">
        <v>15</v>
      </c>
      <c r="AO51" s="45">
        <f>J51*0</f>
        <v>0</v>
      </c>
      <c r="AP51" s="45">
        <f>J51*(1-0)</f>
        <v>0</v>
      </c>
      <c r="AQ51" s="46" t="s">
        <v>7</v>
      </c>
      <c r="AV51" s="45">
        <f>AW51+AX51</f>
        <v>0</v>
      </c>
      <c r="AW51" s="45">
        <f>I51*AO51</f>
        <v>0</v>
      </c>
      <c r="AX51" s="45">
        <f>I51*AP51</f>
        <v>0</v>
      </c>
      <c r="AY51" s="48" t="s">
        <v>1084</v>
      </c>
      <c r="AZ51" s="48" t="s">
        <v>1119</v>
      </c>
      <c r="BA51" s="44" t="s">
        <v>1139</v>
      </c>
      <c r="BC51" s="45">
        <f>AW51+AX51</f>
        <v>0</v>
      </c>
      <c r="BD51" s="45">
        <f>J51/(100-BE51)*100</f>
        <v>0</v>
      </c>
      <c r="BE51" s="45">
        <v>0</v>
      </c>
      <c r="BF51" s="45">
        <f>51</f>
        <v>51</v>
      </c>
      <c r="BH51" s="27">
        <f>I51*AO51</f>
        <v>0</v>
      </c>
      <c r="BI51" s="27">
        <f>I51*AP51</f>
        <v>0</v>
      </c>
      <c r="BJ51" s="27">
        <f>I51*J51</f>
        <v>0</v>
      </c>
      <c r="BK51" s="27" t="s">
        <v>1146</v>
      </c>
      <c r="BL51" s="45">
        <v>27</v>
      </c>
    </row>
    <row r="52" spans="1:64" x14ac:dyDescent="0.2">
      <c r="A52" s="5" t="s">
        <v>27</v>
      </c>
      <c r="B52" s="16" t="s">
        <v>305</v>
      </c>
      <c r="C52" s="16" t="s">
        <v>330</v>
      </c>
      <c r="D52" s="243" t="s">
        <v>653</v>
      </c>
      <c r="E52" s="244"/>
      <c r="F52" s="244"/>
      <c r="G52" s="244"/>
      <c r="H52" s="16" t="s">
        <v>1041</v>
      </c>
      <c r="I52" s="27">
        <v>15.65</v>
      </c>
      <c r="J52" s="149"/>
      <c r="K52" s="27">
        <f>I52*AO52</f>
        <v>0</v>
      </c>
      <c r="L52" s="27">
        <f>I52*AP52</f>
        <v>0</v>
      </c>
      <c r="M52" s="27">
        <f>I52*J52</f>
        <v>0</v>
      </c>
      <c r="N52" s="56">
        <f>IF(M623=0,0,M52/M623)</f>
        <v>0</v>
      </c>
      <c r="O52" s="39" t="s">
        <v>1068</v>
      </c>
      <c r="P52" s="6"/>
      <c r="Z52" s="45">
        <f>IF(AQ52="5",BJ52,0)</f>
        <v>0</v>
      </c>
      <c r="AB52" s="45">
        <f>IF(AQ52="1",BH52,0)</f>
        <v>0</v>
      </c>
      <c r="AC52" s="45">
        <f>IF(AQ52="1",BI52,0)</f>
        <v>0</v>
      </c>
      <c r="AD52" s="45">
        <f>IF(AQ52="7",BH52,0)</f>
        <v>0</v>
      </c>
      <c r="AE52" s="45">
        <f>IF(AQ52="7",BI52,0)</f>
        <v>0</v>
      </c>
      <c r="AF52" s="45">
        <f>IF(AQ52="2",BH52,0)</f>
        <v>0</v>
      </c>
      <c r="AG52" s="45">
        <f>IF(AQ52="2",BI52,0)</f>
        <v>0</v>
      </c>
      <c r="AH52" s="45">
        <f>IF(AQ52="0",BJ52,0)</f>
        <v>0</v>
      </c>
      <c r="AI52" s="44" t="s">
        <v>305</v>
      </c>
      <c r="AJ52" s="27">
        <f>IF(AN52=0,M52,0)</f>
        <v>0</v>
      </c>
      <c r="AK52" s="27">
        <f>IF(AN52=15,M52,0)</f>
        <v>0</v>
      </c>
      <c r="AL52" s="27">
        <f>IF(AN52=21,M52,0)</f>
        <v>0</v>
      </c>
      <c r="AN52" s="45">
        <v>15</v>
      </c>
      <c r="AO52" s="45">
        <f>J52*0.888124763705104</f>
        <v>0</v>
      </c>
      <c r="AP52" s="45">
        <f>J52*(1-0.888124763705104)</f>
        <v>0</v>
      </c>
      <c r="AQ52" s="46" t="s">
        <v>7</v>
      </c>
      <c r="AV52" s="45">
        <f>AW52+AX52</f>
        <v>0</v>
      </c>
      <c r="AW52" s="45">
        <f>I52*AO52</f>
        <v>0</v>
      </c>
      <c r="AX52" s="45">
        <f>I52*AP52</f>
        <v>0</v>
      </c>
      <c r="AY52" s="48" t="s">
        <v>1084</v>
      </c>
      <c r="AZ52" s="48" t="s">
        <v>1119</v>
      </c>
      <c r="BA52" s="44" t="s">
        <v>1139</v>
      </c>
      <c r="BC52" s="45">
        <f>AW52+AX52</f>
        <v>0</v>
      </c>
      <c r="BD52" s="45">
        <f>J52/(100-BE52)*100</f>
        <v>0</v>
      </c>
      <c r="BE52" s="45">
        <v>0</v>
      </c>
      <c r="BF52" s="45">
        <f>52</f>
        <v>52</v>
      </c>
      <c r="BH52" s="27">
        <f>I52*AO52</f>
        <v>0</v>
      </c>
      <c r="BI52" s="27">
        <f>I52*AP52</f>
        <v>0</v>
      </c>
      <c r="BJ52" s="27">
        <f>I52*J52</f>
        <v>0</v>
      </c>
      <c r="BK52" s="27" t="s">
        <v>1146</v>
      </c>
      <c r="BL52" s="45">
        <v>27</v>
      </c>
    </row>
    <row r="53" spans="1:64" x14ac:dyDescent="0.2">
      <c r="A53" s="6"/>
      <c r="C53" s="21" t="s">
        <v>310</v>
      </c>
      <c r="D53" s="245" t="s">
        <v>650</v>
      </c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7"/>
      <c r="P53" s="6"/>
    </row>
    <row r="54" spans="1:64" x14ac:dyDescent="0.2">
      <c r="A54" s="5" t="s">
        <v>28</v>
      </c>
      <c r="B54" s="16" t="s">
        <v>305</v>
      </c>
      <c r="C54" s="16" t="s">
        <v>331</v>
      </c>
      <c r="D54" s="243" t="s">
        <v>654</v>
      </c>
      <c r="E54" s="244"/>
      <c r="F54" s="244"/>
      <c r="G54" s="244"/>
      <c r="H54" s="16" t="s">
        <v>1042</v>
      </c>
      <c r="I54" s="27">
        <v>6.14</v>
      </c>
      <c r="J54" s="149"/>
      <c r="K54" s="27">
        <f>I54*AO54</f>
        <v>0</v>
      </c>
      <c r="L54" s="27">
        <f>I54*AP54</f>
        <v>0</v>
      </c>
      <c r="M54" s="27">
        <f>I54*J54</f>
        <v>0</v>
      </c>
      <c r="N54" s="56">
        <f>IF(M623=0,0,M54/M623)</f>
        <v>0</v>
      </c>
      <c r="O54" s="39" t="s">
        <v>1068</v>
      </c>
      <c r="P54" s="6"/>
      <c r="Z54" s="45">
        <f>IF(AQ54="5",BJ54,0)</f>
        <v>0</v>
      </c>
      <c r="AB54" s="45">
        <f>IF(AQ54="1",BH54,0)</f>
        <v>0</v>
      </c>
      <c r="AC54" s="45">
        <f>IF(AQ54="1",BI54,0)</f>
        <v>0</v>
      </c>
      <c r="AD54" s="45">
        <f>IF(AQ54="7",BH54,0)</f>
        <v>0</v>
      </c>
      <c r="AE54" s="45">
        <f>IF(AQ54="7",BI54,0)</f>
        <v>0</v>
      </c>
      <c r="AF54" s="45">
        <f>IF(AQ54="2",BH54,0)</f>
        <v>0</v>
      </c>
      <c r="AG54" s="45">
        <f>IF(AQ54="2",BI54,0)</f>
        <v>0</v>
      </c>
      <c r="AH54" s="45">
        <f>IF(AQ54="0",BJ54,0)</f>
        <v>0</v>
      </c>
      <c r="AI54" s="44" t="s">
        <v>305</v>
      </c>
      <c r="AJ54" s="27">
        <f>IF(AN54=0,M54,0)</f>
        <v>0</v>
      </c>
      <c r="AK54" s="27">
        <f>IF(AN54=15,M54,0)</f>
        <v>0</v>
      </c>
      <c r="AL54" s="27">
        <f>IF(AN54=21,M54,0)</f>
        <v>0</v>
      </c>
      <c r="AN54" s="45">
        <v>15</v>
      </c>
      <c r="AO54" s="45">
        <f>J54*0.276818923327896</f>
        <v>0</v>
      </c>
      <c r="AP54" s="45">
        <f>J54*(1-0.276818923327896)</f>
        <v>0</v>
      </c>
      <c r="AQ54" s="46" t="s">
        <v>7</v>
      </c>
      <c r="AV54" s="45">
        <f>AW54+AX54</f>
        <v>0</v>
      </c>
      <c r="AW54" s="45">
        <f>I54*AO54</f>
        <v>0</v>
      </c>
      <c r="AX54" s="45">
        <f>I54*AP54</f>
        <v>0</v>
      </c>
      <c r="AY54" s="48" t="s">
        <v>1084</v>
      </c>
      <c r="AZ54" s="48" t="s">
        <v>1119</v>
      </c>
      <c r="BA54" s="44" t="s">
        <v>1139</v>
      </c>
      <c r="BC54" s="45">
        <f>AW54+AX54</f>
        <v>0</v>
      </c>
      <c r="BD54" s="45">
        <f>J54/(100-BE54)*100</f>
        <v>0</v>
      </c>
      <c r="BE54" s="45">
        <v>0</v>
      </c>
      <c r="BF54" s="45">
        <f>54</f>
        <v>54</v>
      </c>
      <c r="BH54" s="27">
        <f>I54*AO54</f>
        <v>0</v>
      </c>
      <c r="BI54" s="27">
        <f>I54*AP54</f>
        <v>0</v>
      </c>
      <c r="BJ54" s="27">
        <f>I54*J54</f>
        <v>0</v>
      </c>
      <c r="BK54" s="27" t="s">
        <v>1146</v>
      </c>
      <c r="BL54" s="45">
        <v>27</v>
      </c>
    </row>
    <row r="55" spans="1:64" x14ac:dyDescent="0.2">
      <c r="A55" s="5" t="s">
        <v>29</v>
      </c>
      <c r="B55" s="16" t="s">
        <v>305</v>
      </c>
      <c r="C55" s="16" t="s">
        <v>332</v>
      </c>
      <c r="D55" s="243" t="s">
        <v>655</v>
      </c>
      <c r="E55" s="244"/>
      <c r="F55" s="244"/>
      <c r="G55" s="244"/>
      <c r="H55" s="16" t="s">
        <v>1042</v>
      </c>
      <c r="I55" s="27">
        <v>6.14</v>
      </c>
      <c r="J55" s="149"/>
      <c r="K55" s="27">
        <f>I55*AO55</f>
        <v>0</v>
      </c>
      <c r="L55" s="27">
        <f>I55*AP55</f>
        <v>0</v>
      </c>
      <c r="M55" s="27">
        <f>I55*J55</f>
        <v>0</v>
      </c>
      <c r="N55" s="56">
        <f>IF(M623=0,0,M55/M623)</f>
        <v>0</v>
      </c>
      <c r="O55" s="39" t="s">
        <v>1068</v>
      </c>
      <c r="P55" s="6"/>
      <c r="Z55" s="45">
        <f>IF(AQ55="5",BJ55,0)</f>
        <v>0</v>
      </c>
      <c r="AB55" s="45">
        <f>IF(AQ55="1",BH55,0)</f>
        <v>0</v>
      </c>
      <c r="AC55" s="45">
        <f>IF(AQ55="1",BI55,0)</f>
        <v>0</v>
      </c>
      <c r="AD55" s="45">
        <f>IF(AQ55="7",BH55,0)</f>
        <v>0</v>
      </c>
      <c r="AE55" s="45">
        <f>IF(AQ55="7",BI55,0)</f>
        <v>0</v>
      </c>
      <c r="AF55" s="45">
        <f>IF(AQ55="2",BH55,0)</f>
        <v>0</v>
      </c>
      <c r="AG55" s="45">
        <f>IF(AQ55="2",BI55,0)</f>
        <v>0</v>
      </c>
      <c r="AH55" s="45">
        <f>IF(AQ55="0",BJ55,0)</f>
        <v>0</v>
      </c>
      <c r="AI55" s="44" t="s">
        <v>305</v>
      </c>
      <c r="AJ55" s="27">
        <f>IF(AN55=0,M55,0)</f>
        <v>0</v>
      </c>
      <c r="AK55" s="27">
        <f>IF(AN55=15,M55,0)</f>
        <v>0</v>
      </c>
      <c r="AL55" s="27">
        <f>IF(AN55=21,M55,0)</f>
        <v>0</v>
      </c>
      <c r="AN55" s="45">
        <v>15</v>
      </c>
      <c r="AO55" s="45">
        <f>J55*0</f>
        <v>0</v>
      </c>
      <c r="AP55" s="45">
        <f>J55*(1-0)</f>
        <v>0</v>
      </c>
      <c r="AQ55" s="46" t="s">
        <v>7</v>
      </c>
      <c r="AV55" s="45">
        <f>AW55+AX55</f>
        <v>0</v>
      </c>
      <c r="AW55" s="45">
        <f>I55*AO55</f>
        <v>0</v>
      </c>
      <c r="AX55" s="45">
        <f>I55*AP55</f>
        <v>0</v>
      </c>
      <c r="AY55" s="48" t="s">
        <v>1084</v>
      </c>
      <c r="AZ55" s="48" t="s">
        <v>1119</v>
      </c>
      <c r="BA55" s="44" t="s">
        <v>1139</v>
      </c>
      <c r="BC55" s="45">
        <f>AW55+AX55</f>
        <v>0</v>
      </c>
      <c r="BD55" s="45">
        <f>J55/(100-BE55)*100</f>
        <v>0</v>
      </c>
      <c r="BE55" s="45">
        <v>0</v>
      </c>
      <c r="BF55" s="45">
        <f>55</f>
        <v>55</v>
      </c>
      <c r="BH55" s="27">
        <f>I55*AO55</f>
        <v>0</v>
      </c>
      <c r="BI55" s="27">
        <f>I55*AP55</f>
        <v>0</v>
      </c>
      <c r="BJ55" s="27">
        <f>I55*J55</f>
        <v>0</v>
      </c>
      <c r="BK55" s="27" t="s">
        <v>1146</v>
      </c>
      <c r="BL55" s="45">
        <v>27</v>
      </c>
    </row>
    <row r="56" spans="1:64" x14ac:dyDescent="0.2">
      <c r="A56" s="5" t="s">
        <v>30</v>
      </c>
      <c r="B56" s="16" t="s">
        <v>305</v>
      </c>
      <c r="C56" s="16" t="s">
        <v>333</v>
      </c>
      <c r="D56" s="243" t="s">
        <v>656</v>
      </c>
      <c r="E56" s="244"/>
      <c r="F56" s="244"/>
      <c r="G56" s="244"/>
      <c r="H56" s="16" t="s">
        <v>1041</v>
      </c>
      <c r="I56" s="27">
        <v>21.57</v>
      </c>
      <c r="J56" s="149"/>
      <c r="K56" s="27">
        <f>I56*AO56</f>
        <v>0</v>
      </c>
      <c r="L56" s="27">
        <f>I56*AP56</f>
        <v>0</v>
      </c>
      <c r="M56" s="27">
        <f>I56*J56</f>
        <v>0</v>
      </c>
      <c r="N56" s="56">
        <f>IF(M623=0,0,M56/M623)</f>
        <v>0</v>
      </c>
      <c r="O56" s="39" t="s">
        <v>1068</v>
      </c>
      <c r="P56" s="6"/>
      <c r="Z56" s="45">
        <f>IF(AQ56="5",BJ56,0)</f>
        <v>0</v>
      </c>
      <c r="AB56" s="45">
        <f>IF(AQ56="1",BH56,0)</f>
        <v>0</v>
      </c>
      <c r="AC56" s="45">
        <f>IF(AQ56="1",BI56,0)</f>
        <v>0</v>
      </c>
      <c r="AD56" s="45">
        <f>IF(AQ56="7",BH56,0)</f>
        <v>0</v>
      </c>
      <c r="AE56" s="45">
        <f>IF(AQ56="7",BI56,0)</f>
        <v>0</v>
      </c>
      <c r="AF56" s="45">
        <f>IF(AQ56="2",BH56,0)</f>
        <v>0</v>
      </c>
      <c r="AG56" s="45">
        <f>IF(AQ56="2",BI56,0)</f>
        <v>0</v>
      </c>
      <c r="AH56" s="45">
        <f>IF(AQ56="0",BJ56,0)</f>
        <v>0</v>
      </c>
      <c r="AI56" s="44" t="s">
        <v>305</v>
      </c>
      <c r="AJ56" s="27">
        <f>IF(AN56=0,M56,0)</f>
        <v>0</v>
      </c>
      <c r="AK56" s="27">
        <f>IF(AN56=15,M56,0)</f>
        <v>0</v>
      </c>
      <c r="AL56" s="27">
        <f>IF(AN56=21,M56,0)</f>
        <v>0</v>
      </c>
      <c r="AN56" s="45">
        <v>15</v>
      </c>
      <c r="AO56" s="45">
        <f>J56*0.903382369458918</f>
        <v>0</v>
      </c>
      <c r="AP56" s="45">
        <f>J56*(1-0.903382369458918)</f>
        <v>0</v>
      </c>
      <c r="AQ56" s="46" t="s">
        <v>7</v>
      </c>
      <c r="AV56" s="45">
        <f>AW56+AX56</f>
        <v>0</v>
      </c>
      <c r="AW56" s="45">
        <f>I56*AO56</f>
        <v>0</v>
      </c>
      <c r="AX56" s="45">
        <f>I56*AP56</f>
        <v>0</v>
      </c>
      <c r="AY56" s="48" t="s">
        <v>1084</v>
      </c>
      <c r="AZ56" s="48" t="s">
        <v>1119</v>
      </c>
      <c r="BA56" s="44" t="s">
        <v>1139</v>
      </c>
      <c r="BC56" s="45">
        <f>AW56+AX56</f>
        <v>0</v>
      </c>
      <c r="BD56" s="45">
        <f>J56/(100-BE56)*100</f>
        <v>0</v>
      </c>
      <c r="BE56" s="45">
        <v>0</v>
      </c>
      <c r="BF56" s="45">
        <f>56</f>
        <v>56</v>
      </c>
      <c r="BH56" s="27">
        <f>I56*AO56</f>
        <v>0</v>
      </c>
      <c r="BI56" s="27">
        <f>I56*AP56</f>
        <v>0</v>
      </c>
      <c r="BJ56" s="27">
        <f>I56*J56</f>
        <v>0</v>
      </c>
      <c r="BK56" s="27" t="s">
        <v>1146</v>
      </c>
      <c r="BL56" s="45">
        <v>27</v>
      </c>
    </row>
    <row r="57" spans="1:64" x14ac:dyDescent="0.2">
      <c r="A57" s="6"/>
      <c r="C57" s="21" t="s">
        <v>310</v>
      </c>
      <c r="D57" s="245" t="s">
        <v>647</v>
      </c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7"/>
      <c r="P57" s="6"/>
    </row>
    <row r="58" spans="1:64" x14ac:dyDescent="0.2">
      <c r="A58" s="5" t="s">
        <v>31</v>
      </c>
      <c r="B58" s="16" t="s">
        <v>305</v>
      </c>
      <c r="C58" s="16" t="s">
        <v>334</v>
      </c>
      <c r="D58" s="243" t="s">
        <v>657</v>
      </c>
      <c r="E58" s="244"/>
      <c r="F58" s="244"/>
      <c r="G58" s="244"/>
      <c r="H58" s="16" t="s">
        <v>1041</v>
      </c>
      <c r="I58" s="27">
        <v>3.69</v>
      </c>
      <c r="J58" s="149"/>
      <c r="K58" s="27">
        <f>I58*AO58</f>
        <v>0</v>
      </c>
      <c r="L58" s="27">
        <f>I58*AP58</f>
        <v>0</v>
      </c>
      <c r="M58" s="27">
        <f>I58*J58</f>
        <v>0</v>
      </c>
      <c r="N58" s="56">
        <f>IF(M623=0,0,M58/M623)</f>
        <v>0</v>
      </c>
      <c r="O58" s="39" t="s">
        <v>1068</v>
      </c>
      <c r="P58" s="6"/>
      <c r="Z58" s="45">
        <f>IF(AQ58="5",BJ58,0)</f>
        <v>0</v>
      </c>
      <c r="AB58" s="45">
        <f>IF(AQ58="1",BH58,0)</f>
        <v>0</v>
      </c>
      <c r="AC58" s="45">
        <f>IF(AQ58="1",BI58,0)</f>
        <v>0</v>
      </c>
      <c r="AD58" s="45">
        <f>IF(AQ58="7",BH58,0)</f>
        <v>0</v>
      </c>
      <c r="AE58" s="45">
        <f>IF(AQ58="7",BI58,0)</f>
        <v>0</v>
      </c>
      <c r="AF58" s="45">
        <f>IF(AQ58="2",BH58,0)</f>
        <v>0</v>
      </c>
      <c r="AG58" s="45">
        <f>IF(AQ58="2",BI58,0)</f>
        <v>0</v>
      </c>
      <c r="AH58" s="45">
        <f>IF(AQ58="0",BJ58,0)</f>
        <v>0</v>
      </c>
      <c r="AI58" s="44" t="s">
        <v>305</v>
      </c>
      <c r="AJ58" s="27">
        <f>IF(AN58=0,M58,0)</f>
        <v>0</v>
      </c>
      <c r="AK58" s="27">
        <f>IF(AN58=15,M58,0)</f>
        <v>0</v>
      </c>
      <c r="AL58" s="27">
        <f>IF(AN58=21,M58,0)</f>
        <v>0</v>
      </c>
      <c r="AN58" s="45">
        <v>15</v>
      </c>
      <c r="AO58" s="45">
        <f>J58*0.917700845435833</f>
        <v>0</v>
      </c>
      <c r="AP58" s="45">
        <f>J58*(1-0.917700845435833)</f>
        <v>0</v>
      </c>
      <c r="AQ58" s="46" t="s">
        <v>7</v>
      </c>
      <c r="AV58" s="45">
        <f>AW58+AX58</f>
        <v>0</v>
      </c>
      <c r="AW58" s="45">
        <f>I58*AO58</f>
        <v>0</v>
      </c>
      <c r="AX58" s="45">
        <f>I58*AP58</f>
        <v>0</v>
      </c>
      <c r="AY58" s="48" t="s">
        <v>1084</v>
      </c>
      <c r="AZ58" s="48" t="s">
        <v>1119</v>
      </c>
      <c r="BA58" s="44" t="s">
        <v>1139</v>
      </c>
      <c r="BC58" s="45">
        <f>AW58+AX58</f>
        <v>0</v>
      </c>
      <c r="BD58" s="45">
        <f>J58/(100-BE58)*100</f>
        <v>0</v>
      </c>
      <c r="BE58" s="45">
        <v>0</v>
      </c>
      <c r="BF58" s="45">
        <f>58</f>
        <v>58</v>
      </c>
      <c r="BH58" s="27">
        <f>I58*AO58</f>
        <v>0</v>
      </c>
      <c r="BI58" s="27">
        <f>I58*AP58</f>
        <v>0</v>
      </c>
      <c r="BJ58" s="27">
        <f>I58*J58</f>
        <v>0</v>
      </c>
      <c r="BK58" s="27" t="s">
        <v>1146</v>
      </c>
      <c r="BL58" s="45">
        <v>27</v>
      </c>
    </row>
    <row r="59" spans="1:64" x14ac:dyDescent="0.2">
      <c r="A59" s="6"/>
      <c r="D59" s="251" t="s">
        <v>658</v>
      </c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3"/>
      <c r="P59" s="6"/>
    </row>
    <row r="60" spans="1:64" x14ac:dyDescent="0.2">
      <c r="A60" s="6"/>
      <c r="C60" s="20" t="s">
        <v>302</v>
      </c>
      <c r="D60" s="248" t="s">
        <v>659</v>
      </c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50"/>
      <c r="P60" s="6"/>
    </row>
    <row r="61" spans="1:64" x14ac:dyDescent="0.2">
      <c r="A61" s="5" t="s">
        <v>32</v>
      </c>
      <c r="B61" s="16" t="s">
        <v>305</v>
      </c>
      <c r="C61" s="16" t="s">
        <v>335</v>
      </c>
      <c r="D61" s="243" t="s">
        <v>660</v>
      </c>
      <c r="E61" s="244"/>
      <c r="F61" s="244"/>
      <c r="G61" s="244"/>
      <c r="H61" s="16" t="s">
        <v>1042</v>
      </c>
      <c r="I61" s="27">
        <v>11.62</v>
      </c>
      <c r="J61" s="149"/>
      <c r="K61" s="27">
        <f>I61*AO61</f>
        <v>0</v>
      </c>
      <c r="L61" s="27">
        <f>I61*AP61</f>
        <v>0</v>
      </c>
      <c r="M61" s="27">
        <f>I61*J61</f>
        <v>0</v>
      </c>
      <c r="N61" s="56">
        <f>IF(M623=0,0,M61/M623)</f>
        <v>0</v>
      </c>
      <c r="O61" s="39" t="s">
        <v>1068</v>
      </c>
      <c r="P61" s="6"/>
      <c r="Z61" s="45">
        <f>IF(AQ61="5",BJ61,0)</f>
        <v>0</v>
      </c>
      <c r="AB61" s="45">
        <f>IF(AQ61="1",BH61,0)</f>
        <v>0</v>
      </c>
      <c r="AC61" s="45">
        <f>IF(AQ61="1",BI61,0)</f>
        <v>0</v>
      </c>
      <c r="AD61" s="45">
        <f>IF(AQ61="7",BH61,0)</f>
        <v>0</v>
      </c>
      <c r="AE61" s="45">
        <f>IF(AQ61="7",BI61,0)</f>
        <v>0</v>
      </c>
      <c r="AF61" s="45">
        <f>IF(AQ61="2",BH61,0)</f>
        <v>0</v>
      </c>
      <c r="AG61" s="45">
        <f>IF(AQ61="2",BI61,0)</f>
        <v>0</v>
      </c>
      <c r="AH61" s="45">
        <f>IF(AQ61="0",BJ61,0)</f>
        <v>0</v>
      </c>
      <c r="AI61" s="44" t="s">
        <v>305</v>
      </c>
      <c r="AJ61" s="27">
        <f>IF(AN61=0,M61,0)</f>
        <v>0</v>
      </c>
      <c r="AK61" s="27">
        <f>IF(AN61=15,M61,0)</f>
        <v>0</v>
      </c>
      <c r="AL61" s="27">
        <f>IF(AN61=21,M61,0)</f>
        <v>0</v>
      </c>
      <c r="AN61" s="45">
        <v>15</v>
      </c>
      <c r="AO61" s="45">
        <f>J61*0.200342384887839</f>
        <v>0</v>
      </c>
      <c r="AP61" s="45">
        <f>J61*(1-0.200342384887839)</f>
        <v>0</v>
      </c>
      <c r="AQ61" s="46" t="s">
        <v>7</v>
      </c>
      <c r="AV61" s="45">
        <f>AW61+AX61</f>
        <v>0</v>
      </c>
      <c r="AW61" s="45">
        <f>I61*AO61</f>
        <v>0</v>
      </c>
      <c r="AX61" s="45">
        <f>I61*AP61</f>
        <v>0</v>
      </c>
      <c r="AY61" s="48" t="s">
        <v>1084</v>
      </c>
      <c r="AZ61" s="48" t="s">
        <v>1119</v>
      </c>
      <c r="BA61" s="44" t="s">
        <v>1139</v>
      </c>
      <c r="BC61" s="45">
        <f>AW61+AX61</f>
        <v>0</v>
      </c>
      <c r="BD61" s="45">
        <f>J61/(100-BE61)*100</f>
        <v>0</v>
      </c>
      <c r="BE61" s="45">
        <v>0</v>
      </c>
      <c r="BF61" s="45">
        <f>61</f>
        <v>61</v>
      </c>
      <c r="BH61" s="27">
        <f>I61*AO61</f>
        <v>0</v>
      </c>
      <c r="BI61" s="27">
        <f>I61*AP61</f>
        <v>0</v>
      </c>
      <c r="BJ61" s="27">
        <f>I61*J61</f>
        <v>0</v>
      </c>
      <c r="BK61" s="27" t="s">
        <v>1146</v>
      </c>
      <c r="BL61" s="45">
        <v>27</v>
      </c>
    </row>
    <row r="62" spans="1:64" x14ac:dyDescent="0.2">
      <c r="A62" s="5" t="s">
        <v>33</v>
      </c>
      <c r="B62" s="16" t="s">
        <v>305</v>
      </c>
      <c r="C62" s="16" t="s">
        <v>336</v>
      </c>
      <c r="D62" s="243" t="s">
        <v>661</v>
      </c>
      <c r="E62" s="244"/>
      <c r="F62" s="244"/>
      <c r="G62" s="244"/>
      <c r="H62" s="16" t="s">
        <v>1042</v>
      </c>
      <c r="I62" s="27">
        <v>11.23</v>
      </c>
      <c r="J62" s="149"/>
      <c r="K62" s="27">
        <f>I62*AO62</f>
        <v>0</v>
      </c>
      <c r="L62" s="27">
        <f>I62*AP62</f>
        <v>0</v>
      </c>
      <c r="M62" s="27">
        <f>I62*J62</f>
        <v>0</v>
      </c>
      <c r="N62" s="56">
        <f>IF(M623=0,0,M62/M623)</f>
        <v>0</v>
      </c>
      <c r="O62" s="39" t="s">
        <v>1068</v>
      </c>
      <c r="P62" s="6"/>
      <c r="Z62" s="45">
        <f>IF(AQ62="5",BJ62,0)</f>
        <v>0</v>
      </c>
      <c r="AB62" s="45">
        <f>IF(AQ62="1",BH62,0)</f>
        <v>0</v>
      </c>
      <c r="AC62" s="45">
        <f>IF(AQ62="1",BI62,0)</f>
        <v>0</v>
      </c>
      <c r="AD62" s="45">
        <f>IF(AQ62="7",BH62,0)</f>
        <v>0</v>
      </c>
      <c r="AE62" s="45">
        <f>IF(AQ62="7",BI62,0)</f>
        <v>0</v>
      </c>
      <c r="AF62" s="45">
        <f>IF(AQ62="2",BH62,0)</f>
        <v>0</v>
      </c>
      <c r="AG62" s="45">
        <f>IF(AQ62="2",BI62,0)</f>
        <v>0</v>
      </c>
      <c r="AH62" s="45">
        <f>IF(AQ62="0",BJ62,0)</f>
        <v>0</v>
      </c>
      <c r="AI62" s="44" t="s">
        <v>305</v>
      </c>
      <c r="AJ62" s="27">
        <f>IF(AN62=0,M62,0)</f>
        <v>0</v>
      </c>
      <c r="AK62" s="27">
        <f>IF(AN62=15,M62,0)</f>
        <v>0</v>
      </c>
      <c r="AL62" s="27">
        <f>IF(AN62=21,M62,0)</f>
        <v>0</v>
      </c>
      <c r="AN62" s="45">
        <v>15</v>
      </c>
      <c r="AO62" s="45">
        <f>J62*0</f>
        <v>0</v>
      </c>
      <c r="AP62" s="45">
        <f>J62*(1-0)</f>
        <v>0</v>
      </c>
      <c r="AQ62" s="46" t="s">
        <v>7</v>
      </c>
      <c r="AV62" s="45">
        <f>AW62+AX62</f>
        <v>0</v>
      </c>
      <c r="AW62" s="45">
        <f>I62*AO62</f>
        <v>0</v>
      </c>
      <c r="AX62" s="45">
        <f>I62*AP62</f>
        <v>0</v>
      </c>
      <c r="AY62" s="48" t="s">
        <v>1084</v>
      </c>
      <c r="AZ62" s="48" t="s">
        <v>1119</v>
      </c>
      <c r="BA62" s="44" t="s">
        <v>1139</v>
      </c>
      <c r="BC62" s="45">
        <f>AW62+AX62</f>
        <v>0</v>
      </c>
      <c r="BD62" s="45">
        <f>J62/(100-BE62)*100</f>
        <v>0</v>
      </c>
      <c r="BE62" s="45">
        <v>0</v>
      </c>
      <c r="BF62" s="45">
        <f>62</f>
        <v>62</v>
      </c>
      <c r="BH62" s="27">
        <f>I62*AO62</f>
        <v>0</v>
      </c>
      <c r="BI62" s="27">
        <f>I62*AP62</f>
        <v>0</v>
      </c>
      <c r="BJ62" s="27">
        <f>I62*J62</f>
        <v>0</v>
      </c>
      <c r="BK62" s="27" t="s">
        <v>1146</v>
      </c>
      <c r="BL62" s="45">
        <v>27</v>
      </c>
    </row>
    <row r="63" spans="1:64" x14ac:dyDescent="0.2">
      <c r="A63" s="5" t="s">
        <v>34</v>
      </c>
      <c r="B63" s="16" t="s">
        <v>305</v>
      </c>
      <c r="C63" s="16" t="s">
        <v>337</v>
      </c>
      <c r="D63" s="243" t="s">
        <v>662</v>
      </c>
      <c r="E63" s="244"/>
      <c r="F63" s="244"/>
      <c r="G63" s="244"/>
      <c r="H63" s="16" t="s">
        <v>1043</v>
      </c>
      <c r="I63" s="27">
        <v>1.44</v>
      </c>
      <c r="J63" s="149"/>
      <c r="K63" s="27">
        <f>I63*AO63</f>
        <v>0</v>
      </c>
      <c r="L63" s="27">
        <f>I63*AP63</f>
        <v>0</v>
      </c>
      <c r="M63" s="27">
        <f>I63*J63</f>
        <v>0</v>
      </c>
      <c r="N63" s="56">
        <f>IF(M623=0,0,M63/M623)</f>
        <v>0</v>
      </c>
      <c r="O63" s="39" t="s">
        <v>1068</v>
      </c>
      <c r="P63" s="6"/>
      <c r="Z63" s="45">
        <f>IF(AQ63="5",BJ63,0)</f>
        <v>0</v>
      </c>
      <c r="AB63" s="45">
        <f>IF(AQ63="1",BH63,0)</f>
        <v>0</v>
      </c>
      <c r="AC63" s="45">
        <f>IF(AQ63="1",BI63,0)</f>
        <v>0</v>
      </c>
      <c r="AD63" s="45">
        <f>IF(AQ63="7",BH63,0)</f>
        <v>0</v>
      </c>
      <c r="AE63" s="45">
        <f>IF(AQ63="7",BI63,0)</f>
        <v>0</v>
      </c>
      <c r="AF63" s="45">
        <f>IF(AQ63="2",BH63,0)</f>
        <v>0</v>
      </c>
      <c r="AG63" s="45">
        <f>IF(AQ63="2",BI63,0)</f>
        <v>0</v>
      </c>
      <c r="AH63" s="45">
        <f>IF(AQ63="0",BJ63,0)</f>
        <v>0</v>
      </c>
      <c r="AI63" s="44" t="s">
        <v>305</v>
      </c>
      <c r="AJ63" s="27">
        <f>IF(AN63=0,M63,0)</f>
        <v>0</v>
      </c>
      <c r="AK63" s="27">
        <f>IF(AN63=15,M63,0)</f>
        <v>0</v>
      </c>
      <c r="AL63" s="27">
        <f>IF(AN63=21,M63,0)</f>
        <v>0</v>
      </c>
      <c r="AN63" s="45">
        <v>15</v>
      </c>
      <c r="AO63" s="45">
        <f>J63*0.858448720343733</f>
        <v>0</v>
      </c>
      <c r="AP63" s="45">
        <f>J63*(1-0.858448720343733)</f>
        <v>0</v>
      </c>
      <c r="AQ63" s="46" t="s">
        <v>7</v>
      </c>
      <c r="AV63" s="45">
        <f>AW63+AX63</f>
        <v>0</v>
      </c>
      <c r="AW63" s="45">
        <f>I63*AO63</f>
        <v>0</v>
      </c>
      <c r="AX63" s="45">
        <f>I63*AP63</f>
        <v>0</v>
      </c>
      <c r="AY63" s="48" t="s">
        <v>1084</v>
      </c>
      <c r="AZ63" s="48" t="s">
        <v>1119</v>
      </c>
      <c r="BA63" s="44" t="s">
        <v>1139</v>
      </c>
      <c r="BC63" s="45">
        <f>AW63+AX63</f>
        <v>0</v>
      </c>
      <c r="BD63" s="45">
        <f>J63/(100-BE63)*100</f>
        <v>0</v>
      </c>
      <c r="BE63" s="45">
        <v>0</v>
      </c>
      <c r="BF63" s="45">
        <f>63</f>
        <v>63</v>
      </c>
      <c r="BH63" s="27">
        <f>I63*AO63</f>
        <v>0</v>
      </c>
      <c r="BI63" s="27">
        <f>I63*AP63</f>
        <v>0</v>
      </c>
      <c r="BJ63" s="27">
        <f>I63*J63</f>
        <v>0</v>
      </c>
      <c r="BK63" s="27" t="s">
        <v>1146</v>
      </c>
      <c r="BL63" s="45">
        <v>27</v>
      </c>
    </row>
    <row r="64" spans="1:64" x14ac:dyDescent="0.2">
      <c r="A64" s="6"/>
      <c r="D64" s="251" t="s">
        <v>663</v>
      </c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3"/>
      <c r="P64" s="6"/>
    </row>
    <row r="65" spans="1:64" x14ac:dyDescent="0.2">
      <c r="A65" s="6"/>
      <c r="C65" s="21" t="s">
        <v>310</v>
      </c>
      <c r="D65" s="245" t="s">
        <v>647</v>
      </c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7"/>
      <c r="P65" s="6"/>
    </row>
    <row r="66" spans="1:64" x14ac:dyDescent="0.2">
      <c r="A66" s="5" t="s">
        <v>35</v>
      </c>
      <c r="B66" s="16" t="s">
        <v>305</v>
      </c>
      <c r="C66" s="16" t="s">
        <v>338</v>
      </c>
      <c r="D66" s="243" t="s">
        <v>664</v>
      </c>
      <c r="E66" s="244"/>
      <c r="F66" s="244"/>
      <c r="G66" s="244"/>
      <c r="H66" s="16" t="s">
        <v>1041</v>
      </c>
      <c r="I66" s="27">
        <v>5.96</v>
      </c>
      <c r="J66" s="149"/>
      <c r="K66" s="27">
        <f>I66*AO66</f>
        <v>0</v>
      </c>
      <c r="L66" s="27">
        <f>I66*AP66</f>
        <v>0</v>
      </c>
      <c r="M66" s="27">
        <f>I66*J66</f>
        <v>0</v>
      </c>
      <c r="N66" s="56">
        <f>IF(M623=0,0,M66/M623)</f>
        <v>0</v>
      </c>
      <c r="O66" s="39" t="s">
        <v>1068</v>
      </c>
      <c r="P66" s="6"/>
      <c r="Z66" s="45">
        <f>IF(AQ66="5",BJ66,0)</f>
        <v>0</v>
      </c>
      <c r="AB66" s="45">
        <f>IF(AQ66="1",BH66,0)</f>
        <v>0</v>
      </c>
      <c r="AC66" s="45">
        <f>IF(AQ66="1",BI66,0)</f>
        <v>0</v>
      </c>
      <c r="AD66" s="45">
        <f>IF(AQ66="7",BH66,0)</f>
        <v>0</v>
      </c>
      <c r="AE66" s="45">
        <f>IF(AQ66="7",BI66,0)</f>
        <v>0</v>
      </c>
      <c r="AF66" s="45">
        <f>IF(AQ66="2",BH66,0)</f>
        <v>0</v>
      </c>
      <c r="AG66" s="45">
        <f>IF(AQ66="2",BI66,0)</f>
        <v>0</v>
      </c>
      <c r="AH66" s="45">
        <f>IF(AQ66="0",BJ66,0)</f>
        <v>0</v>
      </c>
      <c r="AI66" s="44" t="s">
        <v>305</v>
      </c>
      <c r="AJ66" s="27">
        <f>IF(AN66=0,M66,0)</f>
        <v>0</v>
      </c>
      <c r="AK66" s="27">
        <f>IF(AN66=15,M66,0)</f>
        <v>0</v>
      </c>
      <c r="AL66" s="27">
        <f>IF(AN66=21,M66,0)</f>
        <v>0</v>
      </c>
      <c r="AN66" s="45">
        <v>15</v>
      </c>
      <c r="AO66" s="45">
        <f>J66*0.904310805948174</f>
        <v>0</v>
      </c>
      <c r="AP66" s="45">
        <f>J66*(1-0.904310805948174)</f>
        <v>0</v>
      </c>
      <c r="AQ66" s="46" t="s">
        <v>7</v>
      </c>
      <c r="AV66" s="45">
        <f>AW66+AX66</f>
        <v>0</v>
      </c>
      <c r="AW66" s="45">
        <f>I66*AO66</f>
        <v>0</v>
      </c>
      <c r="AX66" s="45">
        <f>I66*AP66</f>
        <v>0</v>
      </c>
      <c r="AY66" s="48" t="s">
        <v>1084</v>
      </c>
      <c r="AZ66" s="48" t="s">
        <v>1119</v>
      </c>
      <c r="BA66" s="44" t="s">
        <v>1139</v>
      </c>
      <c r="BC66" s="45">
        <f>AW66+AX66</f>
        <v>0</v>
      </c>
      <c r="BD66" s="45">
        <f>J66/(100-BE66)*100</f>
        <v>0</v>
      </c>
      <c r="BE66" s="45">
        <v>0</v>
      </c>
      <c r="BF66" s="45">
        <f>66</f>
        <v>66</v>
      </c>
      <c r="BH66" s="27">
        <f>I66*AO66</f>
        <v>0</v>
      </c>
      <c r="BI66" s="27">
        <f>I66*AP66</f>
        <v>0</v>
      </c>
      <c r="BJ66" s="27">
        <f>I66*J66</f>
        <v>0</v>
      </c>
      <c r="BK66" s="27" t="s">
        <v>1146</v>
      </c>
      <c r="BL66" s="45">
        <v>27</v>
      </c>
    </row>
    <row r="67" spans="1:64" x14ac:dyDescent="0.2">
      <c r="A67" s="6"/>
      <c r="D67" s="251" t="s">
        <v>658</v>
      </c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3"/>
      <c r="P67" s="6"/>
    </row>
    <row r="68" spans="1:64" x14ac:dyDescent="0.2">
      <c r="A68" s="6"/>
      <c r="C68" s="21" t="s">
        <v>310</v>
      </c>
      <c r="D68" s="245" t="s">
        <v>665</v>
      </c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7"/>
      <c r="P68" s="6"/>
    </row>
    <row r="69" spans="1:64" x14ac:dyDescent="0.2">
      <c r="A69" s="5" t="s">
        <v>36</v>
      </c>
      <c r="B69" s="16" t="s">
        <v>305</v>
      </c>
      <c r="C69" s="16" t="s">
        <v>339</v>
      </c>
      <c r="D69" s="243" t="s">
        <v>666</v>
      </c>
      <c r="E69" s="244"/>
      <c r="F69" s="244"/>
      <c r="G69" s="244"/>
      <c r="H69" s="16" t="s">
        <v>1042</v>
      </c>
      <c r="I69" s="27">
        <v>29.8</v>
      </c>
      <c r="J69" s="149"/>
      <c r="K69" s="27">
        <f>I69*AO69</f>
        <v>0</v>
      </c>
      <c r="L69" s="27">
        <f>I69*AP69</f>
        <v>0</v>
      </c>
      <c r="M69" s="27">
        <f>I69*J69</f>
        <v>0</v>
      </c>
      <c r="N69" s="56">
        <f>IF(M623=0,0,M69/M623)</f>
        <v>0</v>
      </c>
      <c r="O69" s="39" t="s">
        <v>1068</v>
      </c>
      <c r="P69" s="6"/>
      <c r="Z69" s="45">
        <f>IF(AQ69="5",BJ69,0)</f>
        <v>0</v>
      </c>
      <c r="AB69" s="45">
        <f>IF(AQ69="1",BH69,0)</f>
        <v>0</v>
      </c>
      <c r="AC69" s="45">
        <f>IF(AQ69="1",BI69,0)</f>
        <v>0</v>
      </c>
      <c r="AD69" s="45">
        <f>IF(AQ69="7",BH69,0)</f>
        <v>0</v>
      </c>
      <c r="AE69" s="45">
        <f>IF(AQ69="7",BI69,0)</f>
        <v>0</v>
      </c>
      <c r="AF69" s="45">
        <f>IF(AQ69="2",BH69,0)</f>
        <v>0</v>
      </c>
      <c r="AG69" s="45">
        <f>IF(AQ69="2",BI69,0)</f>
        <v>0</v>
      </c>
      <c r="AH69" s="45">
        <f>IF(AQ69="0",BJ69,0)</f>
        <v>0</v>
      </c>
      <c r="AI69" s="44" t="s">
        <v>305</v>
      </c>
      <c r="AJ69" s="27">
        <f>IF(AN69=0,M69,0)</f>
        <v>0</v>
      </c>
      <c r="AK69" s="27">
        <f>IF(AN69=15,M69,0)</f>
        <v>0</v>
      </c>
      <c r="AL69" s="27">
        <f>IF(AN69=21,M69,0)</f>
        <v>0</v>
      </c>
      <c r="AN69" s="45">
        <v>15</v>
      </c>
      <c r="AO69" s="45">
        <f>J69*0.305793103448276</f>
        <v>0</v>
      </c>
      <c r="AP69" s="45">
        <f>J69*(1-0.305793103448276)</f>
        <v>0</v>
      </c>
      <c r="AQ69" s="46" t="s">
        <v>7</v>
      </c>
      <c r="AV69" s="45">
        <f>AW69+AX69</f>
        <v>0</v>
      </c>
      <c r="AW69" s="45">
        <f>I69*AO69</f>
        <v>0</v>
      </c>
      <c r="AX69" s="45">
        <f>I69*AP69</f>
        <v>0</v>
      </c>
      <c r="AY69" s="48" t="s">
        <v>1084</v>
      </c>
      <c r="AZ69" s="48" t="s">
        <v>1119</v>
      </c>
      <c r="BA69" s="44" t="s">
        <v>1139</v>
      </c>
      <c r="BC69" s="45">
        <f>AW69+AX69</f>
        <v>0</v>
      </c>
      <c r="BD69" s="45">
        <f>J69/(100-BE69)*100</f>
        <v>0</v>
      </c>
      <c r="BE69" s="45">
        <v>0</v>
      </c>
      <c r="BF69" s="45">
        <f>69</f>
        <v>69</v>
      </c>
      <c r="BH69" s="27">
        <f>I69*AO69</f>
        <v>0</v>
      </c>
      <c r="BI69" s="27">
        <f>I69*AP69</f>
        <v>0</v>
      </c>
      <c r="BJ69" s="27">
        <f>I69*J69</f>
        <v>0</v>
      </c>
      <c r="BK69" s="27" t="s">
        <v>1146</v>
      </c>
      <c r="BL69" s="45">
        <v>27</v>
      </c>
    </row>
    <row r="70" spans="1:64" x14ac:dyDescent="0.2">
      <c r="A70" s="5" t="s">
        <v>37</v>
      </c>
      <c r="B70" s="16" t="s">
        <v>305</v>
      </c>
      <c r="C70" s="16" t="s">
        <v>340</v>
      </c>
      <c r="D70" s="243" t="s">
        <v>667</v>
      </c>
      <c r="E70" s="244"/>
      <c r="F70" s="244"/>
      <c r="G70" s="244"/>
      <c r="H70" s="16" t="s">
        <v>1042</v>
      </c>
      <c r="I70" s="27">
        <v>29.8</v>
      </c>
      <c r="J70" s="149"/>
      <c r="K70" s="27">
        <f>I70*AO70</f>
        <v>0</v>
      </c>
      <c r="L70" s="27">
        <f>I70*AP70</f>
        <v>0</v>
      </c>
      <c r="M70" s="27">
        <f>I70*J70</f>
        <v>0</v>
      </c>
      <c r="N70" s="56">
        <f>IF(M623=0,0,M70/M623)</f>
        <v>0</v>
      </c>
      <c r="O70" s="39" t="s">
        <v>1068</v>
      </c>
      <c r="P70" s="6"/>
      <c r="Z70" s="45">
        <f>IF(AQ70="5",BJ70,0)</f>
        <v>0</v>
      </c>
      <c r="AB70" s="45">
        <f>IF(AQ70="1",BH70,0)</f>
        <v>0</v>
      </c>
      <c r="AC70" s="45">
        <f>IF(AQ70="1",BI70,0)</f>
        <v>0</v>
      </c>
      <c r="AD70" s="45">
        <f>IF(AQ70="7",BH70,0)</f>
        <v>0</v>
      </c>
      <c r="AE70" s="45">
        <f>IF(AQ70="7",BI70,0)</f>
        <v>0</v>
      </c>
      <c r="AF70" s="45">
        <f>IF(AQ70="2",BH70,0)</f>
        <v>0</v>
      </c>
      <c r="AG70" s="45">
        <f>IF(AQ70="2",BI70,0)</f>
        <v>0</v>
      </c>
      <c r="AH70" s="45">
        <f>IF(AQ70="0",BJ70,0)</f>
        <v>0</v>
      </c>
      <c r="AI70" s="44" t="s">
        <v>305</v>
      </c>
      <c r="AJ70" s="27">
        <f>IF(AN70=0,M70,0)</f>
        <v>0</v>
      </c>
      <c r="AK70" s="27">
        <f>IF(AN70=15,M70,0)</f>
        <v>0</v>
      </c>
      <c r="AL70" s="27">
        <f>IF(AN70=21,M70,0)</f>
        <v>0</v>
      </c>
      <c r="AN70" s="45">
        <v>15</v>
      </c>
      <c r="AO70" s="45">
        <f>J70*0</f>
        <v>0</v>
      </c>
      <c r="AP70" s="45">
        <f>J70*(1-0)</f>
        <v>0</v>
      </c>
      <c r="AQ70" s="46" t="s">
        <v>7</v>
      </c>
      <c r="AV70" s="45">
        <f>AW70+AX70</f>
        <v>0</v>
      </c>
      <c r="AW70" s="45">
        <f>I70*AO70</f>
        <v>0</v>
      </c>
      <c r="AX70" s="45">
        <f>I70*AP70</f>
        <v>0</v>
      </c>
      <c r="AY70" s="48" t="s">
        <v>1084</v>
      </c>
      <c r="AZ70" s="48" t="s">
        <v>1119</v>
      </c>
      <c r="BA70" s="44" t="s">
        <v>1139</v>
      </c>
      <c r="BC70" s="45">
        <f>AW70+AX70</f>
        <v>0</v>
      </c>
      <c r="BD70" s="45">
        <f>J70/(100-BE70)*100</f>
        <v>0</v>
      </c>
      <c r="BE70" s="45">
        <v>0</v>
      </c>
      <c r="BF70" s="45">
        <f>70</f>
        <v>70</v>
      </c>
      <c r="BH70" s="27">
        <f>I70*AO70</f>
        <v>0</v>
      </c>
      <c r="BI70" s="27">
        <f>I70*AP70</f>
        <v>0</v>
      </c>
      <c r="BJ70" s="27">
        <f>I70*J70</f>
        <v>0</v>
      </c>
      <c r="BK70" s="27" t="s">
        <v>1146</v>
      </c>
      <c r="BL70" s="45">
        <v>27</v>
      </c>
    </row>
    <row r="71" spans="1:64" x14ac:dyDescent="0.2">
      <c r="A71" s="5" t="s">
        <v>38</v>
      </c>
      <c r="B71" s="16" t="s">
        <v>305</v>
      </c>
      <c r="C71" s="16" t="s">
        <v>341</v>
      </c>
      <c r="D71" s="243" t="s">
        <v>668</v>
      </c>
      <c r="E71" s="244"/>
      <c r="F71" s="244"/>
      <c r="G71" s="244"/>
      <c r="H71" s="16" t="s">
        <v>1043</v>
      </c>
      <c r="I71" s="27">
        <v>0.72</v>
      </c>
      <c r="J71" s="149"/>
      <c r="K71" s="27">
        <f>I71*AO71</f>
        <v>0</v>
      </c>
      <c r="L71" s="27">
        <f>I71*AP71</f>
        <v>0</v>
      </c>
      <c r="M71" s="27">
        <f>I71*J71</f>
        <v>0</v>
      </c>
      <c r="N71" s="56">
        <f>IF(M623=0,0,M71/M623)</f>
        <v>0</v>
      </c>
      <c r="O71" s="39" t="s">
        <v>1068</v>
      </c>
      <c r="P71" s="6"/>
      <c r="Z71" s="45">
        <f>IF(AQ71="5",BJ71,0)</f>
        <v>0</v>
      </c>
      <c r="AB71" s="45">
        <f>IF(AQ71="1",BH71,0)</f>
        <v>0</v>
      </c>
      <c r="AC71" s="45">
        <f>IF(AQ71="1",BI71,0)</f>
        <v>0</v>
      </c>
      <c r="AD71" s="45">
        <f>IF(AQ71="7",BH71,0)</f>
        <v>0</v>
      </c>
      <c r="AE71" s="45">
        <f>IF(AQ71="7",BI71,0)</f>
        <v>0</v>
      </c>
      <c r="AF71" s="45">
        <f>IF(AQ71="2",BH71,0)</f>
        <v>0</v>
      </c>
      <c r="AG71" s="45">
        <f>IF(AQ71="2",BI71,0)</f>
        <v>0</v>
      </c>
      <c r="AH71" s="45">
        <f>IF(AQ71="0",BJ71,0)</f>
        <v>0</v>
      </c>
      <c r="AI71" s="44" t="s">
        <v>305</v>
      </c>
      <c r="AJ71" s="27">
        <f>IF(AN71=0,M71,0)</f>
        <v>0</v>
      </c>
      <c r="AK71" s="27">
        <f>IF(AN71=15,M71,0)</f>
        <v>0</v>
      </c>
      <c r="AL71" s="27">
        <f>IF(AN71=21,M71,0)</f>
        <v>0</v>
      </c>
      <c r="AN71" s="45">
        <v>15</v>
      </c>
      <c r="AO71" s="45">
        <f>J71*0.772584983579059</f>
        <v>0</v>
      </c>
      <c r="AP71" s="45">
        <f>J71*(1-0.772584983579059)</f>
        <v>0</v>
      </c>
      <c r="AQ71" s="46" t="s">
        <v>7</v>
      </c>
      <c r="AV71" s="45">
        <f>AW71+AX71</f>
        <v>0</v>
      </c>
      <c r="AW71" s="45">
        <f>I71*AO71</f>
        <v>0</v>
      </c>
      <c r="AX71" s="45">
        <f>I71*AP71</f>
        <v>0</v>
      </c>
      <c r="AY71" s="48" t="s">
        <v>1084</v>
      </c>
      <c r="AZ71" s="48" t="s">
        <v>1119</v>
      </c>
      <c r="BA71" s="44" t="s">
        <v>1139</v>
      </c>
      <c r="BC71" s="45">
        <f>AW71+AX71</f>
        <v>0</v>
      </c>
      <c r="BD71" s="45">
        <f>J71/(100-BE71)*100</f>
        <v>0</v>
      </c>
      <c r="BE71" s="45">
        <v>0</v>
      </c>
      <c r="BF71" s="45">
        <f>71</f>
        <v>71</v>
      </c>
      <c r="BH71" s="27">
        <f>I71*AO71</f>
        <v>0</v>
      </c>
      <c r="BI71" s="27">
        <f>I71*AP71</f>
        <v>0</v>
      </c>
      <c r="BJ71" s="27">
        <f>I71*J71</f>
        <v>0</v>
      </c>
      <c r="BK71" s="27" t="s">
        <v>1146</v>
      </c>
      <c r="BL71" s="45">
        <v>27</v>
      </c>
    </row>
    <row r="72" spans="1:64" x14ac:dyDescent="0.2">
      <c r="A72" s="6"/>
      <c r="C72" s="20" t="s">
        <v>302</v>
      </c>
      <c r="D72" s="248" t="s">
        <v>669</v>
      </c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50"/>
      <c r="P72" s="6"/>
    </row>
    <row r="73" spans="1:64" x14ac:dyDescent="0.2">
      <c r="A73" s="4"/>
      <c r="B73" s="15" t="s">
        <v>305</v>
      </c>
      <c r="C73" s="15" t="s">
        <v>37</v>
      </c>
      <c r="D73" s="237" t="s">
        <v>670</v>
      </c>
      <c r="E73" s="238"/>
      <c r="F73" s="238"/>
      <c r="G73" s="238"/>
      <c r="H73" s="24" t="s">
        <v>6</v>
      </c>
      <c r="I73" s="24" t="s">
        <v>6</v>
      </c>
      <c r="J73" s="24" t="s">
        <v>6</v>
      </c>
      <c r="K73" s="51">
        <f>SUM(K74:K120)</f>
        <v>0</v>
      </c>
      <c r="L73" s="51">
        <f>SUM(L74:L120)</f>
        <v>0</v>
      </c>
      <c r="M73" s="51">
        <f>SUM(M74:M120)</f>
        <v>0</v>
      </c>
      <c r="N73" s="55">
        <f>IF(M623=0,0,M73/M623)</f>
        <v>0</v>
      </c>
      <c r="O73" s="38"/>
      <c r="P73" s="6"/>
      <c r="AI73" s="44" t="s">
        <v>305</v>
      </c>
      <c r="AS73" s="51">
        <f>SUM(AJ74:AJ120)</f>
        <v>0</v>
      </c>
      <c r="AT73" s="51">
        <f>SUM(AK74:AK120)</f>
        <v>0</v>
      </c>
      <c r="AU73" s="51">
        <f>SUM(AL74:AL120)</f>
        <v>0</v>
      </c>
    </row>
    <row r="74" spans="1:64" x14ac:dyDescent="0.2">
      <c r="A74" s="5" t="s">
        <v>39</v>
      </c>
      <c r="B74" s="16" t="s">
        <v>305</v>
      </c>
      <c r="C74" s="16" t="s">
        <v>342</v>
      </c>
      <c r="D74" s="243" t="s">
        <v>671</v>
      </c>
      <c r="E74" s="244"/>
      <c r="F74" s="244"/>
      <c r="G74" s="244"/>
      <c r="H74" s="16" t="s">
        <v>1044</v>
      </c>
      <c r="I74" s="27">
        <v>1</v>
      </c>
      <c r="J74" s="149"/>
      <c r="K74" s="27">
        <f>I74*AO74</f>
        <v>0</v>
      </c>
      <c r="L74" s="27">
        <f>I74*AP74</f>
        <v>0</v>
      </c>
      <c r="M74" s="27">
        <f>I74*J74</f>
        <v>0</v>
      </c>
      <c r="N74" s="56">
        <f>IF(M623=0,0,M74/M623)</f>
        <v>0</v>
      </c>
      <c r="O74" s="39" t="s">
        <v>1068</v>
      </c>
      <c r="P74" s="6"/>
      <c r="Z74" s="45">
        <f>IF(AQ74="5",BJ74,0)</f>
        <v>0</v>
      </c>
      <c r="AB74" s="45">
        <f>IF(AQ74="1",BH74,0)</f>
        <v>0</v>
      </c>
      <c r="AC74" s="45">
        <f>IF(AQ74="1",BI74,0)</f>
        <v>0</v>
      </c>
      <c r="AD74" s="45">
        <f>IF(AQ74="7",BH74,0)</f>
        <v>0</v>
      </c>
      <c r="AE74" s="45">
        <f>IF(AQ74="7",BI74,0)</f>
        <v>0</v>
      </c>
      <c r="AF74" s="45">
        <f>IF(AQ74="2",BH74,0)</f>
        <v>0</v>
      </c>
      <c r="AG74" s="45">
        <f>IF(AQ74="2",BI74,0)</f>
        <v>0</v>
      </c>
      <c r="AH74" s="45">
        <f>IF(AQ74="0",BJ74,0)</f>
        <v>0</v>
      </c>
      <c r="AI74" s="44" t="s">
        <v>305</v>
      </c>
      <c r="AJ74" s="27">
        <f>IF(AN74=0,M74,0)</f>
        <v>0</v>
      </c>
      <c r="AK74" s="27">
        <f>IF(AN74=15,M74,0)</f>
        <v>0</v>
      </c>
      <c r="AL74" s="27">
        <f>IF(AN74=21,M74,0)</f>
        <v>0</v>
      </c>
      <c r="AN74" s="45">
        <v>15</v>
      </c>
      <c r="AO74" s="45">
        <f>J74*0</f>
        <v>0</v>
      </c>
      <c r="AP74" s="45">
        <f>J74*(1-0)</f>
        <v>0</v>
      </c>
      <c r="AQ74" s="46" t="s">
        <v>7</v>
      </c>
      <c r="AV74" s="45">
        <f>AW74+AX74</f>
        <v>0</v>
      </c>
      <c r="AW74" s="45">
        <f>I74*AO74</f>
        <v>0</v>
      </c>
      <c r="AX74" s="45">
        <f>I74*AP74</f>
        <v>0</v>
      </c>
      <c r="AY74" s="48" t="s">
        <v>1085</v>
      </c>
      <c r="AZ74" s="48" t="s">
        <v>1120</v>
      </c>
      <c r="BA74" s="44" t="s">
        <v>1139</v>
      </c>
      <c r="BC74" s="45">
        <f>AW74+AX74</f>
        <v>0</v>
      </c>
      <c r="BD74" s="45">
        <f>J74/(100-BE74)*100</f>
        <v>0</v>
      </c>
      <c r="BE74" s="45">
        <v>0</v>
      </c>
      <c r="BF74" s="45">
        <f>74</f>
        <v>74</v>
      </c>
      <c r="BH74" s="27">
        <f>I74*AO74</f>
        <v>0</v>
      </c>
      <c r="BI74" s="27">
        <f>I74*AP74</f>
        <v>0</v>
      </c>
      <c r="BJ74" s="27">
        <f>I74*J74</f>
        <v>0</v>
      </c>
      <c r="BK74" s="27" t="s">
        <v>1146</v>
      </c>
      <c r="BL74" s="45">
        <v>31</v>
      </c>
    </row>
    <row r="75" spans="1:64" x14ac:dyDescent="0.2">
      <c r="A75" s="6"/>
      <c r="C75" s="21" t="s">
        <v>310</v>
      </c>
      <c r="D75" s="245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7"/>
      <c r="P75" s="6"/>
    </row>
    <row r="76" spans="1:64" x14ac:dyDescent="0.2">
      <c r="A76" s="5" t="s">
        <v>40</v>
      </c>
      <c r="B76" s="16" t="s">
        <v>305</v>
      </c>
      <c r="C76" s="16" t="s">
        <v>343</v>
      </c>
      <c r="D76" s="243" t="s">
        <v>673</v>
      </c>
      <c r="E76" s="244"/>
      <c r="F76" s="244"/>
      <c r="G76" s="244"/>
      <c r="H76" s="16" t="s">
        <v>1044</v>
      </c>
      <c r="I76" s="27">
        <v>1</v>
      </c>
      <c r="J76" s="149"/>
      <c r="K76" s="27">
        <f>I76*AO76</f>
        <v>0</v>
      </c>
      <c r="L76" s="27">
        <f>I76*AP76</f>
        <v>0</v>
      </c>
      <c r="M76" s="27">
        <f>I76*J76</f>
        <v>0</v>
      </c>
      <c r="N76" s="56">
        <f>IF(M623=0,0,M76/M623)</f>
        <v>0</v>
      </c>
      <c r="O76" s="39" t="s">
        <v>1068</v>
      </c>
      <c r="P76" s="6"/>
      <c r="Z76" s="45">
        <f>IF(AQ76="5",BJ76,0)</f>
        <v>0</v>
      </c>
      <c r="AB76" s="45">
        <f>IF(AQ76="1",BH76,0)</f>
        <v>0</v>
      </c>
      <c r="AC76" s="45">
        <f>IF(AQ76="1",BI76,0)</f>
        <v>0</v>
      </c>
      <c r="AD76" s="45">
        <f>IF(AQ76="7",BH76,0)</f>
        <v>0</v>
      </c>
      <c r="AE76" s="45">
        <f>IF(AQ76="7",BI76,0)</f>
        <v>0</v>
      </c>
      <c r="AF76" s="45">
        <f>IF(AQ76="2",BH76,0)</f>
        <v>0</v>
      </c>
      <c r="AG76" s="45">
        <f>IF(AQ76="2",BI76,0)</f>
        <v>0</v>
      </c>
      <c r="AH76" s="45">
        <f>IF(AQ76="0",BJ76,0)</f>
        <v>0</v>
      </c>
      <c r="AI76" s="44" t="s">
        <v>305</v>
      </c>
      <c r="AJ76" s="27">
        <f>IF(AN76=0,M76,0)</f>
        <v>0</v>
      </c>
      <c r="AK76" s="27">
        <f>IF(AN76=15,M76,0)</f>
        <v>0</v>
      </c>
      <c r="AL76" s="27">
        <f>IF(AN76=21,M76,0)</f>
        <v>0</v>
      </c>
      <c r="AN76" s="45">
        <v>15</v>
      </c>
      <c r="AO76" s="45">
        <f>J76*0</f>
        <v>0</v>
      </c>
      <c r="AP76" s="45">
        <f>J76*(1-0)</f>
        <v>0</v>
      </c>
      <c r="AQ76" s="46" t="s">
        <v>7</v>
      </c>
      <c r="AV76" s="45">
        <f>AW76+AX76</f>
        <v>0</v>
      </c>
      <c r="AW76" s="45">
        <f>I76*AO76</f>
        <v>0</v>
      </c>
      <c r="AX76" s="45">
        <f>I76*AP76</f>
        <v>0</v>
      </c>
      <c r="AY76" s="48" t="s">
        <v>1085</v>
      </c>
      <c r="AZ76" s="48" t="s">
        <v>1120</v>
      </c>
      <c r="BA76" s="44" t="s">
        <v>1139</v>
      </c>
      <c r="BC76" s="45">
        <f>AW76+AX76</f>
        <v>0</v>
      </c>
      <c r="BD76" s="45">
        <f>J76/(100-BE76)*100</f>
        <v>0</v>
      </c>
      <c r="BE76" s="45">
        <v>0</v>
      </c>
      <c r="BF76" s="45">
        <f>76</f>
        <v>76</v>
      </c>
      <c r="BH76" s="27">
        <f>I76*AO76</f>
        <v>0</v>
      </c>
      <c r="BI76" s="27">
        <f>I76*AP76</f>
        <v>0</v>
      </c>
      <c r="BJ76" s="27">
        <f>I76*J76</f>
        <v>0</v>
      </c>
      <c r="BK76" s="27" t="s">
        <v>1146</v>
      </c>
      <c r="BL76" s="45">
        <v>31</v>
      </c>
    </row>
    <row r="77" spans="1:64" x14ac:dyDescent="0.2">
      <c r="A77" s="6"/>
      <c r="C77" s="21" t="s">
        <v>310</v>
      </c>
      <c r="D77" s="245" t="s">
        <v>672</v>
      </c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7"/>
      <c r="P77" s="6"/>
    </row>
    <row r="78" spans="1:64" x14ac:dyDescent="0.2">
      <c r="A78" s="5" t="s">
        <v>41</v>
      </c>
      <c r="B78" s="16" t="s">
        <v>305</v>
      </c>
      <c r="C78" s="16" t="s">
        <v>344</v>
      </c>
      <c r="D78" s="243" t="s">
        <v>674</v>
      </c>
      <c r="E78" s="244"/>
      <c r="F78" s="244"/>
      <c r="G78" s="244"/>
      <c r="H78" s="16" t="s">
        <v>1042</v>
      </c>
      <c r="I78" s="27">
        <v>17.39</v>
      </c>
      <c r="J78" s="149"/>
      <c r="K78" s="27">
        <f>I78*AO78</f>
        <v>0</v>
      </c>
      <c r="L78" s="27">
        <f>I78*AP78</f>
        <v>0</v>
      </c>
      <c r="M78" s="27">
        <f>I78*J78</f>
        <v>0</v>
      </c>
      <c r="N78" s="56">
        <f>IF(M623=0,0,M78/M623)</f>
        <v>0</v>
      </c>
      <c r="O78" s="39" t="s">
        <v>1068</v>
      </c>
      <c r="P78" s="6"/>
      <c r="Z78" s="45">
        <f>IF(AQ78="5",BJ78,0)</f>
        <v>0</v>
      </c>
      <c r="AB78" s="45">
        <f>IF(AQ78="1",BH78,0)</f>
        <v>0</v>
      </c>
      <c r="AC78" s="45">
        <f>IF(AQ78="1",BI78,0)</f>
        <v>0</v>
      </c>
      <c r="AD78" s="45">
        <f>IF(AQ78="7",BH78,0)</f>
        <v>0</v>
      </c>
      <c r="AE78" s="45">
        <f>IF(AQ78="7",BI78,0)</f>
        <v>0</v>
      </c>
      <c r="AF78" s="45">
        <f>IF(AQ78="2",BH78,0)</f>
        <v>0</v>
      </c>
      <c r="AG78" s="45">
        <f>IF(AQ78="2",BI78,0)</f>
        <v>0</v>
      </c>
      <c r="AH78" s="45">
        <f>IF(AQ78="0",BJ78,0)</f>
        <v>0</v>
      </c>
      <c r="AI78" s="44" t="s">
        <v>305</v>
      </c>
      <c r="AJ78" s="27">
        <f>IF(AN78=0,M78,0)</f>
        <v>0</v>
      </c>
      <c r="AK78" s="27">
        <f>IF(AN78=15,M78,0)</f>
        <v>0</v>
      </c>
      <c r="AL78" s="27">
        <f>IF(AN78=21,M78,0)</f>
        <v>0</v>
      </c>
      <c r="AN78" s="45">
        <v>15</v>
      </c>
      <c r="AO78" s="45">
        <f>J78*0.67480943738657</f>
        <v>0</v>
      </c>
      <c r="AP78" s="45">
        <f>J78*(1-0.67480943738657)</f>
        <v>0</v>
      </c>
      <c r="AQ78" s="46" t="s">
        <v>7</v>
      </c>
      <c r="AV78" s="45">
        <f>AW78+AX78</f>
        <v>0</v>
      </c>
      <c r="AW78" s="45">
        <f>I78*AO78</f>
        <v>0</v>
      </c>
      <c r="AX78" s="45">
        <f>I78*AP78</f>
        <v>0</v>
      </c>
      <c r="AY78" s="48" t="s">
        <v>1085</v>
      </c>
      <c r="AZ78" s="48" t="s">
        <v>1120</v>
      </c>
      <c r="BA78" s="44" t="s">
        <v>1139</v>
      </c>
      <c r="BC78" s="45">
        <f>AW78+AX78</f>
        <v>0</v>
      </c>
      <c r="BD78" s="45">
        <f>J78/(100-BE78)*100</f>
        <v>0</v>
      </c>
      <c r="BE78" s="45">
        <v>0</v>
      </c>
      <c r="BF78" s="45">
        <f>78</f>
        <v>78</v>
      </c>
      <c r="BH78" s="27">
        <f>I78*AO78</f>
        <v>0</v>
      </c>
      <c r="BI78" s="27">
        <f>I78*AP78</f>
        <v>0</v>
      </c>
      <c r="BJ78" s="27">
        <f>I78*J78</f>
        <v>0</v>
      </c>
      <c r="BK78" s="27" t="s">
        <v>1146</v>
      </c>
      <c r="BL78" s="45">
        <v>31</v>
      </c>
    </row>
    <row r="79" spans="1:64" x14ac:dyDescent="0.2">
      <c r="A79" s="6"/>
      <c r="D79" s="251" t="s">
        <v>675</v>
      </c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3"/>
      <c r="P79" s="6"/>
    </row>
    <row r="80" spans="1:64" x14ac:dyDescent="0.2">
      <c r="A80" s="6"/>
      <c r="C80" s="21" t="s">
        <v>310</v>
      </c>
      <c r="D80" s="245" t="s">
        <v>676</v>
      </c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7"/>
      <c r="P80" s="6"/>
    </row>
    <row r="81" spans="1:64" x14ac:dyDescent="0.2">
      <c r="A81" s="5" t="s">
        <v>42</v>
      </c>
      <c r="B81" s="16" t="s">
        <v>305</v>
      </c>
      <c r="C81" s="16" t="s">
        <v>345</v>
      </c>
      <c r="D81" s="243" t="s">
        <v>677</v>
      </c>
      <c r="E81" s="244"/>
      <c r="F81" s="244"/>
      <c r="G81" s="244"/>
      <c r="H81" s="16" t="s">
        <v>1042</v>
      </c>
      <c r="I81" s="27">
        <v>118.5</v>
      </c>
      <c r="J81" s="149"/>
      <c r="K81" s="27">
        <f>I81*AO81</f>
        <v>0</v>
      </c>
      <c r="L81" s="27">
        <f>I81*AP81</f>
        <v>0</v>
      </c>
      <c r="M81" s="27">
        <f>I81*J81</f>
        <v>0</v>
      </c>
      <c r="N81" s="56">
        <f>IF(M623=0,0,M81/M623)</f>
        <v>0</v>
      </c>
      <c r="O81" s="39" t="s">
        <v>1068</v>
      </c>
      <c r="P81" s="6"/>
      <c r="Z81" s="45">
        <f>IF(AQ81="5",BJ81,0)</f>
        <v>0</v>
      </c>
      <c r="AB81" s="45">
        <f>IF(AQ81="1",BH81,0)</f>
        <v>0</v>
      </c>
      <c r="AC81" s="45">
        <f>IF(AQ81="1",BI81,0)</f>
        <v>0</v>
      </c>
      <c r="AD81" s="45">
        <f>IF(AQ81="7",BH81,0)</f>
        <v>0</v>
      </c>
      <c r="AE81" s="45">
        <f>IF(AQ81="7",BI81,0)</f>
        <v>0</v>
      </c>
      <c r="AF81" s="45">
        <f>IF(AQ81="2",BH81,0)</f>
        <v>0</v>
      </c>
      <c r="AG81" s="45">
        <f>IF(AQ81="2",BI81,0)</f>
        <v>0</v>
      </c>
      <c r="AH81" s="45">
        <f>IF(AQ81="0",BJ81,0)</f>
        <v>0</v>
      </c>
      <c r="AI81" s="44" t="s">
        <v>305</v>
      </c>
      <c r="AJ81" s="27">
        <f>IF(AN81=0,M81,0)</f>
        <v>0</v>
      </c>
      <c r="AK81" s="27">
        <f>IF(AN81=15,M81,0)</f>
        <v>0</v>
      </c>
      <c r="AL81" s="27">
        <f>IF(AN81=21,M81,0)</f>
        <v>0</v>
      </c>
      <c r="AN81" s="45">
        <v>15</v>
      </c>
      <c r="AO81" s="45">
        <f>J81*0.69032139332888</f>
        <v>0</v>
      </c>
      <c r="AP81" s="45">
        <f>J81*(1-0.69032139332888)</f>
        <v>0</v>
      </c>
      <c r="AQ81" s="46" t="s">
        <v>7</v>
      </c>
      <c r="AV81" s="45">
        <f>AW81+AX81</f>
        <v>0</v>
      </c>
      <c r="AW81" s="45">
        <f>I81*AO81</f>
        <v>0</v>
      </c>
      <c r="AX81" s="45">
        <f>I81*AP81</f>
        <v>0</v>
      </c>
      <c r="AY81" s="48" t="s">
        <v>1085</v>
      </c>
      <c r="AZ81" s="48" t="s">
        <v>1120</v>
      </c>
      <c r="BA81" s="44" t="s">
        <v>1139</v>
      </c>
      <c r="BC81" s="45">
        <f>AW81+AX81</f>
        <v>0</v>
      </c>
      <c r="BD81" s="45">
        <f>J81/(100-BE81)*100</f>
        <v>0</v>
      </c>
      <c r="BE81" s="45">
        <v>0</v>
      </c>
      <c r="BF81" s="45">
        <f>81</f>
        <v>81</v>
      </c>
      <c r="BH81" s="27">
        <f>I81*AO81</f>
        <v>0</v>
      </c>
      <c r="BI81" s="27">
        <f>I81*AP81</f>
        <v>0</v>
      </c>
      <c r="BJ81" s="27">
        <f>I81*J81</f>
        <v>0</v>
      </c>
      <c r="BK81" s="27" t="s">
        <v>1146</v>
      </c>
      <c r="BL81" s="45">
        <v>31</v>
      </c>
    </row>
    <row r="82" spans="1:64" x14ac:dyDescent="0.2">
      <c r="A82" s="6"/>
      <c r="D82" s="251" t="s">
        <v>675</v>
      </c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3"/>
      <c r="P82" s="6"/>
    </row>
    <row r="83" spans="1:64" x14ac:dyDescent="0.2">
      <c r="A83" s="6"/>
      <c r="C83" s="21" t="s">
        <v>310</v>
      </c>
      <c r="D83" s="245" t="s">
        <v>676</v>
      </c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7"/>
      <c r="P83" s="6"/>
    </row>
    <row r="84" spans="1:64" x14ac:dyDescent="0.2">
      <c r="A84" s="5" t="s">
        <v>43</v>
      </c>
      <c r="B84" s="16" t="s">
        <v>305</v>
      </c>
      <c r="C84" s="16" t="s">
        <v>346</v>
      </c>
      <c r="D84" s="243" t="s">
        <v>678</v>
      </c>
      <c r="E84" s="244"/>
      <c r="F84" s="244"/>
      <c r="G84" s="244"/>
      <c r="H84" s="16" t="s">
        <v>1042</v>
      </c>
      <c r="I84" s="27">
        <v>27.63</v>
      </c>
      <c r="J84" s="149"/>
      <c r="K84" s="27">
        <f>I84*AO84</f>
        <v>0</v>
      </c>
      <c r="L84" s="27">
        <f>I84*AP84</f>
        <v>0</v>
      </c>
      <c r="M84" s="27">
        <f>I84*J84</f>
        <v>0</v>
      </c>
      <c r="N84" s="56">
        <f>IF(M623=0,0,M84/M623)</f>
        <v>0</v>
      </c>
      <c r="O84" s="39" t="s">
        <v>1068</v>
      </c>
      <c r="P84" s="6"/>
      <c r="Z84" s="45">
        <f>IF(AQ84="5",BJ84,0)</f>
        <v>0</v>
      </c>
      <c r="AB84" s="45">
        <f>IF(AQ84="1",BH84,0)</f>
        <v>0</v>
      </c>
      <c r="AC84" s="45">
        <f>IF(AQ84="1",BI84,0)</f>
        <v>0</v>
      </c>
      <c r="AD84" s="45">
        <f>IF(AQ84="7",BH84,0)</f>
        <v>0</v>
      </c>
      <c r="AE84" s="45">
        <f>IF(AQ84="7",BI84,0)</f>
        <v>0</v>
      </c>
      <c r="AF84" s="45">
        <f>IF(AQ84="2",BH84,0)</f>
        <v>0</v>
      </c>
      <c r="AG84" s="45">
        <f>IF(AQ84="2",BI84,0)</f>
        <v>0</v>
      </c>
      <c r="AH84" s="45">
        <f>IF(AQ84="0",BJ84,0)</f>
        <v>0</v>
      </c>
      <c r="AI84" s="44" t="s">
        <v>305</v>
      </c>
      <c r="AJ84" s="27">
        <f>IF(AN84=0,M84,0)</f>
        <v>0</v>
      </c>
      <c r="AK84" s="27">
        <f>IF(AN84=15,M84,0)</f>
        <v>0</v>
      </c>
      <c r="AL84" s="27">
        <f>IF(AN84=21,M84,0)</f>
        <v>0</v>
      </c>
      <c r="AN84" s="45">
        <v>15</v>
      </c>
      <c r="AO84" s="45">
        <f>J84*0.680577557755776</f>
        <v>0</v>
      </c>
      <c r="AP84" s="45">
        <f>J84*(1-0.680577557755776)</f>
        <v>0</v>
      </c>
      <c r="AQ84" s="46" t="s">
        <v>7</v>
      </c>
      <c r="AV84" s="45">
        <f>AW84+AX84</f>
        <v>0</v>
      </c>
      <c r="AW84" s="45">
        <f>I84*AO84</f>
        <v>0</v>
      </c>
      <c r="AX84" s="45">
        <f>I84*AP84</f>
        <v>0</v>
      </c>
      <c r="AY84" s="48" t="s">
        <v>1085</v>
      </c>
      <c r="AZ84" s="48" t="s">
        <v>1120</v>
      </c>
      <c r="BA84" s="44" t="s">
        <v>1139</v>
      </c>
      <c r="BC84" s="45">
        <f>AW84+AX84</f>
        <v>0</v>
      </c>
      <c r="BD84" s="45">
        <f>J84/(100-BE84)*100</f>
        <v>0</v>
      </c>
      <c r="BE84" s="45">
        <v>0</v>
      </c>
      <c r="BF84" s="45">
        <f>84</f>
        <v>84</v>
      </c>
      <c r="BH84" s="27">
        <f>I84*AO84</f>
        <v>0</v>
      </c>
      <c r="BI84" s="27">
        <f>I84*AP84</f>
        <v>0</v>
      </c>
      <c r="BJ84" s="27">
        <f>I84*J84</f>
        <v>0</v>
      </c>
      <c r="BK84" s="27" t="s">
        <v>1146</v>
      </c>
      <c r="BL84" s="45">
        <v>31</v>
      </c>
    </row>
    <row r="85" spans="1:64" x14ac:dyDescent="0.2">
      <c r="A85" s="6"/>
      <c r="D85" s="251" t="s">
        <v>675</v>
      </c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3"/>
      <c r="P85" s="6"/>
    </row>
    <row r="86" spans="1:64" x14ac:dyDescent="0.2">
      <c r="A86" s="6"/>
      <c r="C86" s="21" t="s">
        <v>310</v>
      </c>
      <c r="D86" s="245" t="s">
        <v>676</v>
      </c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7"/>
      <c r="P86" s="6"/>
    </row>
    <row r="87" spans="1:64" x14ac:dyDescent="0.2">
      <c r="A87" s="5" t="s">
        <v>44</v>
      </c>
      <c r="B87" s="16" t="s">
        <v>305</v>
      </c>
      <c r="C87" s="16" t="s">
        <v>347</v>
      </c>
      <c r="D87" s="243" t="s">
        <v>679</v>
      </c>
      <c r="E87" s="244"/>
      <c r="F87" s="244"/>
      <c r="G87" s="244"/>
      <c r="H87" s="16" t="s">
        <v>1043</v>
      </c>
      <c r="I87" s="27">
        <v>2</v>
      </c>
      <c r="J87" s="149"/>
      <c r="K87" s="27">
        <f>I87*AO87</f>
        <v>0</v>
      </c>
      <c r="L87" s="27">
        <f>I87*AP87</f>
        <v>0</v>
      </c>
      <c r="M87" s="27">
        <f>I87*J87</f>
        <v>0</v>
      </c>
      <c r="N87" s="56">
        <f>IF(M623=0,0,M87/M623)</f>
        <v>0</v>
      </c>
      <c r="O87" s="39" t="s">
        <v>1068</v>
      </c>
      <c r="P87" s="6"/>
      <c r="Z87" s="45">
        <f>IF(AQ87="5",BJ87,0)</f>
        <v>0</v>
      </c>
      <c r="AB87" s="45">
        <f>IF(AQ87="1",BH87,0)</f>
        <v>0</v>
      </c>
      <c r="AC87" s="45">
        <f>IF(AQ87="1",BI87,0)</f>
        <v>0</v>
      </c>
      <c r="AD87" s="45">
        <f>IF(AQ87="7",BH87,0)</f>
        <v>0</v>
      </c>
      <c r="AE87" s="45">
        <f>IF(AQ87="7",BI87,0)</f>
        <v>0</v>
      </c>
      <c r="AF87" s="45">
        <f>IF(AQ87="2",BH87,0)</f>
        <v>0</v>
      </c>
      <c r="AG87" s="45">
        <f>IF(AQ87="2",BI87,0)</f>
        <v>0</v>
      </c>
      <c r="AH87" s="45">
        <f>IF(AQ87="0",BJ87,0)</f>
        <v>0</v>
      </c>
      <c r="AI87" s="44" t="s">
        <v>305</v>
      </c>
      <c r="AJ87" s="27">
        <f>IF(AN87=0,M87,0)</f>
        <v>0</v>
      </c>
      <c r="AK87" s="27">
        <f>IF(AN87=15,M87,0)</f>
        <v>0</v>
      </c>
      <c r="AL87" s="27">
        <f>IF(AN87=21,M87,0)</f>
        <v>0</v>
      </c>
      <c r="AN87" s="45">
        <v>15</v>
      </c>
      <c r="AO87" s="45">
        <f>J87*0.74858369610591</f>
        <v>0</v>
      </c>
      <c r="AP87" s="45">
        <f>J87*(1-0.74858369610591)</f>
        <v>0</v>
      </c>
      <c r="AQ87" s="46" t="s">
        <v>7</v>
      </c>
      <c r="AV87" s="45">
        <f>AW87+AX87</f>
        <v>0</v>
      </c>
      <c r="AW87" s="45">
        <f>I87*AO87</f>
        <v>0</v>
      </c>
      <c r="AX87" s="45">
        <f>I87*AP87</f>
        <v>0</v>
      </c>
      <c r="AY87" s="48" t="s">
        <v>1085</v>
      </c>
      <c r="AZ87" s="48" t="s">
        <v>1120</v>
      </c>
      <c r="BA87" s="44" t="s">
        <v>1139</v>
      </c>
      <c r="BC87" s="45">
        <f>AW87+AX87</f>
        <v>0</v>
      </c>
      <c r="BD87" s="45">
        <f>J87/(100-BE87)*100</f>
        <v>0</v>
      </c>
      <c r="BE87" s="45">
        <v>0</v>
      </c>
      <c r="BF87" s="45">
        <f>87</f>
        <v>87</v>
      </c>
      <c r="BH87" s="27">
        <f>I87*AO87</f>
        <v>0</v>
      </c>
      <c r="BI87" s="27">
        <f>I87*AP87</f>
        <v>0</v>
      </c>
      <c r="BJ87" s="27">
        <f>I87*J87</f>
        <v>0</v>
      </c>
      <c r="BK87" s="27" t="s">
        <v>1146</v>
      </c>
      <c r="BL87" s="45">
        <v>31</v>
      </c>
    </row>
    <row r="88" spans="1:64" x14ac:dyDescent="0.2">
      <c r="A88" s="6"/>
      <c r="C88" s="20" t="s">
        <v>302</v>
      </c>
      <c r="D88" s="248" t="s">
        <v>669</v>
      </c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50"/>
      <c r="P88" s="6"/>
    </row>
    <row r="89" spans="1:64" x14ac:dyDescent="0.2">
      <c r="A89" s="5" t="s">
        <v>45</v>
      </c>
      <c r="B89" s="16" t="s">
        <v>305</v>
      </c>
      <c r="C89" s="16" t="s">
        <v>348</v>
      </c>
      <c r="D89" s="243" t="s">
        <v>680</v>
      </c>
      <c r="E89" s="244"/>
      <c r="F89" s="244"/>
      <c r="G89" s="244"/>
      <c r="H89" s="16" t="s">
        <v>1044</v>
      </c>
      <c r="I89" s="27">
        <v>12.43</v>
      </c>
      <c r="J89" s="149"/>
      <c r="K89" s="27">
        <f>I89*AO89</f>
        <v>0</v>
      </c>
      <c r="L89" s="27">
        <f>I89*AP89</f>
        <v>0</v>
      </c>
      <c r="M89" s="27">
        <f>I89*J89</f>
        <v>0</v>
      </c>
      <c r="N89" s="56">
        <f>IF(M623=0,0,M89/M623)</f>
        <v>0</v>
      </c>
      <c r="O89" s="39" t="s">
        <v>1069</v>
      </c>
      <c r="P89" s="6"/>
      <c r="Z89" s="45">
        <f>IF(AQ89="5",BJ89,0)</f>
        <v>0</v>
      </c>
      <c r="AB89" s="45">
        <f>IF(AQ89="1",BH89,0)</f>
        <v>0</v>
      </c>
      <c r="AC89" s="45">
        <f>IF(AQ89="1",BI89,0)</f>
        <v>0</v>
      </c>
      <c r="AD89" s="45">
        <f>IF(AQ89="7",BH89,0)</f>
        <v>0</v>
      </c>
      <c r="AE89" s="45">
        <f>IF(AQ89="7",BI89,0)</f>
        <v>0</v>
      </c>
      <c r="AF89" s="45">
        <f>IF(AQ89="2",BH89,0)</f>
        <v>0</v>
      </c>
      <c r="AG89" s="45">
        <f>IF(AQ89="2",BI89,0)</f>
        <v>0</v>
      </c>
      <c r="AH89" s="45">
        <f>IF(AQ89="0",BJ89,0)</f>
        <v>0</v>
      </c>
      <c r="AI89" s="44" t="s">
        <v>305</v>
      </c>
      <c r="AJ89" s="27">
        <f>IF(AN89=0,M89,0)</f>
        <v>0</v>
      </c>
      <c r="AK89" s="27">
        <f>IF(AN89=15,M89,0)</f>
        <v>0</v>
      </c>
      <c r="AL89" s="27">
        <f>IF(AN89=21,M89,0)</f>
        <v>0</v>
      </c>
      <c r="AN89" s="45">
        <v>15</v>
      </c>
      <c r="AO89" s="45">
        <f>J89*0.880705183111003</f>
        <v>0</v>
      </c>
      <c r="AP89" s="45">
        <f>J89*(1-0.880705183111003)</f>
        <v>0</v>
      </c>
      <c r="AQ89" s="46" t="s">
        <v>7</v>
      </c>
      <c r="AV89" s="45">
        <f>AW89+AX89</f>
        <v>0</v>
      </c>
      <c r="AW89" s="45">
        <f>I89*AO89</f>
        <v>0</v>
      </c>
      <c r="AX89" s="45">
        <f>I89*AP89</f>
        <v>0</v>
      </c>
      <c r="AY89" s="48" t="s">
        <v>1085</v>
      </c>
      <c r="AZ89" s="48" t="s">
        <v>1120</v>
      </c>
      <c r="BA89" s="44" t="s">
        <v>1139</v>
      </c>
      <c r="BC89" s="45">
        <f>AW89+AX89</f>
        <v>0</v>
      </c>
      <c r="BD89" s="45">
        <f>J89/(100-BE89)*100</f>
        <v>0</v>
      </c>
      <c r="BE89" s="45">
        <v>0</v>
      </c>
      <c r="BF89" s="45">
        <f>89</f>
        <v>89</v>
      </c>
      <c r="BH89" s="27">
        <f>I89*AO89</f>
        <v>0</v>
      </c>
      <c r="BI89" s="27">
        <f>I89*AP89</f>
        <v>0</v>
      </c>
      <c r="BJ89" s="27">
        <f>I89*J89</f>
        <v>0</v>
      </c>
      <c r="BK89" s="27" t="s">
        <v>1146</v>
      </c>
      <c r="BL89" s="45">
        <v>31</v>
      </c>
    </row>
    <row r="90" spans="1:64" x14ac:dyDescent="0.2">
      <c r="A90" s="6"/>
      <c r="C90" s="21" t="s">
        <v>310</v>
      </c>
      <c r="D90" s="245" t="s">
        <v>642</v>
      </c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7"/>
      <c r="P90" s="6"/>
    </row>
    <row r="91" spans="1:64" x14ac:dyDescent="0.2">
      <c r="A91" s="5" t="s">
        <v>46</v>
      </c>
      <c r="B91" s="16" t="s">
        <v>305</v>
      </c>
      <c r="C91" s="16" t="s">
        <v>349</v>
      </c>
      <c r="D91" s="243" t="s">
        <v>681</v>
      </c>
      <c r="E91" s="244"/>
      <c r="F91" s="244"/>
      <c r="G91" s="244"/>
      <c r="H91" s="16" t="s">
        <v>1042</v>
      </c>
      <c r="I91" s="27">
        <v>188.36</v>
      </c>
      <c r="J91" s="149"/>
      <c r="K91" s="27">
        <f>I91*AO91</f>
        <v>0</v>
      </c>
      <c r="L91" s="27">
        <f>I91*AP91</f>
        <v>0</v>
      </c>
      <c r="M91" s="27">
        <f>I91*J91</f>
        <v>0</v>
      </c>
      <c r="N91" s="56">
        <f>IF(M623=0,0,M91/M623)</f>
        <v>0</v>
      </c>
      <c r="O91" s="39" t="s">
        <v>1068</v>
      </c>
      <c r="P91" s="6"/>
      <c r="Z91" s="45">
        <f>IF(AQ91="5",BJ91,0)</f>
        <v>0</v>
      </c>
      <c r="AB91" s="45">
        <f>IF(AQ91="1",BH91,0)</f>
        <v>0</v>
      </c>
      <c r="AC91" s="45">
        <f>IF(AQ91="1",BI91,0)</f>
        <v>0</v>
      </c>
      <c r="AD91" s="45">
        <f>IF(AQ91="7",BH91,0)</f>
        <v>0</v>
      </c>
      <c r="AE91" s="45">
        <f>IF(AQ91="7",BI91,0)</f>
        <v>0</v>
      </c>
      <c r="AF91" s="45">
        <f>IF(AQ91="2",BH91,0)</f>
        <v>0</v>
      </c>
      <c r="AG91" s="45">
        <f>IF(AQ91="2",BI91,0)</f>
        <v>0</v>
      </c>
      <c r="AH91" s="45">
        <f>IF(AQ91="0",BJ91,0)</f>
        <v>0</v>
      </c>
      <c r="AI91" s="44" t="s">
        <v>305</v>
      </c>
      <c r="AJ91" s="27">
        <f>IF(AN91=0,M91,0)</f>
        <v>0</v>
      </c>
      <c r="AK91" s="27">
        <f>IF(AN91=15,M91,0)</f>
        <v>0</v>
      </c>
      <c r="AL91" s="27">
        <f>IF(AN91=21,M91,0)</f>
        <v>0</v>
      </c>
      <c r="AN91" s="45">
        <v>15</v>
      </c>
      <c r="AO91" s="45">
        <f>J91*0.879663244353183</f>
        <v>0</v>
      </c>
      <c r="AP91" s="45">
        <f>J91*(1-0.879663244353183)</f>
        <v>0</v>
      </c>
      <c r="AQ91" s="46" t="s">
        <v>7</v>
      </c>
      <c r="AV91" s="45">
        <f>AW91+AX91</f>
        <v>0</v>
      </c>
      <c r="AW91" s="45">
        <f>I91*AO91</f>
        <v>0</v>
      </c>
      <c r="AX91" s="45">
        <f>I91*AP91</f>
        <v>0</v>
      </c>
      <c r="AY91" s="48" t="s">
        <v>1085</v>
      </c>
      <c r="AZ91" s="48" t="s">
        <v>1120</v>
      </c>
      <c r="BA91" s="44" t="s">
        <v>1139</v>
      </c>
      <c r="BC91" s="45">
        <f>AW91+AX91</f>
        <v>0</v>
      </c>
      <c r="BD91" s="45">
        <f>J91/(100-BE91)*100</f>
        <v>0</v>
      </c>
      <c r="BE91" s="45">
        <v>0</v>
      </c>
      <c r="BF91" s="45">
        <f>91</f>
        <v>91</v>
      </c>
      <c r="BH91" s="27">
        <f>I91*AO91</f>
        <v>0</v>
      </c>
      <c r="BI91" s="27">
        <f>I91*AP91</f>
        <v>0</v>
      </c>
      <c r="BJ91" s="27">
        <f>I91*J91</f>
        <v>0</v>
      </c>
      <c r="BK91" s="27" t="s">
        <v>1146</v>
      </c>
      <c r="BL91" s="45">
        <v>31</v>
      </c>
    </row>
    <row r="92" spans="1:64" x14ac:dyDescent="0.2">
      <c r="A92" s="6"/>
      <c r="C92" s="21" t="s">
        <v>310</v>
      </c>
      <c r="D92" s="245" t="s">
        <v>682</v>
      </c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7"/>
      <c r="P92" s="6"/>
    </row>
    <row r="93" spans="1:64" x14ac:dyDescent="0.2">
      <c r="A93" s="5" t="s">
        <v>47</v>
      </c>
      <c r="B93" s="16" t="s">
        <v>305</v>
      </c>
      <c r="C93" s="16" t="s">
        <v>350</v>
      </c>
      <c r="D93" s="243" t="s">
        <v>683</v>
      </c>
      <c r="E93" s="244"/>
      <c r="F93" s="244"/>
      <c r="G93" s="244"/>
      <c r="H93" s="16" t="s">
        <v>1045</v>
      </c>
      <c r="I93" s="27">
        <v>5</v>
      </c>
      <c r="J93" s="149"/>
      <c r="K93" s="27">
        <f>I93*AO93</f>
        <v>0</v>
      </c>
      <c r="L93" s="27">
        <f>I93*AP93</f>
        <v>0</v>
      </c>
      <c r="M93" s="27">
        <f>I93*J93</f>
        <v>0</v>
      </c>
      <c r="N93" s="56">
        <f>IF(M623=0,0,M93/M623)</f>
        <v>0</v>
      </c>
      <c r="O93" s="39" t="s">
        <v>1068</v>
      </c>
      <c r="P93" s="6"/>
      <c r="Z93" s="45">
        <f>IF(AQ93="5",BJ93,0)</f>
        <v>0</v>
      </c>
      <c r="AB93" s="45">
        <f>IF(AQ93="1",BH93,0)</f>
        <v>0</v>
      </c>
      <c r="AC93" s="45">
        <f>IF(AQ93="1",BI93,0)</f>
        <v>0</v>
      </c>
      <c r="AD93" s="45">
        <f>IF(AQ93="7",BH93,0)</f>
        <v>0</v>
      </c>
      <c r="AE93" s="45">
        <f>IF(AQ93="7",BI93,0)</f>
        <v>0</v>
      </c>
      <c r="AF93" s="45">
        <f>IF(AQ93="2",BH93,0)</f>
        <v>0</v>
      </c>
      <c r="AG93" s="45">
        <f>IF(AQ93="2",BI93,0)</f>
        <v>0</v>
      </c>
      <c r="AH93" s="45">
        <f>IF(AQ93="0",BJ93,0)</f>
        <v>0</v>
      </c>
      <c r="AI93" s="44" t="s">
        <v>305</v>
      </c>
      <c r="AJ93" s="27">
        <f>IF(AN93=0,M93,0)</f>
        <v>0</v>
      </c>
      <c r="AK93" s="27">
        <f>IF(AN93=15,M93,0)</f>
        <v>0</v>
      </c>
      <c r="AL93" s="27">
        <f>IF(AN93=21,M93,0)</f>
        <v>0</v>
      </c>
      <c r="AN93" s="45">
        <v>15</v>
      </c>
      <c r="AO93" s="45">
        <f>J93*0.787632508833922</f>
        <v>0</v>
      </c>
      <c r="AP93" s="45">
        <f>J93*(1-0.787632508833922)</f>
        <v>0</v>
      </c>
      <c r="AQ93" s="46" t="s">
        <v>7</v>
      </c>
      <c r="AV93" s="45">
        <f>AW93+AX93</f>
        <v>0</v>
      </c>
      <c r="AW93" s="45">
        <f>I93*AO93</f>
        <v>0</v>
      </c>
      <c r="AX93" s="45">
        <f>I93*AP93</f>
        <v>0</v>
      </c>
      <c r="AY93" s="48" t="s">
        <v>1085</v>
      </c>
      <c r="AZ93" s="48" t="s">
        <v>1120</v>
      </c>
      <c r="BA93" s="44" t="s">
        <v>1139</v>
      </c>
      <c r="BC93" s="45">
        <f>AW93+AX93</f>
        <v>0</v>
      </c>
      <c r="BD93" s="45">
        <f>J93/(100-BE93)*100</f>
        <v>0</v>
      </c>
      <c r="BE93" s="45">
        <v>0</v>
      </c>
      <c r="BF93" s="45">
        <f>93</f>
        <v>93</v>
      </c>
      <c r="BH93" s="27">
        <f>I93*AO93</f>
        <v>0</v>
      </c>
      <c r="BI93" s="27">
        <f>I93*AP93</f>
        <v>0</v>
      </c>
      <c r="BJ93" s="27">
        <f>I93*J93</f>
        <v>0</v>
      </c>
      <c r="BK93" s="27" t="s">
        <v>1146</v>
      </c>
      <c r="BL93" s="45">
        <v>31</v>
      </c>
    </row>
    <row r="94" spans="1:64" x14ac:dyDescent="0.2">
      <c r="A94" s="6"/>
      <c r="C94" s="21" t="s">
        <v>310</v>
      </c>
      <c r="D94" s="245" t="s">
        <v>642</v>
      </c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7"/>
      <c r="P94" s="6"/>
    </row>
    <row r="95" spans="1:64" x14ac:dyDescent="0.2">
      <c r="A95" s="5" t="s">
        <v>48</v>
      </c>
      <c r="B95" s="16" t="s">
        <v>305</v>
      </c>
      <c r="C95" s="16" t="s">
        <v>351</v>
      </c>
      <c r="D95" s="243" t="s">
        <v>684</v>
      </c>
      <c r="E95" s="244"/>
      <c r="F95" s="244"/>
      <c r="G95" s="244"/>
      <c r="H95" s="16" t="s">
        <v>1045</v>
      </c>
      <c r="I95" s="27">
        <v>1</v>
      </c>
      <c r="J95" s="149"/>
      <c r="K95" s="27">
        <f>I95*AO95</f>
        <v>0</v>
      </c>
      <c r="L95" s="27">
        <f>I95*AP95</f>
        <v>0</v>
      </c>
      <c r="M95" s="27">
        <f>I95*J95</f>
        <v>0</v>
      </c>
      <c r="N95" s="56">
        <f>IF(M623=0,0,M95/M623)</f>
        <v>0</v>
      </c>
      <c r="O95" s="39" t="s">
        <v>1068</v>
      </c>
      <c r="P95" s="6"/>
      <c r="Z95" s="45">
        <f>IF(AQ95="5",BJ95,0)</f>
        <v>0</v>
      </c>
      <c r="AB95" s="45">
        <f>IF(AQ95="1",BH95,0)</f>
        <v>0</v>
      </c>
      <c r="AC95" s="45">
        <f>IF(AQ95="1",BI95,0)</f>
        <v>0</v>
      </c>
      <c r="AD95" s="45">
        <f>IF(AQ95="7",BH95,0)</f>
        <v>0</v>
      </c>
      <c r="AE95" s="45">
        <f>IF(AQ95="7",BI95,0)</f>
        <v>0</v>
      </c>
      <c r="AF95" s="45">
        <f>IF(AQ95="2",BH95,0)</f>
        <v>0</v>
      </c>
      <c r="AG95" s="45">
        <f>IF(AQ95="2",BI95,0)</f>
        <v>0</v>
      </c>
      <c r="AH95" s="45">
        <f>IF(AQ95="0",BJ95,0)</f>
        <v>0</v>
      </c>
      <c r="AI95" s="44" t="s">
        <v>305</v>
      </c>
      <c r="AJ95" s="27">
        <f>IF(AN95=0,M95,0)</f>
        <v>0</v>
      </c>
      <c r="AK95" s="27">
        <f>IF(AN95=15,M95,0)</f>
        <v>0</v>
      </c>
      <c r="AL95" s="27">
        <f>IF(AN95=21,M95,0)</f>
        <v>0</v>
      </c>
      <c r="AN95" s="45">
        <v>15</v>
      </c>
      <c r="AO95" s="45">
        <f>J95*0.848202380952381</f>
        <v>0</v>
      </c>
      <c r="AP95" s="45">
        <f>J95*(1-0.848202380952381)</f>
        <v>0</v>
      </c>
      <c r="AQ95" s="46" t="s">
        <v>7</v>
      </c>
      <c r="AV95" s="45">
        <f>AW95+AX95</f>
        <v>0</v>
      </c>
      <c r="AW95" s="45">
        <f>I95*AO95</f>
        <v>0</v>
      </c>
      <c r="AX95" s="45">
        <f>I95*AP95</f>
        <v>0</v>
      </c>
      <c r="AY95" s="48" t="s">
        <v>1085</v>
      </c>
      <c r="AZ95" s="48" t="s">
        <v>1120</v>
      </c>
      <c r="BA95" s="44" t="s">
        <v>1139</v>
      </c>
      <c r="BC95" s="45">
        <f>AW95+AX95</f>
        <v>0</v>
      </c>
      <c r="BD95" s="45">
        <f>J95/(100-BE95)*100</f>
        <v>0</v>
      </c>
      <c r="BE95" s="45">
        <v>0</v>
      </c>
      <c r="BF95" s="45">
        <f>95</f>
        <v>95</v>
      </c>
      <c r="BH95" s="27">
        <f>I95*AO95</f>
        <v>0</v>
      </c>
      <c r="BI95" s="27">
        <f>I95*AP95</f>
        <v>0</v>
      </c>
      <c r="BJ95" s="27">
        <f>I95*J95</f>
        <v>0</v>
      </c>
      <c r="BK95" s="27" t="s">
        <v>1146</v>
      </c>
      <c r="BL95" s="45">
        <v>31</v>
      </c>
    </row>
    <row r="96" spans="1:64" x14ac:dyDescent="0.2">
      <c r="A96" s="6"/>
      <c r="C96" s="21" t="s">
        <v>310</v>
      </c>
      <c r="D96" s="245" t="s">
        <v>685</v>
      </c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7"/>
      <c r="P96" s="6"/>
    </row>
    <row r="97" spans="1:64" x14ac:dyDescent="0.2">
      <c r="A97" s="5" t="s">
        <v>49</v>
      </c>
      <c r="B97" s="16" t="s">
        <v>305</v>
      </c>
      <c r="C97" s="16" t="s">
        <v>352</v>
      </c>
      <c r="D97" s="243" t="s">
        <v>686</v>
      </c>
      <c r="E97" s="244"/>
      <c r="F97" s="244"/>
      <c r="G97" s="244"/>
      <c r="H97" s="16" t="s">
        <v>1045</v>
      </c>
      <c r="I97" s="27">
        <v>1</v>
      </c>
      <c r="J97" s="149"/>
      <c r="K97" s="27">
        <f>I97*AO97</f>
        <v>0</v>
      </c>
      <c r="L97" s="27">
        <f>I97*AP97</f>
        <v>0</v>
      </c>
      <c r="M97" s="27">
        <f>I97*J97</f>
        <v>0</v>
      </c>
      <c r="N97" s="56">
        <f>IF(M623=0,0,M97/M623)</f>
        <v>0</v>
      </c>
      <c r="O97" s="39" t="s">
        <v>1068</v>
      </c>
      <c r="P97" s="6"/>
      <c r="Z97" s="45">
        <f>IF(AQ97="5",BJ97,0)</f>
        <v>0</v>
      </c>
      <c r="AB97" s="45">
        <f>IF(AQ97="1",BH97,0)</f>
        <v>0</v>
      </c>
      <c r="AC97" s="45">
        <f>IF(AQ97="1",BI97,0)</f>
        <v>0</v>
      </c>
      <c r="AD97" s="45">
        <f>IF(AQ97="7",BH97,0)</f>
        <v>0</v>
      </c>
      <c r="AE97" s="45">
        <f>IF(AQ97="7",BI97,0)</f>
        <v>0</v>
      </c>
      <c r="AF97" s="45">
        <f>IF(AQ97="2",BH97,0)</f>
        <v>0</v>
      </c>
      <c r="AG97" s="45">
        <f>IF(AQ97="2",BI97,0)</f>
        <v>0</v>
      </c>
      <c r="AH97" s="45">
        <f>IF(AQ97="0",BJ97,0)</f>
        <v>0</v>
      </c>
      <c r="AI97" s="44" t="s">
        <v>305</v>
      </c>
      <c r="AJ97" s="27">
        <f>IF(AN97=0,M97,0)</f>
        <v>0</v>
      </c>
      <c r="AK97" s="27">
        <f>IF(AN97=15,M97,0)</f>
        <v>0</v>
      </c>
      <c r="AL97" s="27">
        <f>IF(AN97=21,M97,0)</f>
        <v>0</v>
      </c>
      <c r="AN97" s="45">
        <v>15</v>
      </c>
      <c r="AO97" s="45">
        <f>J97*0.906591358667361</f>
        <v>0</v>
      </c>
      <c r="AP97" s="45">
        <f>J97*(1-0.906591358667361)</f>
        <v>0</v>
      </c>
      <c r="AQ97" s="46" t="s">
        <v>7</v>
      </c>
      <c r="AV97" s="45">
        <f>AW97+AX97</f>
        <v>0</v>
      </c>
      <c r="AW97" s="45">
        <f>I97*AO97</f>
        <v>0</v>
      </c>
      <c r="AX97" s="45">
        <f>I97*AP97</f>
        <v>0</v>
      </c>
      <c r="AY97" s="48" t="s">
        <v>1085</v>
      </c>
      <c r="AZ97" s="48" t="s">
        <v>1120</v>
      </c>
      <c r="BA97" s="44" t="s">
        <v>1139</v>
      </c>
      <c r="BC97" s="45">
        <f>AW97+AX97</f>
        <v>0</v>
      </c>
      <c r="BD97" s="45">
        <f>J97/(100-BE97)*100</f>
        <v>0</v>
      </c>
      <c r="BE97" s="45">
        <v>0</v>
      </c>
      <c r="BF97" s="45">
        <f>97</f>
        <v>97</v>
      </c>
      <c r="BH97" s="27">
        <f>I97*AO97</f>
        <v>0</v>
      </c>
      <c r="BI97" s="27">
        <f>I97*AP97</f>
        <v>0</v>
      </c>
      <c r="BJ97" s="27">
        <f>I97*J97</f>
        <v>0</v>
      </c>
      <c r="BK97" s="27" t="s">
        <v>1146</v>
      </c>
      <c r="BL97" s="45">
        <v>31</v>
      </c>
    </row>
    <row r="98" spans="1:64" x14ac:dyDescent="0.2">
      <c r="A98" s="6"/>
      <c r="C98" s="21" t="s">
        <v>310</v>
      </c>
      <c r="D98" s="245" t="s">
        <v>685</v>
      </c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7"/>
      <c r="P98" s="6"/>
    </row>
    <row r="99" spans="1:64" x14ac:dyDescent="0.2">
      <c r="A99" s="5" t="s">
        <v>50</v>
      </c>
      <c r="B99" s="16" t="s">
        <v>305</v>
      </c>
      <c r="C99" s="16" t="s">
        <v>353</v>
      </c>
      <c r="D99" s="243" t="s">
        <v>687</v>
      </c>
      <c r="E99" s="244"/>
      <c r="F99" s="244"/>
      <c r="G99" s="244"/>
      <c r="H99" s="16" t="s">
        <v>1045</v>
      </c>
      <c r="I99" s="27">
        <v>17</v>
      </c>
      <c r="J99" s="149"/>
      <c r="K99" s="27">
        <f>I99*AO99</f>
        <v>0</v>
      </c>
      <c r="L99" s="27">
        <f>I99*AP99</f>
        <v>0</v>
      </c>
      <c r="M99" s="27">
        <f>I99*J99</f>
        <v>0</v>
      </c>
      <c r="N99" s="56">
        <f>IF(M623=0,0,M99/M623)</f>
        <v>0</v>
      </c>
      <c r="O99" s="39" t="s">
        <v>1068</v>
      </c>
      <c r="P99" s="6"/>
      <c r="Z99" s="45">
        <f>IF(AQ99="5",BJ99,0)</f>
        <v>0</v>
      </c>
      <c r="AB99" s="45">
        <f>IF(AQ99="1",BH99,0)</f>
        <v>0</v>
      </c>
      <c r="AC99" s="45">
        <f>IF(AQ99="1",BI99,0)</f>
        <v>0</v>
      </c>
      <c r="AD99" s="45">
        <f>IF(AQ99="7",BH99,0)</f>
        <v>0</v>
      </c>
      <c r="AE99" s="45">
        <f>IF(AQ99="7",BI99,0)</f>
        <v>0</v>
      </c>
      <c r="AF99" s="45">
        <f>IF(AQ99="2",BH99,0)</f>
        <v>0</v>
      </c>
      <c r="AG99" s="45">
        <f>IF(AQ99="2",BI99,0)</f>
        <v>0</v>
      </c>
      <c r="AH99" s="45">
        <f>IF(AQ99="0",BJ99,0)</f>
        <v>0</v>
      </c>
      <c r="AI99" s="44" t="s">
        <v>305</v>
      </c>
      <c r="AJ99" s="27">
        <f>IF(AN99=0,M99,0)</f>
        <v>0</v>
      </c>
      <c r="AK99" s="27">
        <f>IF(AN99=15,M99,0)</f>
        <v>0</v>
      </c>
      <c r="AL99" s="27">
        <f>IF(AN99=21,M99,0)</f>
        <v>0</v>
      </c>
      <c r="AN99" s="45">
        <v>15</v>
      </c>
      <c r="AO99" s="45">
        <f>J99*0.900448239060832</f>
        <v>0</v>
      </c>
      <c r="AP99" s="45">
        <f>J99*(1-0.900448239060832)</f>
        <v>0</v>
      </c>
      <c r="AQ99" s="46" t="s">
        <v>7</v>
      </c>
      <c r="AV99" s="45">
        <f>AW99+AX99</f>
        <v>0</v>
      </c>
      <c r="AW99" s="45">
        <f>I99*AO99</f>
        <v>0</v>
      </c>
      <c r="AX99" s="45">
        <f>I99*AP99</f>
        <v>0</v>
      </c>
      <c r="AY99" s="48" t="s">
        <v>1085</v>
      </c>
      <c r="AZ99" s="48" t="s">
        <v>1120</v>
      </c>
      <c r="BA99" s="44" t="s">
        <v>1139</v>
      </c>
      <c r="BC99" s="45">
        <f>AW99+AX99</f>
        <v>0</v>
      </c>
      <c r="BD99" s="45">
        <f>J99/(100-BE99)*100</f>
        <v>0</v>
      </c>
      <c r="BE99" s="45">
        <v>0</v>
      </c>
      <c r="BF99" s="45">
        <f>99</f>
        <v>99</v>
      </c>
      <c r="BH99" s="27">
        <f>I99*AO99</f>
        <v>0</v>
      </c>
      <c r="BI99" s="27">
        <f>I99*AP99</f>
        <v>0</v>
      </c>
      <c r="BJ99" s="27">
        <f>I99*J99</f>
        <v>0</v>
      </c>
      <c r="BK99" s="27" t="s">
        <v>1146</v>
      </c>
      <c r="BL99" s="45">
        <v>31</v>
      </c>
    </row>
    <row r="100" spans="1:64" x14ac:dyDescent="0.2">
      <c r="A100" s="6"/>
      <c r="C100" s="21" t="s">
        <v>310</v>
      </c>
      <c r="D100" s="245" t="s">
        <v>688</v>
      </c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7"/>
      <c r="P100" s="6"/>
    </row>
    <row r="101" spans="1:64" x14ac:dyDescent="0.2">
      <c r="A101" s="5" t="s">
        <v>51</v>
      </c>
      <c r="B101" s="16" t="s">
        <v>305</v>
      </c>
      <c r="C101" s="16" t="s">
        <v>354</v>
      </c>
      <c r="D101" s="243" t="s">
        <v>689</v>
      </c>
      <c r="E101" s="244"/>
      <c r="F101" s="244"/>
      <c r="G101" s="244"/>
      <c r="H101" s="16" t="s">
        <v>1045</v>
      </c>
      <c r="I101" s="27">
        <v>2</v>
      </c>
      <c r="J101" s="149"/>
      <c r="K101" s="27">
        <f>I101*AO101</f>
        <v>0</v>
      </c>
      <c r="L101" s="27">
        <f>I101*AP101</f>
        <v>0</v>
      </c>
      <c r="M101" s="27">
        <f>I101*J101</f>
        <v>0</v>
      </c>
      <c r="N101" s="56">
        <f>IF(M623=0,0,M101/M623)</f>
        <v>0</v>
      </c>
      <c r="O101" s="39" t="s">
        <v>1068</v>
      </c>
      <c r="P101" s="6"/>
      <c r="Z101" s="45">
        <f>IF(AQ101="5",BJ101,0)</f>
        <v>0</v>
      </c>
      <c r="AB101" s="45">
        <f>IF(AQ101="1",BH101,0)</f>
        <v>0</v>
      </c>
      <c r="AC101" s="45">
        <f>IF(AQ101="1",BI101,0)</f>
        <v>0</v>
      </c>
      <c r="AD101" s="45">
        <f>IF(AQ101="7",BH101,0)</f>
        <v>0</v>
      </c>
      <c r="AE101" s="45">
        <f>IF(AQ101="7",BI101,0)</f>
        <v>0</v>
      </c>
      <c r="AF101" s="45">
        <f>IF(AQ101="2",BH101,0)</f>
        <v>0</v>
      </c>
      <c r="AG101" s="45">
        <f>IF(AQ101="2",BI101,0)</f>
        <v>0</v>
      </c>
      <c r="AH101" s="45">
        <f>IF(AQ101="0",BJ101,0)</f>
        <v>0</v>
      </c>
      <c r="AI101" s="44" t="s">
        <v>305</v>
      </c>
      <c r="AJ101" s="27">
        <f>IF(AN101=0,M101,0)</f>
        <v>0</v>
      </c>
      <c r="AK101" s="27">
        <f>IF(AN101=15,M101,0)</f>
        <v>0</v>
      </c>
      <c r="AL101" s="27">
        <f>IF(AN101=21,M101,0)</f>
        <v>0</v>
      </c>
      <c r="AN101" s="45">
        <v>15</v>
      </c>
      <c r="AO101" s="45">
        <f>J101*0.932737780713342</f>
        <v>0</v>
      </c>
      <c r="AP101" s="45">
        <f>J101*(1-0.932737780713342)</f>
        <v>0</v>
      </c>
      <c r="AQ101" s="46" t="s">
        <v>7</v>
      </c>
      <c r="AV101" s="45">
        <f>AW101+AX101</f>
        <v>0</v>
      </c>
      <c r="AW101" s="45">
        <f>I101*AO101</f>
        <v>0</v>
      </c>
      <c r="AX101" s="45">
        <f>I101*AP101</f>
        <v>0</v>
      </c>
      <c r="AY101" s="48" t="s">
        <v>1085</v>
      </c>
      <c r="AZ101" s="48" t="s">
        <v>1120</v>
      </c>
      <c r="BA101" s="44" t="s">
        <v>1139</v>
      </c>
      <c r="BC101" s="45">
        <f>AW101+AX101</f>
        <v>0</v>
      </c>
      <c r="BD101" s="45">
        <f>J101/(100-BE101)*100</f>
        <v>0</v>
      </c>
      <c r="BE101" s="45">
        <v>0</v>
      </c>
      <c r="BF101" s="45">
        <f>101</f>
        <v>101</v>
      </c>
      <c r="BH101" s="27">
        <f>I101*AO101</f>
        <v>0</v>
      </c>
      <c r="BI101" s="27">
        <f>I101*AP101</f>
        <v>0</v>
      </c>
      <c r="BJ101" s="27">
        <f>I101*J101</f>
        <v>0</v>
      </c>
      <c r="BK101" s="27" t="s">
        <v>1146</v>
      </c>
      <c r="BL101" s="45">
        <v>31</v>
      </c>
    </row>
    <row r="102" spans="1:64" x14ac:dyDescent="0.2">
      <c r="A102" s="6"/>
      <c r="C102" s="21" t="s">
        <v>310</v>
      </c>
      <c r="D102" s="245" t="s">
        <v>685</v>
      </c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7"/>
      <c r="P102" s="6"/>
    </row>
    <row r="103" spans="1:64" x14ac:dyDescent="0.2">
      <c r="A103" s="5" t="s">
        <v>52</v>
      </c>
      <c r="B103" s="16" t="s">
        <v>305</v>
      </c>
      <c r="C103" s="16" t="s">
        <v>355</v>
      </c>
      <c r="D103" s="243" t="s">
        <v>690</v>
      </c>
      <c r="E103" s="244"/>
      <c r="F103" s="244"/>
      <c r="G103" s="244"/>
      <c r="H103" s="16" t="s">
        <v>1045</v>
      </c>
      <c r="I103" s="27">
        <v>2</v>
      </c>
      <c r="J103" s="149"/>
      <c r="K103" s="27">
        <f>I103*AO103</f>
        <v>0</v>
      </c>
      <c r="L103" s="27">
        <f>I103*AP103</f>
        <v>0</v>
      </c>
      <c r="M103" s="27">
        <f>I103*J103</f>
        <v>0</v>
      </c>
      <c r="N103" s="56">
        <f>IF(M623=0,0,M103/M623)</f>
        <v>0</v>
      </c>
      <c r="O103" s="39" t="s">
        <v>1068</v>
      </c>
      <c r="P103" s="6"/>
      <c r="Z103" s="45">
        <f>IF(AQ103="5",BJ103,0)</f>
        <v>0</v>
      </c>
      <c r="AB103" s="45">
        <f>IF(AQ103="1",BH103,0)</f>
        <v>0</v>
      </c>
      <c r="AC103" s="45">
        <f>IF(AQ103="1",BI103,0)</f>
        <v>0</v>
      </c>
      <c r="AD103" s="45">
        <f>IF(AQ103="7",BH103,0)</f>
        <v>0</v>
      </c>
      <c r="AE103" s="45">
        <f>IF(AQ103="7",BI103,0)</f>
        <v>0</v>
      </c>
      <c r="AF103" s="45">
        <f>IF(AQ103="2",BH103,0)</f>
        <v>0</v>
      </c>
      <c r="AG103" s="45">
        <f>IF(AQ103="2",BI103,0)</f>
        <v>0</v>
      </c>
      <c r="AH103" s="45">
        <f>IF(AQ103="0",BJ103,0)</f>
        <v>0</v>
      </c>
      <c r="AI103" s="44" t="s">
        <v>305</v>
      </c>
      <c r="AJ103" s="27">
        <f>IF(AN103=0,M103,0)</f>
        <v>0</v>
      </c>
      <c r="AK103" s="27">
        <f>IF(AN103=15,M103,0)</f>
        <v>0</v>
      </c>
      <c r="AL103" s="27">
        <f>IF(AN103=21,M103,0)</f>
        <v>0</v>
      </c>
      <c r="AN103" s="45">
        <v>15</v>
      </c>
      <c r="AO103" s="45">
        <f>J103*0.899691542288557</f>
        <v>0</v>
      </c>
      <c r="AP103" s="45">
        <f>J103*(1-0.899691542288557)</f>
        <v>0</v>
      </c>
      <c r="AQ103" s="46" t="s">
        <v>7</v>
      </c>
      <c r="AV103" s="45">
        <f>AW103+AX103</f>
        <v>0</v>
      </c>
      <c r="AW103" s="45">
        <f>I103*AO103</f>
        <v>0</v>
      </c>
      <c r="AX103" s="45">
        <f>I103*AP103</f>
        <v>0</v>
      </c>
      <c r="AY103" s="48" t="s">
        <v>1085</v>
      </c>
      <c r="AZ103" s="48" t="s">
        <v>1120</v>
      </c>
      <c r="BA103" s="44" t="s">
        <v>1139</v>
      </c>
      <c r="BC103" s="45">
        <f>AW103+AX103</f>
        <v>0</v>
      </c>
      <c r="BD103" s="45">
        <f>J103/(100-BE103)*100</f>
        <v>0</v>
      </c>
      <c r="BE103" s="45">
        <v>0</v>
      </c>
      <c r="BF103" s="45">
        <f>103</f>
        <v>103</v>
      </c>
      <c r="BH103" s="27">
        <f>I103*AO103</f>
        <v>0</v>
      </c>
      <c r="BI103" s="27">
        <f>I103*AP103</f>
        <v>0</v>
      </c>
      <c r="BJ103" s="27">
        <f>I103*J103</f>
        <v>0</v>
      </c>
      <c r="BK103" s="27" t="s">
        <v>1146</v>
      </c>
      <c r="BL103" s="45">
        <v>31</v>
      </c>
    </row>
    <row r="104" spans="1:64" x14ac:dyDescent="0.2">
      <c r="A104" s="6"/>
      <c r="C104" s="21" t="s">
        <v>310</v>
      </c>
      <c r="D104" s="245" t="s">
        <v>685</v>
      </c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7"/>
      <c r="P104" s="6"/>
    </row>
    <row r="105" spans="1:64" x14ac:dyDescent="0.2">
      <c r="A105" s="5" t="s">
        <v>53</v>
      </c>
      <c r="B105" s="16" t="s">
        <v>305</v>
      </c>
      <c r="C105" s="16" t="s">
        <v>356</v>
      </c>
      <c r="D105" s="243" t="s">
        <v>691</v>
      </c>
      <c r="E105" s="244"/>
      <c r="F105" s="244"/>
      <c r="G105" s="244"/>
      <c r="H105" s="16" t="s">
        <v>1045</v>
      </c>
      <c r="I105" s="27">
        <v>2</v>
      </c>
      <c r="J105" s="149"/>
      <c r="K105" s="27">
        <f>I105*AO105</f>
        <v>0</v>
      </c>
      <c r="L105" s="27">
        <f>I105*AP105</f>
        <v>0</v>
      </c>
      <c r="M105" s="27">
        <f>I105*J105</f>
        <v>0</v>
      </c>
      <c r="N105" s="56">
        <f>IF(M623=0,0,M105/M623)</f>
        <v>0</v>
      </c>
      <c r="O105" s="39" t="s">
        <v>1068</v>
      </c>
      <c r="P105" s="6"/>
      <c r="Z105" s="45">
        <f>IF(AQ105="5",BJ105,0)</f>
        <v>0</v>
      </c>
      <c r="AB105" s="45">
        <f>IF(AQ105="1",BH105,0)</f>
        <v>0</v>
      </c>
      <c r="AC105" s="45">
        <f>IF(AQ105="1",BI105,0)</f>
        <v>0</v>
      </c>
      <c r="AD105" s="45">
        <f>IF(AQ105="7",BH105,0)</f>
        <v>0</v>
      </c>
      <c r="AE105" s="45">
        <f>IF(AQ105="7",BI105,0)</f>
        <v>0</v>
      </c>
      <c r="AF105" s="45">
        <f>IF(AQ105="2",BH105,0)</f>
        <v>0</v>
      </c>
      <c r="AG105" s="45">
        <f>IF(AQ105="2",BI105,0)</f>
        <v>0</v>
      </c>
      <c r="AH105" s="45">
        <f>IF(AQ105="0",BJ105,0)</f>
        <v>0</v>
      </c>
      <c r="AI105" s="44" t="s">
        <v>305</v>
      </c>
      <c r="AJ105" s="27">
        <f>IF(AN105=0,M105,0)</f>
        <v>0</v>
      </c>
      <c r="AK105" s="27">
        <f>IF(AN105=15,M105,0)</f>
        <v>0</v>
      </c>
      <c r="AL105" s="27">
        <f>IF(AN105=21,M105,0)</f>
        <v>0</v>
      </c>
      <c r="AN105" s="45">
        <v>15</v>
      </c>
      <c r="AO105" s="45">
        <f>J105*0.938098380323935</f>
        <v>0</v>
      </c>
      <c r="AP105" s="45">
        <f>J105*(1-0.938098380323935)</f>
        <v>0</v>
      </c>
      <c r="AQ105" s="46" t="s">
        <v>7</v>
      </c>
      <c r="AV105" s="45">
        <f>AW105+AX105</f>
        <v>0</v>
      </c>
      <c r="AW105" s="45">
        <f>I105*AO105</f>
        <v>0</v>
      </c>
      <c r="AX105" s="45">
        <f>I105*AP105</f>
        <v>0</v>
      </c>
      <c r="AY105" s="48" t="s">
        <v>1085</v>
      </c>
      <c r="AZ105" s="48" t="s">
        <v>1120</v>
      </c>
      <c r="BA105" s="44" t="s">
        <v>1139</v>
      </c>
      <c r="BC105" s="45">
        <f>AW105+AX105</f>
        <v>0</v>
      </c>
      <c r="BD105" s="45">
        <f>J105/(100-BE105)*100</f>
        <v>0</v>
      </c>
      <c r="BE105" s="45">
        <v>0</v>
      </c>
      <c r="BF105" s="45">
        <f>105</f>
        <v>105</v>
      </c>
      <c r="BH105" s="27">
        <f>I105*AO105</f>
        <v>0</v>
      </c>
      <c r="BI105" s="27">
        <f>I105*AP105</f>
        <v>0</v>
      </c>
      <c r="BJ105" s="27">
        <f>I105*J105</f>
        <v>0</v>
      </c>
      <c r="BK105" s="27" t="s">
        <v>1146</v>
      </c>
      <c r="BL105" s="45">
        <v>31</v>
      </c>
    </row>
    <row r="106" spans="1:64" x14ac:dyDescent="0.2">
      <c r="A106" s="6"/>
      <c r="C106" s="21" t="s">
        <v>310</v>
      </c>
      <c r="D106" s="245" t="s">
        <v>685</v>
      </c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7"/>
      <c r="P106" s="6"/>
    </row>
    <row r="107" spans="1:64" x14ac:dyDescent="0.2">
      <c r="A107" s="5" t="s">
        <v>54</v>
      </c>
      <c r="B107" s="16" t="s">
        <v>305</v>
      </c>
      <c r="C107" s="16" t="s">
        <v>357</v>
      </c>
      <c r="D107" s="243" t="s">
        <v>692</v>
      </c>
      <c r="E107" s="244"/>
      <c r="F107" s="244"/>
      <c r="G107" s="244"/>
      <c r="H107" s="16" t="s">
        <v>1044</v>
      </c>
      <c r="I107" s="27">
        <v>20.5</v>
      </c>
      <c r="J107" s="149"/>
      <c r="K107" s="27">
        <f>I107*AO107</f>
        <v>0</v>
      </c>
      <c r="L107" s="27">
        <f>I107*AP107</f>
        <v>0</v>
      </c>
      <c r="M107" s="27">
        <f>I107*J107</f>
        <v>0</v>
      </c>
      <c r="N107" s="56">
        <f>IF(M623=0,0,M107/M623)</f>
        <v>0</v>
      </c>
      <c r="O107" s="39" t="s">
        <v>1068</v>
      </c>
      <c r="P107" s="6"/>
      <c r="Z107" s="45">
        <f>IF(AQ107="5",BJ107,0)</f>
        <v>0</v>
      </c>
      <c r="AB107" s="45">
        <f>IF(AQ107="1",BH107,0)</f>
        <v>0</v>
      </c>
      <c r="AC107" s="45">
        <f>IF(AQ107="1",BI107,0)</f>
        <v>0</v>
      </c>
      <c r="AD107" s="45">
        <f>IF(AQ107="7",BH107,0)</f>
        <v>0</v>
      </c>
      <c r="AE107" s="45">
        <f>IF(AQ107="7",BI107,0)</f>
        <v>0</v>
      </c>
      <c r="AF107" s="45">
        <f>IF(AQ107="2",BH107,0)</f>
        <v>0</v>
      </c>
      <c r="AG107" s="45">
        <f>IF(AQ107="2",BI107,0)</f>
        <v>0</v>
      </c>
      <c r="AH107" s="45">
        <f>IF(AQ107="0",BJ107,0)</f>
        <v>0</v>
      </c>
      <c r="AI107" s="44" t="s">
        <v>305</v>
      </c>
      <c r="AJ107" s="27">
        <f>IF(AN107=0,M107,0)</f>
        <v>0</v>
      </c>
      <c r="AK107" s="27">
        <f>IF(AN107=15,M107,0)</f>
        <v>0</v>
      </c>
      <c r="AL107" s="27">
        <f>IF(AN107=21,M107,0)</f>
        <v>0</v>
      </c>
      <c r="AN107" s="45">
        <v>15</v>
      </c>
      <c r="AO107" s="45">
        <f>J107*0</f>
        <v>0</v>
      </c>
      <c r="AP107" s="45">
        <f>J107*(1-0)</f>
        <v>0</v>
      </c>
      <c r="AQ107" s="46" t="s">
        <v>7</v>
      </c>
      <c r="AV107" s="45">
        <f>AW107+AX107</f>
        <v>0</v>
      </c>
      <c r="AW107" s="45">
        <f>I107*AO107</f>
        <v>0</v>
      </c>
      <c r="AX107" s="45">
        <f>I107*AP107</f>
        <v>0</v>
      </c>
      <c r="AY107" s="48" t="s">
        <v>1085</v>
      </c>
      <c r="AZ107" s="48" t="s">
        <v>1120</v>
      </c>
      <c r="BA107" s="44" t="s">
        <v>1139</v>
      </c>
      <c r="BC107" s="45">
        <f>AW107+AX107</f>
        <v>0</v>
      </c>
      <c r="BD107" s="45">
        <f>J107/(100-BE107)*100</f>
        <v>0</v>
      </c>
      <c r="BE107" s="45">
        <v>0</v>
      </c>
      <c r="BF107" s="45">
        <f>107</f>
        <v>107</v>
      </c>
      <c r="BH107" s="27">
        <f>I107*AO107</f>
        <v>0</v>
      </c>
      <c r="BI107" s="27">
        <f>I107*AP107</f>
        <v>0</v>
      </c>
      <c r="BJ107" s="27">
        <f>I107*J107</f>
        <v>0</v>
      </c>
      <c r="BK107" s="27" t="s">
        <v>1146</v>
      </c>
      <c r="BL107" s="45">
        <v>31</v>
      </c>
    </row>
    <row r="108" spans="1:64" x14ac:dyDescent="0.2">
      <c r="A108" s="6"/>
      <c r="C108" s="21" t="s">
        <v>310</v>
      </c>
      <c r="D108" s="245" t="s">
        <v>642</v>
      </c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7"/>
      <c r="P108" s="6"/>
    </row>
    <row r="109" spans="1:64" x14ac:dyDescent="0.2">
      <c r="A109" s="7" t="s">
        <v>55</v>
      </c>
      <c r="B109" s="17" t="s">
        <v>305</v>
      </c>
      <c r="C109" s="17" t="s">
        <v>358</v>
      </c>
      <c r="D109" s="241" t="s">
        <v>693</v>
      </c>
      <c r="E109" s="242"/>
      <c r="F109" s="242"/>
      <c r="G109" s="242"/>
      <c r="H109" s="17" t="s">
        <v>1042</v>
      </c>
      <c r="I109" s="28">
        <v>3.32</v>
      </c>
      <c r="J109" s="154"/>
      <c r="K109" s="28">
        <f>I109*AO109</f>
        <v>0</v>
      </c>
      <c r="L109" s="28">
        <f>I109*AP109</f>
        <v>0</v>
      </c>
      <c r="M109" s="28">
        <f>I109*J109</f>
        <v>0</v>
      </c>
      <c r="N109" s="57">
        <f>IF(M623=0,0,M109/M623)</f>
        <v>0</v>
      </c>
      <c r="O109" s="40" t="s">
        <v>1068</v>
      </c>
      <c r="P109" s="6"/>
      <c r="Z109" s="45">
        <f>IF(AQ109="5",BJ109,0)</f>
        <v>0</v>
      </c>
      <c r="AB109" s="45">
        <f>IF(AQ109="1",BH109,0)</f>
        <v>0</v>
      </c>
      <c r="AC109" s="45">
        <f>IF(AQ109="1",BI109,0)</f>
        <v>0</v>
      </c>
      <c r="AD109" s="45">
        <f>IF(AQ109="7",BH109,0)</f>
        <v>0</v>
      </c>
      <c r="AE109" s="45">
        <f>IF(AQ109="7",BI109,0)</f>
        <v>0</v>
      </c>
      <c r="AF109" s="45">
        <f>IF(AQ109="2",BH109,0)</f>
        <v>0</v>
      </c>
      <c r="AG109" s="45">
        <f>IF(AQ109="2",BI109,0)</f>
        <v>0</v>
      </c>
      <c r="AH109" s="45">
        <f>IF(AQ109="0",BJ109,0)</f>
        <v>0</v>
      </c>
      <c r="AI109" s="44" t="s">
        <v>305</v>
      </c>
      <c r="AJ109" s="28">
        <f>IF(AN109=0,M109,0)</f>
        <v>0</v>
      </c>
      <c r="AK109" s="28">
        <f>IF(AN109=15,M109,0)</f>
        <v>0</v>
      </c>
      <c r="AL109" s="28">
        <f>IF(AN109=21,M109,0)</f>
        <v>0</v>
      </c>
      <c r="AN109" s="45">
        <v>15</v>
      </c>
      <c r="AO109" s="45">
        <f>J109*1</f>
        <v>0</v>
      </c>
      <c r="AP109" s="45">
        <f>J109*(1-1)</f>
        <v>0</v>
      </c>
      <c r="AQ109" s="47" t="s">
        <v>7</v>
      </c>
      <c r="AV109" s="45">
        <f>AW109+AX109</f>
        <v>0</v>
      </c>
      <c r="AW109" s="45">
        <f>I109*AO109</f>
        <v>0</v>
      </c>
      <c r="AX109" s="45">
        <f>I109*AP109</f>
        <v>0</v>
      </c>
      <c r="AY109" s="48" t="s">
        <v>1085</v>
      </c>
      <c r="AZ109" s="48" t="s">
        <v>1120</v>
      </c>
      <c r="BA109" s="44" t="s">
        <v>1139</v>
      </c>
      <c r="BC109" s="45">
        <f>AW109+AX109</f>
        <v>0</v>
      </c>
      <c r="BD109" s="45">
        <f>J109/(100-BE109)*100</f>
        <v>0</v>
      </c>
      <c r="BE109" s="45">
        <v>0</v>
      </c>
      <c r="BF109" s="45">
        <f>109</f>
        <v>109</v>
      </c>
      <c r="BH109" s="28">
        <f>I109*AO109</f>
        <v>0</v>
      </c>
      <c r="BI109" s="28">
        <f>I109*AP109</f>
        <v>0</v>
      </c>
      <c r="BJ109" s="28">
        <f>I109*J109</f>
        <v>0</v>
      </c>
      <c r="BK109" s="28" t="s">
        <v>1147</v>
      </c>
      <c r="BL109" s="45">
        <v>31</v>
      </c>
    </row>
    <row r="110" spans="1:64" x14ac:dyDescent="0.2">
      <c r="A110" s="7" t="s">
        <v>56</v>
      </c>
      <c r="B110" s="17" t="s">
        <v>305</v>
      </c>
      <c r="C110" s="17" t="s">
        <v>359</v>
      </c>
      <c r="D110" s="241" t="s">
        <v>694</v>
      </c>
      <c r="E110" s="242"/>
      <c r="F110" s="242"/>
      <c r="G110" s="242"/>
      <c r="H110" s="17" t="s">
        <v>1042</v>
      </c>
      <c r="I110" s="28">
        <v>2.2200000000000002</v>
      </c>
      <c r="J110" s="154"/>
      <c r="K110" s="28">
        <f>I110*AO110</f>
        <v>0</v>
      </c>
      <c r="L110" s="28">
        <f>I110*AP110</f>
        <v>0</v>
      </c>
      <c r="M110" s="28">
        <f>I110*J110</f>
        <v>0</v>
      </c>
      <c r="N110" s="57">
        <f>IF(M623=0,0,M110/M623)</f>
        <v>0</v>
      </c>
      <c r="O110" s="40" t="s">
        <v>1068</v>
      </c>
      <c r="P110" s="6"/>
      <c r="Z110" s="45">
        <f>IF(AQ110="5",BJ110,0)</f>
        <v>0</v>
      </c>
      <c r="AB110" s="45">
        <f>IF(AQ110="1",BH110,0)</f>
        <v>0</v>
      </c>
      <c r="AC110" s="45">
        <f>IF(AQ110="1",BI110,0)</f>
        <v>0</v>
      </c>
      <c r="AD110" s="45">
        <f>IF(AQ110="7",BH110,0)</f>
        <v>0</v>
      </c>
      <c r="AE110" s="45">
        <f>IF(AQ110="7",BI110,0)</f>
        <v>0</v>
      </c>
      <c r="AF110" s="45">
        <f>IF(AQ110="2",BH110,0)</f>
        <v>0</v>
      </c>
      <c r="AG110" s="45">
        <f>IF(AQ110="2",BI110,0)</f>
        <v>0</v>
      </c>
      <c r="AH110" s="45">
        <f>IF(AQ110="0",BJ110,0)</f>
        <v>0</v>
      </c>
      <c r="AI110" s="44" t="s">
        <v>305</v>
      </c>
      <c r="AJ110" s="28">
        <f>IF(AN110=0,M110,0)</f>
        <v>0</v>
      </c>
      <c r="AK110" s="28">
        <f>IF(AN110=15,M110,0)</f>
        <v>0</v>
      </c>
      <c r="AL110" s="28">
        <f>IF(AN110=21,M110,0)</f>
        <v>0</v>
      </c>
      <c r="AN110" s="45">
        <v>15</v>
      </c>
      <c r="AO110" s="45">
        <f>J110*1</f>
        <v>0</v>
      </c>
      <c r="AP110" s="45">
        <f>J110*(1-1)</f>
        <v>0</v>
      </c>
      <c r="AQ110" s="47" t="s">
        <v>7</v>
      </c>
      <c r="AV110" s="45">
        <f>AW110+AX110</f>
        <v>0</v>
      </c>
      <c r="AW110" s="45">
        <f>I110*AO110</f>
        <v>0</v>
      </c>
      <c r="AX110" s="45">
        <f>I110*AP110</f>
        <v>0</v>
      </c>
      <c r="AY110" s="48" t="s">
        <v>1085</v>
      </c>
      <c r="AZ110" s="48" t="s">
        <v>1120</v>
      </c>
      <c r="BA110" s="44" t="s">
        <v>1139</v>
      </c>
      <c r="BC110" s="45">
        <f>AW110+AX110</f>
        <v>0</v>
      </c>
      <c r="BD110" s="45">
        <f>J110/(100-BE110)*100</f>
        <v>0</v>
      </c>
      <c r="BE110" s="45">
        <v>0</v>
      </c>
      <c r="BF110" s="45">
        <f>110</f>
        <v>110</v>
      </c>
      <c r="BH110" s="28">
        <f>I110*AO110</f>
        <v>0</v>
      </c>
      <c r="BI110" s="28">
        <f>I110*AP110</f>
        <v>0</v>
      </c>
      <c r="BJ110" s="28">
        <f>I110*J110</f>
        <v>0</v>
      </c>
      <c r="BK110" s="28" t="s">
        <v>1147</v>
      </c>
      <c r="BL110" s="45">
        <v>31</v>
      </c>
    </row>
    <row r="111" spans="1:64" x14ac:dyDescent="0.2">
      <c r="A111" s="5" t="s">
        <v>57</v>
      </c>
      <c r="B111" s="16" t="s">
        <v>305</v>
      </c>
      <c r="C111" s="16" t="s">
        <v>360</v>
      </c>
      <c r="D111" s="243" t="s">
        <v>695</v>
      </c>
      <c r="E111" s="244"/>
      <c r="F111" s="244"/>
      <c r="G111" s="244"/>
      <c r="H111" s="16" t="s">
        <v>1042</v>
      </c>
      <c r="I111" s="27">
        <v>17.850000000000001</v>
      </c>
      <c r="J111" s="149"/>
      <c r="K111" s="27">
        <f>I111*AO111</f>
        <v>0</v>
      </c>
      <c r="L111" s="27">
        <f>I111*AP111</f>
        <v>0</v>
      </c>
      <c r="M111" s="27">
        <f>I111*J111</f>
        <v>0</v>
      </c>
      <c r="N111" s="56">
        <f>IF(M623=0,0,M111/M623)</f>
        <v>0</v>
      </c>
      <c r="O111" s="39" t="s">
        <v>1068</v>
      </c>
      <c r="P111" s="6"/>
      <c r="Z111" s="45">
        <f>IF(AQ111="5",BJ111,0)</f>
        <v>0</v>
      </c>
      <c r="AB111" s="45">
        <f>IF(AQ111="1",BH111,0)</f>
        <v>0</v>
      </c>
      <c r="AC111" s="45">
        <f>IF(AQ111="1",BI111,0)</f>
        <v>0</v>
      </c>
      <c r="AD111" s="45">
        <f>IF(AQ111="7",BH111,0)</f>
        <v>0</v>
      </c>
      <c r="AE111" s="45">
        <f>IF(AQ111="7",BI111,0)</f>
        <v>0</v>
      </c>
      <c r="AF111" s="45">
        <f>IF(AQ111="2",BH111,0)</f>
        <v>0</v>
      </c>
      <c r="AG111" s="45">
        <f>IF(AQ111="2",BI111,0)</f>
        <v>0</v>
      </c>
      <c r="AH111" s="45">
        <f>IF(AQ111="0",BJ111,0)</f>
        <v>0</v>
      </c>
      <c r="AI111" s="44" t="s">
        <v>305</v>
      </c>
      <c r="AJ111" s="27">
        <f>IF(AN111=0,M111,0)</f>
        <v>0</v>
      </c>
      <c r="AK111" s="27">
        <f>IF(AN111=15,M111,0)</f>
        <v>0</v>
      </c>
      <c r="AL111" s="27">
        <f>IF(AN111=21,M111,0)</f>
        <v>0</v>
      </c>
      <c r="AN111" s="45">
        <v>15</v>
      </c>
      <c r="AO111" s="45">
        <f>J111*0.719292256452956</f>
        <v>0</v>
      </c>
      <c r="AP111" s="45">
        <f>J111*(1-0.719292256452956)</f>
        <v>0</v>
      </c>
      <c r="AQ111" s="46" t="s">
        <v>7</v>
      </c>
      <c r="AV111" s="45">
        <f>AW111+AX111</f>
        <v>0</v>
      </c>
      <c r="AW111" s="45">
        <f>I111*AO111</f>
        <v>0</v>
      </c>
      <c r="AX111" s="45">
        <f>I111*AP111</f>
        <v>0</v>
      </c>
      <c r="AY111" s="48" t="s">
        <v>1085</v>
      </c>
      <c r="AZ111" s="48" t="s">
        <v>1120</v>
      </c>
      <c r="BA111" s="44" t="s">
        <v>1139</v>
      </c>
      <c r="BC111" s="45">
        <f>AW111+AX111</f>
        <v>0</v>
      </c>
      <c r="BD111" s="45">
        <f>J111/(100-BE111)*100</f>
        <v>0</v>
      </c>
      <c r="BE111" s="45">
        <v>0</v>
      </c>
      <c r="BF111" s="45">
        <f>111</f>
        <v>111</v>
      </c>
      <c r="BH111" s="27">
        <f>I111*AO111</f>
        <v>0</v>
      </c>
      <c r="BI111" s="27">
        <f>I111*AP111</f>
        <v>0</v>
      </c>
      <c r="BJ111" s="27">
        <f>I111*J111</f>
        <v>0</v>
      </c>
      <c r="BK111" s="27" t="s">
        <v>1146</v>
      </c>
      <c r="BL111" s="45">
        <v>31</v>
      </c>
    </row>
    <row r="112" spans="1:64" x14ac:dyDescent="0.2">
      <c r="A112" s="6"/>
      <c r="C112" s="21" t="s">
        <v>310</v>
      </c>
      <c r="D112" s="245" t="s">
        <v>696</v>
      </c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7"/>
      <c r="P112" s="6"/>
    </row>
    <row r="113" spans="1:64" x14ac:dyDescent="0.2">
      <c r="A113" s="5" t="s">
        <v>58</v>
      </c>
      <c r="B113" s="16" t="s">
        <v>305</v>
      </c>
      <c r="C113" s="16" t="s">
        <v>361</v>
      </c>
      <c r="D113" s="243" t="s">
        <v>697</v>
      </c>
      <c r="E113" s="244"/>
      <c r="F113" s="244"/>
      <c r="G113" s="244"/>
      <c r="H113" s="16" t="s">
        <v>1045</v>
      </c>
      <c r="I113" s="27">
        <v>1</v>
      </c>
      <c r="J113" s="149"/>
      <c r="K113" s="27">
        <f>I113*AO113</f>
        <v>0</v>
      </c>
      <c r="L113" s="27">
        <f>I113*AP113</f>
        <v>0</v>
      </c>
      <c r="M113" s="27">
        <f>I113*J113</f>
        <v>0</v>
      </c>
      <c r="N113" s="56">
        <f>IF(M623=0,0,M113/M623)</f>
        <v>0</v>
      </c>
      <c r="O113" s="39" t="s">
        <v>1068</v>
      </c>
      <c r="P113" s="6"/>
      <c r="Z113" s="45">
        <f>IF(AQ113="5",BJ113,0)</f>
        <v>0</v>
      </c>
      <c r="AB113" s="45">
        <f>IF(AQ113="1",BH113,0)</f>
        <v>0</v>
      </c>
      <c r="AC113" s="45">
        <f>IF(AQ113="1",BI113,0)</f>
        <v>0</v>
      </c>
      <c r="AD113" s="45">
        <f>IF(AQ113="7",BH113,0)</f>
        <v>0</v>
      </c>
      <c r="AE113" s="45">
        <f>IF(AQ113="7",BI113,0)</f>
        <v>0</v>
      </c>
      <c r="AF113" s="45">
        <f>IF(AQ113="2",BH113,0)</f>
        <v>0</v>
      </c>
      <c r="AG113" s="45">
        <f>IF(AQ113="2",BI113,0)</f>
        <v>0</v>
      </c>
      <c r="AH113" s="45">
        <f>IF(AQ113="0",BJ113,0)</f>
        <v>0</v>
      </c>
      <c r="AI113" s="44" t="s">
        <v>305</v>
      </c>
      <c r="AJ113" s="27">
        <f>IF(AN113=0,M113,0)</f>
        <v>0</v>
      </c>
      <c r="AK113" s="27">
        <f>IF(AN113=15,M113,0)</f>
        <v>0</v>
      </c>
      <c r="AL113" s="27">
        <f>IF(AN113=21,M113,0)</f>
        <v>0</v>
      </c>
      <c r="AN113" s="45">
        <v>15</v>
      </c>
      <c r="AO113" s="45">
        <f>J113*0.720789779326365</f>
        <v>0</v>
      </c>
      <c r="AP113" s="45">
        <f>J113*(1-0.720789779326365)</f>
        <v>0</v>
      </c>
      <c r="AQ113" s="46" t="s">
        <v>7</v>
      </c>
      <c r="AV113" s="45">
        <f>AW113+AX113</f>
        <v>0</v>
      </c>
      <c r="AW113" s="45">
        <f>I113*AO113</f>
        <v>0</v>
      </c>
      <c r="AX113" s="45">
        <f>I113*AP113</f>
        <v>0</v>
      </c>
      <c r="AY113" s="48" t="s">
        <v>1085</v>
      </c>
      <c r="AZ113" s="48" t="s">
        <v>1120</v>
      </c>
      <c r="BA113" s="44" t="s">
        <v>1139</v>
      </c>
      <c r="BC113" s="45">
        <f>AW113+AX113</f>
        <v>0</v>
      </c>
      <c r="BD113" s="45">
        <f>J113/(100-BE113)*100</f>
        <v>0</v>
      </c>
      <c r="BE113" s="45">
        <v>0</v>
      </c>
      <c r="BF113" s="45">
        <f>113</f>
        <v>113</v>
      </c>
      <c r="BH113" s="27">
        <f>I113*AO113</f>
        <v>0</v>
      </c>
      <c r="BI113" s="27">
        <f>I113*AP113</f>
        <v>0</v>
      </c>
      <c r="BJ113" s="27">
        <f>I113*J113</f>
        <v>0</v>
      </c>
      <c r="BK113" s="27" t="s">
        <v>1146</v>
      </c>
      <c r="BL113" s="45">
        <v>31</v>
      </c>
    </row>
    <row r="114" spans="1:64" x14ac:dyDescent="0.2">
      <c r="A114" s="6"/>
      <c r="C114" s="21" t="s">
        <v>310</v>
      </c>
      <c r="D114" s="245" t="s">
        <v>698</v>
      </c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7"/>
      <c r="P114" s="6"/>
    </row>
    <row r="115" spans="1:64" x14ac:dyDescent="0.2">
      <c r="A115" s="5" t="s">
        <v>59</v>
      </c>
      <c r="B115" s="16" t="s">
        <v>305</v>
      </c>
      <c r="C115" s="16" t="s">
        <v>362</v>
      </c>
      <c r="D115" s="243" t="s">
        <v>699</v>
      </c>
      <c r="E115" s="244"/>
      <c r="F115" s="244"/>
      <c r="G115" s="244"/>
      <c r="H115" s="16" t="s">
        <v>1045</v>
      </c>
      <c r="I115" s="27">
        <v>1</v>
      </c>
      <c r="J115" s="149"/>
      <c r="K115" s="27">
        <f>I115*AO115</f>
        <v>0</v>
      </c>
      <c r="L115" s="27">
        <f>I115*AP115</f>
        <v>0</v>
      </c>
      <c r="M115" s="27">
        <f>I115*J115</f>
        <v>0</v>
      </c>
      <c r="N115" s="56">
        <f>IF(M623=0,0,M115/M623)</f>
        <v>0</v>
      </c>
      <c r="O115" s="39" t="s">
        <v>1068</v>
      </c>
      <c r="P115" s="6"/>
      <c r="Z115" s="45">
        <f>IF(AQ115="5",BJ115,0)</f>
        <v>0</v>
      </c>
      <c r="AB115" s="45">
        <f>IF(AQ115="1",BH115,0)</f>
        <v>0</v>
      </c>
      <c r="AC115" s="45">
        <f>IF(AQ115="1",BI115,0)</f>
        <v>0</v>
      </c>
      <c r="AD115" s="45">
        <f>IF(AQ115="7",BH115,0)</f>
        <v>0</v>
      </c>
      <c r="AE115" s="45">
        <f>IF(AQ115="7",BI115,0)</f>
        <v>0</v>
      </c>
      <c r="AF115" s="45">
        <f>IF(AQ115="2",BH115,0)</f>
        <v>0</v>
      </c>
      <c r="AG115" s="45">
        <f>IF(AQ115="2",BI115,0)</f>
        <v>0</v>
      </c>
      <c r="AH115" s="45">
        <f>IF(AQ115="0",BJ115,0)</f>
        <v>0</v>
      </c>
      <c r="AI115" s="44" t="s">
        <v>305</v>
      </c>
      <c r="AJ115" s="27">
        <f>IF(AN115=0,M115,0)</f>
        <v>0</v>
      </c>
      <c r="AK115" s="27">
        <f>IF(AN115=15,M115,0)</f>
        <v>0</v>
      </c>
      <c r="AL115" s="27">
        <f>IF(AN115=21,M115,0)</f>
        <v>0</v>
      </c>
      <c r="AN115" s="45">
        <v>15</v>
      </c>
      <c r="AO115" s="45">
        <f>J115*0.724380942338448</f>
        <v>0</v>
      </c>
      <c r="AP115" s="45">
        <f>J115*(1-0.724380942338448)</f>
        <v>0</v>
      </c>
      <c r="AQ115" s="46" t="s">
        <v>7</v>
      </c>
      <c r="AV115" s="45">
        <f>AW115+AX115</f>
        <v>0</v>
      </c>
      <c r="AW115" s="45">
        <f>I115*AO115</f>
        <v>0</v>
      </c>
      <c r="AX115" s="45">
        <f>I115*AP115</f>
        <v>0</v>
      </c>
      <c r="AY115" s="48" t="s">
        <v>1085</v>
      </c>
      <c r="AZ115" s="48" t="s">
        <v>1120</v>
      </c>
      <c r="BA115" s="44" t="s">
        <v>1139</v>
      </c>
      <c r="BC115" s="45">
        <f>AW115+AX115</f>
        <v>0</v>
      </c>
      <c r="BD115" s="45">
        <f>J115/(100-BE115)*100</f>
        <v>0</v>
      </c>
      <c r="BE115" s="45">
        <v>0</v>
      </c>
      <c r="BF115" s="45">
        <f>115</f>
        <v>115</v>
      </c>
      <c r="BH115" s="27">
        <f>I115*AO115</f>
        <v>0</v>
      </c>
      <c r="BI115" s="27">
        <f>I115*AP115</f>
        <v>0</v>
      </c>
      <c r="BJ115" s="27">
        <f>I115*J115</f>
        <v>0</v>
      </c>
      <c r="BK115" s="27" t="s">
        <v>1146</v>
      </c>
      <c r="BL115" s="45">
        <v>31</v>
      </c>
    </row>
    <row r="116" spans="1:64" x14ac:dyDescent="0.2">
      <c r="A116" s="6"/>
      <c r="C116" s="21" t="s">
        <v>310</v>
      </c>
      <c r="D116" s="245" t="s">
        <v>700</v>
      </c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7"/>
      <c r="P116" s="6"/>
    </row>
    <row r="117" spans="1:64" x14ac:dyDescent="0.2">
      <c r="A117" s="5" t="s">
        <v>60</v>
      </c>
      <c r="B117" s="16" t="s">
        <v>305</v>
      </c>
      <c r="C117" s="16" t="s">
        <v>363</v>
      </c>
      <c r="D117" s="243" t="s">
        <v>701</v>
      </c>
      <c r="E117" s="244"/>
      <c r="F117" s="244"/>
      <c r="G117" s="244"/>
      <c r="H117" s="16" t="s">
        <v>1045</v>
      </c>
      <c r="I117" s="27">
        <v>1</v>
      </c>
      <c r="J117" s="149"/>
      <c r="K117" s="27">
        <f>I117*AO117</f>
        <v>0</v>
      </c>
      <c r="L117" s="27">
        <f>I117*AP117</f>
        <v>0</v>
      </c>
      <c r="M117" s="27">
        <f>I117*J117</f>
        <v>0</v>
      </c>
      <c r="N117" s="56">
        <f>IF(M623=0,0,M117/M623)</f>
        <v>0</v>
      </c>
      <c r="O117" s="39" t="s">
        <v>1068</v>
      </c>
      <c r="P117" s="6"/>
      <c r="Z117" s="45">
        <f>IF(AQ117="5",BJ117,0)</f>
        <v>0</v>
      </c>
      <c r="AB117" s="45">
        <f>IF(AQ117="1",BH117,0)</f>
        <v>0</v>
      </c>
      <c r="AC117" s="45">
        <f>IF(AQ117="1",BI117,0)</f>
        <v>0</v>
      </c>
      <c r="AD117" s="45">
        <f>IF(AQ117="7",BH117,0)</f>
        <v>0</v>
      </c>
      <c r="AE117" s="45">
        <f>IF(AQ117="7",BI117,0)</f>
        <v>0</v>
      </c>
      <c r="AF117" s="45">
        <f>IF(AQ117="2",BH117,0)</f>
        <v>0</v>
      </c>
      <c r="AG117" s="45">
        <f>IF(AQ117="2",BI117,0)</f>
        <v>0</v>
      </c>
      <c r="AH117" s="45">
        <f>IF(AQ117="0",BJ117,0)</f>
        <v>0</v>
      </c>
      <c r="AI117" s="44" t="s">
        <v>305</v>
      </c>
      <c r="AJ117" s="27">
        <f>IF(AN117=0,M117,0)</f>
        <v>0</v>
      </c>
      <c r="AK117" s="27">
        <f>IF(AN117=15,M117,0)</f>
        <v>0</v>
      </c>
      <c r="AL117" s="27">
        <f>IF(AN117=21,M117,0)</f>
        <v>0</v>
      </c>
      <c r="AN117" s="45">
        <v>15</v>
      </c>
      <c r="AO117" s="45">
        <f>J117*0.849196854783447</f>
        <v>0</v>
      </c>
      <c r="AP117" s="45">
        <f>J117*(1-0.849196854783447)</f>
        <v>0</v>
      </c>
      <c r="AQ117" s="46" t="s">
        <v>7</v>
      </c>
      <c r="AV117" s="45">
        <f>AW117+AX117</f>
        <v>0</v>
      </c>
      <c r="AW117" s="45">
        <f>I117*AO117</f>
        <v>0</v>
      </c>
      <c r="AX117" s="45">
        <f>I117*AP117</f>
        <v>0</v>
      </c>
      <c r="AY117" s="48" t="s">
        <v>1085</v>
      </c>
      <c r="AZ117" s="48" t="s">
        <v>1120</v>
      </c>
      <c r="BA117" s="44" t="s">
        <v>1139</v>
      </c>
      <c r="BC117" s="45">
        <f>AW117+AX117</f>
        <v>0</v>
      </c>
      <c r="BD117" s="45">
        <f>J117/(100-BE117)*100</f>
        <v>0</v>
      </c>
      <c r="BE117" s="45">
        <v>0</v>
      </c>
      <c r="BF117" s="45">
        <f>117</f>
        <v>117</v>
      </c>
      <c r="BH117" s="27">
        <f>I117*AO117</f>
        <v>0</v>
      </c>
      <c r="BI117" s="27">
        <f>I117*AP117</f>
        <v>0</v>
      </c>
      <c r="BJ117" s="27">
        <f>I117*J117</f>
        <v>0</v>
      </c>
      <c r="BK117" s="27" t="s">
        <v>1146</v>
      </c>
      <c r="BL117" s="45">
        <v>31</v>
      </c>
    </row>
    <row r="118" spans="1:64" x14ac:dyDescent="0.2">
      <c r="A118" s="6"/>
      <c r="D118" s="251" t="s">
        <v>702</v>
      </c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3"/>
      <c r="P118" s="6"/>
    </row>
    <row r="119" spans="1:64" x14ac:dyDescent="0.2">
      <c r="A119" s="6"/>
      <c r="C119" s="21" t="s">
        <v>310</v>
      </c>
      <c r="D119" s="245" t="s">
        <v>642</v>
      </c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7"/>
      <c r="P119" s="6"/>
    </row>
    <row r="120" spans="1:64" x14ac:dyDescent="0.2">
      <c r="A120" s="5" t="s">
        <v>61</v>
      </c>
      <c r="B120" s="16" t="s">
        <v>305</v>
      </c>
      <c r="C120" s="16" t="s">
        <v>364</v>
      </c>
      <c r="D120" s="243" t="s">
        <v>701</v>
      </c>
      <c r="E120" s="244"/>
      <c r="F120" s="244"/>
      <c r="G120" s="244"/>
      <c r="H120" s="16" t="s">
        <v>1045</v>
      </c>
      <c r="I120" s="27">
        <v>6</v>
      </c>
      <c r="J120" s="149"/>
      <c r="K120" s="27">
        <f>I120*AO120</f>
        <v>0</v>
      </c>
      <c r="L120" s="27">
        <f>I120*AP120</f>
        <v>0</v>
      </c>
      <c r="M120" s="27">
        <f>I120*J120</f>
        <v>0</v>
      </c>
      <c r="N120" s="56">
        <f>IF(M623=0,0,M120/M623)</f>
        <v>0</v>
      </c>
      <c r="O120" s="39" t="s">
        <v>1068</v>
      </c>
      <c r="P120" s="6"/>
      <c r="Z120" s="45">
        <f>IF(AQ120="5",BJ120,0)</f>
        <v>0</v>
      </c>
      <c r="AB120" s="45">
        <f>IF(AQ120="1",BH120,0)</f>
        <v>0</v>
      </c>
      <c r="AC120" s="45">
        <f>IF(AQ120="1",BI120,0)</f>
        <v>0</v>
      </c>
      <c r="AD120" s="45">
        <f>IF(AQ120="7",BH120,0)</f>
        <v>0</v>
      </c>
      <c r="AE120" s="45">
        <f>IF(AQ120="7",BI120,0)</f>
        <v>0</v>
      </c>
      <c r="AF120" s="45">
        <f>IF(AQ120="2",BH120,0)</f>
        <v>0</v>
      </c>
      <c r="AG120" s="45">
        <f>IF(AQ120="2",BI120,0)</f>
        <v>0</v>
      </c>
      <c r="AH120" s="45">
        <f>IF(AQ120="0",BJ120,0)</f>
        <v>0</v>
      </c>
      <c r="AI120" s="44" t="s">
        <v>305</v>
      </c>
      <c r="AJ120" s="27">
        <f>IF(AN120=0,M120,0)</f>
        <v>0</v>
      </c>
      <c r="AK120" s="27">
        <f>IF(AN120=15,M120,0)</f>
        <v>0</v>
      </c>
      <c r="AL120" s="27">
        <f>IF(AN120=21,M120,0)</f>
        <v>0</v>
      </c>
      <c r="AN120" s="45">
        <v>15</v>
      </c>
      <c r="AO120" s="45">
        <f>J120*0.891573795241845</f>
        <v>0</v>
      </c>
      <c r="AP120" s="45">
        <f>J120*(1-0.891573795241845)</f>
        <v>0</v>
      </c>
      <c r="AQ120" s="46" t="s">
        <v>7</v>
      </c>
      <c r="AV120" s="45">
        <f>AW120+AX120</f>
        <v>0</v>
      </c>
      <c r="AW120" s="45">
        <f>I120*AO120</f>
        <v>0</v>
      </c>
      <c r="AX120" s="45">
        <f>I120*AP120</f>
        <v>0</v>
      </c>
      <c r="AY120" s="48" t="s">
        <v>1085</v>
      </c>
      <c r="AZ120" s="48" t="s">
        <v>1120</v>
      </c>
      <c r="BA120" s="44" t="s">
        <v>1139</v>
      </c>
      <c r="BC120" s="45">
        <f>AW120+AX120</f>
        <v>0</v>
      </c>
      <c r="BD120" s="45">
        <f>J120/(100-BE120)*100</f>
        <v>0</v>
      </c>
      <c r="BE120" s="45">
        <v>0</v>
      </c>
      <c r="BF120" s="45">
        <f>120</f>
        <v>120</v>
      </c>
      <c r="BH120" s="27">
        <f>I120*AO120</f>
        <v>0</v>
      </c>
      <c r="BI120" s="27">
        <f>I120*AP120</f>
        <v>0</v>
      </c>
      <c r="BJ120" s="27">
        <f>I120*J120</f>
        <v>0</v>
      </c>
      <c r="BK120" s="27" t="s">
        <v>1146</v>
      </c>
      <c r="BL120" s="45">
        <v>31</v>
      </c>
    </row>
    <row r="121" spans="1:64" x14ac:dyDescent="0.2">
      <c r="A121" s="6"/>
      <c r="D121" s="251" t="s">
        <v>703</v>
      </c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3"/>
      <c r="P121" s="6"/>
    </row>
    <row r="122" spans="1:64" x14ac:dyDescent="0.2">
      <c r="A122" s="6"/>
      <c r="C122" s="21" t="s">
        <v>310</v>
      </c>
      <c r="D122" s="245" t="s">
        <v>704</v>
      </c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7"/>
      <c r="P122" s="6"/>
    </row>
    <row r="123" spans="1:64" x14ac:dyDescent="0.2">
      <c r="A123" s="4"/>
      <c r="B123" s="15" t="s">
        <v>305</v>
      </c>
      <c r="C123" s="15" t="s">
        <v>40</v>
      </c>
      <c r="D123" s="237" t="s">
        <v>705</v>
      </c>
      <c r="E123" s="238"/>
      <c r="F123" s="238"/>
      <c r="G123" s="238"/>
      <c r="H123" s="24" t="s">
        <v>6</v>
      </c>
      <c r="I123" s="24" t="s">
        <v>6</v>
      </c>
      <c r="J123" s="24" t="s">
        <v>6</v>
      </c>
      <c r="K123" s="51">
        <f>SUM(K124:K133)</f>
        <v>0</v>
      </c>
      <c r="L123" s="51">
        <f>SUM(L124:L133)</f>
        <v>0</v>
      </c>
      <c r="M123" s="51">
        <f>SUM(M124:M133)</f>
        <v>0</v>
      </c>
      <c r="N123" s="55">
        <f>IF(M623=0,0,M123/M623)</f>
        <v>0</v>
      </c>
      <c r="O123" s="38"/>
      <c r="P123" s="6"/>
      <c r="AI123" s="44" t="s">
        <v>305</v>
      </c>
      <c r="AS123" s="51">
        <f>SUM(AJ124:AJ133)</f>
        <v>0</v>
      </c>
      <c r="AT123" s="51">
        <f>SUM(AK124:AK133)</f>
        <v>0</v>
      </c>
      <c r="AU123" s="51">
        <f>SUM(AL124:AL133)</f>
        <v>0</v>
      </c>
    </row>
    <row r="124" spans="1:64" x14ac:dyDescent="0.2">
      <c r="A124" s="5" t="s">
        <v>62</v>
      </c>
      <c r="B124" s="16" t="s">
        <v>305</v>
      </c>
      <c r="C124" s="16" t="s">
        <v>365</v>
      </c>
      <c r="D124" s="243" t="s">
        <v>706</v>
      </c>
      <c r="E124" s="244"/>
      <c r="F124" s="244"/>
      <c r="G124" s="244"/>
      <c r="H124" s="16" t="s">
        <v>1042</v>
      </c>
      <c r="I124" s="27">
        <v>2.58</v>
      </c>
      <c r="J124" s="149"/>
      <c r="K124" s="27">
        <f>I124*AO124</f>
        <v>0</v>
      </c>
      <c r="L124" s="27">
        <f>I124*AP124</f>
        <v>0</v>
      </c>
      <c r="M124" s="27">
        <f>I124*J124</f>
        <v>0</v>
      </c>
      <c r="N124" s="56">
        <f>IF(M623=0,0,M124/M623)</f>
        <v>0</v>
      </c>
      <c r="O124" s="39" t="s">
        <v>1068</v>
      </c>
      <c r="P124" s="6"/>
      <c r="Z124" s="45">
        <f>IF(AQ124="5",BJ124,0)</f>
        <v>0</v>
      </c>
      <c r="AB124" s="45">
        <f>IF(AQ124="1",BH124,0)</f>
        <v>0</v>
      </c>
      <c r="AC124" s="45">
        <f>IF(AQ124="1",BI124,0)</f>
        <v>0</v>
      </c>
      <c r="AD124" s="45">
        <f>IF(AQ124="7",BH124,0)</f>
        <v>0</v>
      </c>
      <c r="AE124" s="45">
        <f>IF(AQ124="7",BI124,0)</f>
        <v>0</v>
      </c>
      <c r="AF124" s="45">
        <f>IF(AQ124="2",BH124,0)</f>
        <v>0</v>
      </c>
      <c r="AG124" s="45">
        <f>IF(AQ124="2",BI124,0)</f>
        <v>0</v>
      </c>
      <c r="AH124" s="45">
        <f>IF(AQ124="0",BJ124,0)</f>
        <v>0</v>
      </c>
      <c r="AI124" s="44" t="s">
        <v>305</v>
      </c>
      <c r="AJ124" s="27">
        <f>IF(AN124=0,M124,0)</f>
        <v>0</v>
      </c>
      <c r="AK124" s="27">
        <f>IF(AN124=15,M124,0)</f>
        <v>0</v>
      </c>
      <c r="AL124" s="27">
        <f>IF(AN124=21,M124,0)</f>
        <v>0</v>
      </c>
      <c r="AN124" s="45">
        <v>15</v>
      </c>
      <c r="AO124" s="45">
        <f>J124*0.572114093959732</f>
        <v>0</v>
      </c>
      <c r="AP124" s="45">
        <f>J124*(1-0.572114093959732)</f>
        <v>0</v>
      </c>
      <c r="AQ124" s="46" t="s">
        <v>7</v>
      </c>
      <c r="AV124" s="45">
        <f>AW124+AX124</f>
        <v>0</v>
      </c>
      <c r="AW124" s="45">
        <f>I124*AO124</f>
        <v>0</v>
      </c>
      <c r="AX124" s="45">
        <f>I124*AP124</f>
        <v>0</v>
      </c>
      <c r="AY124" s="48" t="s">
        <v>1086</v>
      </c>
      <c r="AZ124" s="48" t="s">
        <v>1120</v>
      </c>
      <c r="BA124" s="44" t="s">
        <v>1139</v>
      </c>
      <c r="BC124" s="45">
        <f>AW124+AX124</f>
        <v>0</v>
      </c>
      <c r="BD124" s="45">
        <f>J124/(100-BE124)*100</f>
        <v>0</v>
      </c>
      <c r="BE124" s="45">
        <v>0</v>
      </c>
      <c r="BF124" s="45">
        <f>124</f>
        <v>124</v>
      </c>
      <c r="BH124" s="27">
        <f>I124*AO124</f>
        <v>0</v>
      </c>
      <c r="BI124" s="27">
        <f>I124*AP124</f>
        <v>0</v>
      </c>
      <c r="BJ124" s="27">
        <f>I124*J124</f>
        <v>0</v>
      </c>
      <c r="BK124" s="27" t="s">
        <v>1146</v>
      </c>
      <c r="BL124" s="45">
        <v>34</v>
      </c>
    </row>
    <row r="125" spans="1:64" x14ac:dyDescent="0.2">
      <c r="A125" s="6"/>
      <c r="D125" s="251" t="s">
        <v>707</v>
      </c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3"/>
      <c r="P125" s="6"/>
    </row>
    <row r="126" spans="1:64" x14ac:dyDescent="0.2">
      <c r="A126" s="6"/>
      <c r="C126" s="21" t="s">
        <v>310</v>
      </c>
      <c r="D126" s="245" t="s">
        <v>665</v>
      </c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7"/>
      <c r="P126" s="6"/>
    </row>
    <row r="127" spans="1:64" x14ac:dyDescent="0.2">
      <c r="A127" s="5" t="s">
        <v>63</v>
      </c>
      <c r="B127" s="16" t="s">
        <v>305</v>
      </c>
      <c r="C127" s="16" t="s">
        <v>366</v>
      </c>
      <c r="D127" s="243" t="s">
        <v>708</v>
      </c>
      <c r="E127" s="244"/>
      <c r="F127" s="244"/>
      <c r="G127" s="244"/>
      <c r="H127" s="16" t="s">
        <v>1042</v>
      </c>
      <c r="I127" s="27">
        <v>6.89</v>
      </c>
      <c r="J127" s="149"/>
      <c r="K127" s="27">
        <f>I127*AO127</f>
        <v>0</v>
      </c>
      <c r="L127" s="27">
        <f>I127*AP127</f>
        <v>0</v>
      </c>
      <c r="M127" s="27">
        <f>I127*J127</f>
        <v>0</v>
      </c>
      <c r="N127" s="56">
        <f>IF(M623=0,0,M127/M623)</f>
        <v>0</v>
      </c>
      <c r="O127" s="39" t="s">
        <v>1068</v>
      </c>
      <c r="P127" s="6"/>
      <c r="Z127" s="45">
        <f>IF(AQ127="5",BJ127,0)</f>
        <v>0</v>
      </c>
      <c r="AB127" s="45">
        <f>IF(AQ127="1",BH127,0)</f>
        <v>0</v>
      </c>
      <c r="AC127" s="45">
        <f>IF(AQ127="1",BI127,0)</f>
        <v>0</v>
      </c>
      <c r="AD127" s="45">
        <f>IF(AQ127="7",BH127,0)</f>
        <v>0</v>
      </c>
      <c r="AE127" s="45">
        <f>IF(AQ127="7",BI127,0)</f>
        <v>0</v>
      </c>
      <c r="AF127" s="45">
        <f>IF(AQ127="2",BH127,0)</f>
        <v>0</v>
      </c>
      <c r="AG127" s="45">
        <f>IF(AQ127="2",BI127,0)</f>
        <v>0</v>
      </c>
      <c r="AH127" s="45">
        <f>IF(AQ127="0",BJ127,0)</f>
        <v>0</v>
      </c>
      <c r="AI127" s="44" t="s">
        <v>305</v>
      </c>
      <c r="AJ127" s="27">
        <f>IF(AN127=0,M127,0)</f>
        <v>0</v>
      </c>
      <c r="AK127" s="27">
        <f>IF(AN127=15,M127,0)</f>
        <v>0</v>
      </c>
      <c r="AL127" s="27">
        <f>IF(AN127=21,M127,0)</f>
        <v>0</v>
      </c>
      <c r="AN127" s="45">
        <v>15</v>
      </c>
      <c r="AO127" s="45">
        <f>J127*0.670606060606061</f>
        <v>0</v>
      </c>
      <c r="AP127" s="45">
        <f>J127*(1-0.670606060606061)</f>
        <v>0</v>
      </c>
      <c r="AQ127" s="46" t="s">
        <v>7</v>
      </c>
      <c r="AV127" s="45">
        <f>AW127+AX127</f>
        <v>0</v>
      </c>
      <c r="AW127" s="45">
        <f>I127*AO127</f>
        <v>0</v>
      </c>
      <c r="AX127" s="45">
        <f>I127*AP127</f>
        <v>0</v>
      </c>
      <c r="AY127" s="48" t="s">
        <v>1086</v>
      </c>
      <c r="AZ127" s="48" t="s">
        <v>1120</v>
      </c>
      <c r="BA127" s="44" t="s">
        <v>1139</v>
      </c>
      <c r="BC127" s="45">
        <f>AW127+AX127</f>
        <v>0</v>
      </c>
      <c r="BD127" s="45">
        <f>J127/(100-BE127)*100</f>
        <v>0</v>
      </c>
      <c r="BE127" s="45">
        <v>0</v>
      </c>
      <c r="BF127" s="45">
        <f>127</f>
        <v>127</v>
      </c>
      <c r="BH127" s="27">
        <f>I127*AO127</f>
        <v>0</v>
      </c>
      <c r="BI127" s="27">
        <f>I127*AP127</f>
        <v>0</v>
      </c>
      <c r="BJ127" s="27">
        <f>I127*J127</f>
        <v>0</v>
      </c>
      <c r="BK127" s="27" t="s">
        <v>1146</v>
      </c>
      <c r="BL127" s="45">
        <v>34</v>
      </c>
    </row>
    <row r="128" spans="1:64" x14ac:dyDescent="0.2">
      <c r="A128" s="6"/>
      <c r="D128" s="251" t="s">
        <v>709</v>
      </c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3"/>
      <c r="P128" s="6"/>
    </row>
    <row r="129" spans="1:64" x14ac:dyDescent="0.2">
      <c r="A129" s="6"/>
      <c r="C129" s="21" t="s">
        <v>310</v>
      </c>
      <c r="D129" s="245" t="s">
        <v>698</v>
      </c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7"/>
      <c r="P129" s="6"/>
    </row>
    <row r="130" spans="1:64" x14ac:dyDescent="0.2">
      <c r="A130" s="5" t="s">
        <v>64</v>
      </c>
      <c r="B130" s="16" t="s">
        <v>305</v>
      </c>
      <c r="C130" s="16" t="s">
        <v>367</v>
      </c>
      <c r="D130" s="243" t="s">
        <v>710</v>
      </c>
      <c r="E130" s="244"/>
      <c r="F130" s="244"/>
      <c r="G130" s="244"/>
      <c r="H130" s="16" t="s">
        <v>1042</v>
      </c>
      <c r="I130" s="27">
        <v>111.35</v>
      </c>
      <c r="J130" s="149"/>
      <c r="K130" s="27">
        <f>I130*AO130</f>
        <v>0</v>
      </c>
      <c r="L130" s="27">
        <f>I130*AP130</f>
        <v>0</v>
      </c>
      <c r="M130" s="27">
        <f>I130*J130</f>
        <v>0</v>
      </c>
      <c r="N130" s="56">
        <f>IF(M623=0,0,M130/M623)</f>
        <v>0</v>
      </c>
      <c r="O130" s="39" t="s">
        <v>1068</v>
      </c>
      <c r="P130" s="6"/>
      <c r="Z130" s="45">
        <f>IF(AQ130="5",BJ130,0)</f>
        <v>0</v>
      </c>
      <c r="AB130" s="45">
        <f>IF(AQ130="1",BH130,0)</f>
        <v>0</v>
      </c>
      <c r="AC130" s="45">
        <f>IF(AQ130="1",BI130,0)</f>
        <v>0</v>
      </c>
      <c r="AD130" s="45">
        <f>IF(AQ130="7",BH130,0)</f>
        <v>0</v>
      </c>
      <c r="AE130" s="45">
        <f>IF(AQ130="7",BI130,0)</f>
        <v>0</v>
      </c>
      <c r="AF130" s="45">
        <f>IF(AQ130="2",BH130,0)</f>
        <v>0</v>
      </c>
      <c r="AG130" s="45">
        <f>IF(AQ130="2",BI130,0)</f>
        <v>0</v>
      </c>
      <c r="AH130" s="45">
        <f>IF(AQ130="0",BJ130,0)</f>
        <v>0</v>
      </c>
      <c r="AI130" s="44" t="s">
        <v>305</v>
      </c>
      <c r="AJ130" s="27">
        <f>IF(AN130=0,M130,0)</f>
        <v>0</v>
      </c>
      <c r="AK130" s="27">
        <f>IF(AN130=15,M130,0)</f>
        <v>0</v>
      </c>
      <c r="AL130" s="27">
        <f>IF(AN130=21,M130,0)</f>
        <v>0</v>
      </c>
      <c r="AN130" s="45">
        <v>15</v>
      </c>
      <c r="AO130" s="45">
        <f>J130*0.74577530176416</f>
        <v>0</v>
      </c>
      <c r="AP130" s="45">
        <f>J130*(1-0.74577530176416)</f>
        <v>0</v>
      </c>
      <c r="AQ130" s="46" t="s">
        <v>7</v>
      </c>
      <c r="AV130" s="45">
        <f>AW130+AX130</f>
        <v>0</v>
      </c>
      <c r="AW130" s="45">
        <f>I130*AO130</f>
        <v>0</v>
      </c>
      <c r="AX130" s="45">
        <f>I130*AP130</f>
        <v>0</v>
      </c>
      <c r="AY130" s="48" t="s">
        <v>1086</v>
      </c>
      <c r="AZ130" s="48" t="s">
        <v>1120</v>
      </c>
      <c r="BA130" s="44" t="s">
        <v>1139</v>
      </c>
      <c r="BC130" s="45">
        <f>AW130+AX130</f>
        <v>0</v>
      </c>
      <c r="BD130" s="45">
        <f>J130/(100-BE130)*100</f>
        <v>0</v>
      </c>
      <c r="BE130" s="45">
        <v>0</v>
      </c>
      <c r="BF130" s="45">
        <f>130</f>
        <v>130</v>
      </c>
      <c r="BH130" s="27">
        <f>I130*AO130</f>
        <v>0</v>
      </c>
      <c r="BI130" s="27">
        <f>I130*AP130</f>
        <v>0</v>
      </c>
      <c r="BJ130" s="27">
        <f>I130*J130</f>
        <v>0</v>
      </c>
      <c r="BK130" s="27" t="s">
        <v>1146</v>
      </c>
      <c r="BL130" s="45">
        <v>34</v>
      </c>
    </row>
    <row r="131" spans="1:64" x14ac:dyDescent="0.2">
      <c r="A131" s="6"/>
      <c r="D131" s="251" t="s">
        <v>711</v>
      </c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3"/>
      <c r="P131" s="6"/>
    </row>
    <row r="132" spans="1:64" x14ac:dyDescent="0.2">
      <c r="A132" s="6"/>
      <c r="C132" s="21" t="s">
        <v>310</v>
      </c>
      <c r="D132" s="245" t="s">
        <v>698</v>
      </c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7"/>
      <c r="P132" s="6"/>
    </row>
    <row r="133" spans="1:64" x14ac:dyDescent="0.2">
      <c r="A133" s="5" t="s">
        <v>65</v>
      </c>
      <c r="B133" s="16" t="s">
        <v>305</v>
      </c>
      <c r="C133" s="16" t="s">
        <v>368</v>
      </c>
      <c r="D133" s="243" t="s">
        <v>712</v>
      </c>
      <c r="E133" s="244"/>
      <c r="F133" s="244"/>
      <c r="G133" s="244"/>
      <c r="H133" s="16" t="s">
        <v>1042</v>
      </c>
      <c r="I133" s="27">
        <v>5.42</v>
      </c>
      <c r="J133" s="149"/>
      <c r="K133" s="27">
        <f>I133*AO133</f>
        <v>0</v>
      </c>
      <c r="L133" s="27">
        <f>I133*AP133</f>
        <v>0</v>
      </c>
      <c r="M133" s="27">
        <f>I133*J133</f>
        <v>0</v>
      </c>
      <c r="N133" s="56">
        <f>IF(M623=0,0,M133/M623)</f>
        <v>0</v>
      </c>
      <c r="O133" s="39" t="s">
        <v>1068</v>
      </c>
      <c r="P133" s="6"/>
      <c r="Z133" s="45">
        <f>IF(AQ133="5",BJ133,0)</f>
        <v>0</v>
      </c>
      <c r="AB133" s="45">
        <f>IF(AQ133="1",BH133,0)</f>
        <v>0</v>
      </c>
      <c r="AC133" s="45">
        <f>IF(AQ133="1",BI133,0)</f>
        <v>0</v>
      </c>
      <c r="AD133" s="45">
        <f>IF(AQ133="7",BH133,0)</f>
        <v>0</v>
      </c>
      <c r="AE133" s="45">
        <f>IF(AQ133="7",BI133,0)</f>
        <v>0</v>
      </c>
      <c r="AF133" s="45">
        <f>IF(AQ133="2",BH133,0)</f>
        <v>0</v>
      </c>
      <c r="AG133" s="45">
        <f>IF(AQ133="2",BI133,0)</f>
        <v>0</v>
      </c>
      <c r="AH133" s="45">
        <f>IF(AQ133="0",BJ133,0)</f>
        <v>0</v>
      </c>
      <c r="AI133" s="44" t="s">
        <v>305</v>
      </c>
      <c r="AJ133" s="27">
        <f>IF(AN133=0,M133,0)</f>
        <v>0</v>
      </c>
      <c r="AK133" s="27">
        <f>IF(AN133=15,M133,0)</f>
        <v>0</v>
      </c>
      <c r="AL133" s="27">
        <f>IF(AN133=21,M133,0)</f>
        <v>0</v>
      </c>
      <c r="AN133" s="45">
        <v>15</v>
      </c>
      <c r="AO133" s="45">
        <f>J133*0.658807822565716</f>
        <v>0</v>
      </c>
      <c r="AP133" s="45">
        <f>J133*(1-0.658807822565716)</f>
        <v>0</v>
      </c>
      <c r="AQ133" s="46" t="s">
        <v>7</v>
      </c>
      <c r="AV133" s="45">
        <f>AW133+AX133</f>
        <v>0</v>
      </c>
      <c r="AW133" s="45">
        <f>I133*AO133</f>
        <v>0</v>
      </c>
      <c r="AX133" s="45">
        <f>I133*AP133</f>
        <v>0</v>
      </c>
      <c r="AY133" s="48" t="s">
        <v>1086</v>
      </c>
      <c r="AZ133" s="48" t="s">
        <v>1120</v>
      </c>
      <c r="BA133" s="44" t="s">
        <v>1139</v>
      </c>
      <c r="BC133" s="45">
        <f>AW133+AX133</f>
        <v>0</v>
      </c>
      <c r="BD133" s="45">
        <f>J133/(100-BE133)*100</f>
        <v>0</v>
      </c>
      <c r="BE133" s="45">
        <v>0</v>
      </c>
      <c r="BF133" s="45">
        <f>133</f>
        <v>133</v>
      </c>
      <c r="BH133" s="27">
        <f>I133*AO133</f>
        <v>0</v>
      </c>
      <c r="BI133" s="27">
        <f>I133*AP133</f>
        <v>0</v>
      </c>
      <c r="BJ133" s="27">
        <f>I133*J133</f>
        <v>0</v>
      </c>
      <c r="BK133" s="27" t="s">
        <v>1146</v>
      </c>
      <c r="BL133" s="45">
        <v>34</v>
      </c>
    </row>
    <row r="134" spans="1:64" x14ac:dyDescent="0.2">
      <c r="A134" s="6"/>
      <c r="C134" s="21" t="s">
        <v>310</v>
      </c>
      <c r="D134" s="245" t="s">
        <v>704</v>
      </c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7"/>
      <c r="P134" s="6"/>
    </row>
    <row r="135" spans="1:64" x14ac:dyDescent="0.2">
      <c r="A135" s="4"/>
      <c r="B135" s="15" t="s">
        <v>305</v>
      </c>
      <c r="C135" s="15" t="s">
        <v>47</v>
      </c>
      <c r="D135" s="237" t="s">
        <v>713</v>
      </c>
      <c r="E135" s="238"/>
      <c r="F135" s="238"/>
      <c r="G135" s="238"/>
      <c r="H135" s="24" t="s">
        <v>6</v>
      </c>
      <c r="I135" s="24" t="s">
        <v>6</v>
      </c>
      <c r="J135" s="24" t="s">
        <v>6</v>
      </c>
      <c r="K135" s="51">
        <f>SUM(K136:K177)</f>
        <v>0</v>
      </c>
      <c r="L135" s="51">
        <f>SUM(L136:L177)</f>
        <v>0</v>
      </c>
      <c r="M135" s="51">
        <f>SUM(M136:M177)</f>
        <v>0</v>
      </c>
      <c r="N135" s="55">
        <f>IF(M623=0,0,M135/M623)</f>
        <v>0</v>
      </c>
      <c r="O135" s="38"/>
      <c r="P135" s="6"/>
      <c r="AI135" s="44" t="s">
        <v>305</v>
      </c>
      <c r="AS135" s="51">
        <f>SUM(AJ136:AJ177)</f>
        <v>0</v>
      </c>
      <c r="AT135" s="51">
        <f>SUM(AK136:AK177)</f>
        <v>0</v>
      </c>
      <c r="AU135" s="51">
        <f>SUM(AL136:AL177)</f>
        <v>0</v>
      </c>
    </row>
    <row r="136" spans="1:64" x14ac:dyDescent="0.2">
      <c r="A136" s="5" t="s">
        <v>66</v>
      </c>
      <c r="B136" s="16" t="s">
        <v>305</v>
      </c>
      <c r="C136" s="16" t="s">
        <v>369</v>
      </c>
      <c r="D136" s="243" t="s">
        <v>714</v>
      </c>
      <c r="E136" s="244"/>
      <c r="F136" s="244"/>
      <c r="G136" s="244"/>
      <c r="H136" s="16" t="s">
        <v>1041</v>
      </c>
      <c r="I136" s="27">
        <v>60.95</v>
      </c>
      <c r="J136" s="149"/>
      <c r="K136" s="27">
        <f>I136*AO136</f>
        <v>0</v>
      </c>
      <c r="L136" s="27">
        <f>I136*AP136</f>
        <v>0</v>
      </c>
      <c r="M136" s="27">
        <f>I136*J136</f>
        <v>0</v>
      </c>
      <c r="N136" s="56">
        <f>IF(M623=0,0,M136/M623)</f>
        <v>0</v>
      </c>
      <c r="O136" s="39" t="s">
        <v>1068</v>
      </c>
      <c r="P136" s="6"/>
      <c r="Z136" s="45">
        <f>IF(AQ136="5",BJ136,0)</f>
        <v>0</v>
      </c>
      <c r="AB136" s="45">
        <f>IF(AQ136="1",BH136,0)</f>
        <v>0</v>
      </c>
      <c r="AC136" s="45">
        <f>IF(AQ136="1",BI136,0)</f>
        <v>0</v>
      </c>
      <c r="AD136" s="45">
        <f>IF(AQ136="7",BH136,0)</f>
        <v>0</v>
      </c>
      <c r="AE136" s="45">
        <f>IF(AQ136="7",BI136,0)</f>
        <v>0</v>
      </c>
      <c r="AF136" s="45">
        <f>IF(AQ136="2",BH136,0)</f>
        <v>0</v>
      </c>
      <c r="AG136" s="45">
        <f>IF(AQ136="2",BI136,0)</f>
        <v>0</v>
      </c>
      <c r="AH136" s="45">
        <f>IF(AQ136="0",BJ136,0)</f>
        <v>0</v>
      </c>
      <c r="AI136" s="44" t="s">
        <v>305</v>
      </c>
      <c r="AJ136" s="27">
        <f>IF(AN136=0,M136,0)</f>
        <v>0</v>
      </c>
      <c r="AK136" s="27">
        <f>IF(AN136=15,M136,0)</f>
        <v>0</v>
      </c>
      <c r="AL136" s="27">
        <f>IF(AN136=21,M136,0)</f>
        <v>0</v>
      </c>
      <c r="AN136" s="45">
        <v>15</v>
      </c>
      <c r="AO136" s="45">
        <f>J136*0.853411849893988</f>
        <v>0</v>
      </c>
      <c r="AP136" s="45">
        <f>J136*(1-0.853411849893988)</f>
        <v>0</v>
      </c>
      <c r="AQ136" s="46" t="s">
        <v>7</v>
      </c>
      <c r="AV136" s="45">
        <f>AW136+AX136</f>
        <v>0</v>
      </c>
      <c r="AW136" s="45">
        <f>I136*AO136</f>
        <v>0</v>
      </c>
      <c r="AX136" s="45">
        <f>I136*AP136</f>
        <v>0</v>
      </c>
      <c r="AY136" s="48" t="s">
        <v>1087</v>
      </c>
      <c r="AZ136" s="48" t="s">
        <v>1121</v>
      </c>
      <c r="BA136" s="44" t="s">
        <v>1139</v>
      </c>
      <c r="BC136" s="45">
        <f>AW136+AX136</f>
        <v>0</v>
      </c>
      <c r="BD136" s="45">
        <f>J136/(100-BE136)*100</f>
        <v>0</v>
      </c>
      <c r="BE136" s="45">
        <v>0</v>
      </c>
      <c r="BF136" s="45">
        <f>136</f>
        <v>136</v>
      </c>
      <c r="BH136" s="27">
        <f>I136*AO136</f>
        <v>0</v>
      </c>
      <c r="BI136" s="27">
        <f>I136*AP136</f>
        <v>0</v>
      </c>
      <c r="BJ136" s="27">
        <f>I136*J136</f>
        <v>0</v>
      </c>
      <c r="BK136" s="27" t="s">
        <v>1146</v>
      </c>
      <c r="BL136" s="45">
        <v>41</v>
      </c>
    </row>
    <row r="137" spans="1:64" x14ac:dyDescent="0.2">
      <c r="A137" s="6"/>
      <c r="C137" s="21" t="s">
        <v>310</v>
      </c>
      <c r="D137" s="245" t="s">
        <v>676</v>
      </c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7"/>
      <c r="P137" s="6"/>
    </row>
    <row r="138" spans="1:64" x14ac:dyDescent="0.2">
      <c r="A138" s="5" t="s">
        <v>67</v>
      </c>
      <c r="B138" s="16" t="s">
        <v>305</v>
      </c>
      <c r="C138" s="16" t="s">
        <v>370</v>
      </c>
      <c r="D138" s="243" t="s">
        <v>715</v>
      </c>
      <c r="E138" s="244"/>
      <c r="F138" s="244"/>
      <c r="G138" s="244"/>
      <c r="H138" s="16" t="s">
        <v>1042</v>
      </c>
      <c r="I138" s="27">
        <v>253.81</v>
      </c>
      <c r="J138" s="149"/>
      <c r="K138" s="27">
        <f>I138*AO138</f>
        <v>0</v>
      </c>
      <c r="L138" s="27">
        <f>I138*AP138</f>
        <v>0</v>
      </c>
      <c r="M138" s="27">
        <f>I138*J138</f>
        <v>0</v>
      </c>
      <c r="N138" s="56">
        <f>IF(M623=0,0,M138/M623)</f>
        <v>0</v>
      </c>
      <c r="O138" s="39" t="s">
        <v>1068</v>
      </c>
      <c r="P138" s="6"/>
      <c r="Z138" s="45">
        <f>IF(AQ138="5",BJ138,0)</f>
        <v>0</v>
      </c>
      <c r="AB138" s="45">
        <f>IF(AQ138="1",BH138,0)</f>
        <v>0</v>
      </c>
      <c r="AC138" s="45">
        <f>IF(AQ138="1",BI138,0)</f>
        <v>0</v>
      </c>
      <c r="AD138" s="45">
        <f>IF(AQ138="7",BH138,0)</f>
        <v>0</v>
      </c>
      <c r="AE138" s="45">
        <f>IF(AQ138="7",BI138,0)</f>
        <v>0</v>
      </c>
      <c r="AF138" s="45">
        <f>IF(AQ138="2",BH138,0)</f>
        <v>0</v>
      </c>
      <c r="AG138" s="45">
        <f>IF(AQ138="2",BI138,0)</f>
        <v>0</v>
      </c>
      <c r="AH138" s="45">
        <f>IF(AQ138="0",BJ138,0)</f>
        <v>0</v>
      </c>
      <c r="AI138" s="44" t="s">
        <v>305</v>
      </c>
      <c r="AJ138" s="27">
        <f>IF(AN138=0,M138,0)</f>
        <v>0</v>
      </c>
      <c r="AK138" s="27">
        <f>IF(AN138=15,M138,0)</f>
        <v>0</v>
      </c>
      <c r="AL138" s="27">
        <f>IF(AN138=21,M138,0)</f>
        <v>0</v>
      </c>
      <c r="AN138" s="45">
        <v>15</v>
      </c>
      <c r="AO138" s="45">
        <f>J138*0.424758522727273</f>
        <v>0</v>
      </c>
      <c r="AP138" s="45">
        <f>J138*(1-0.424758522727273)</f>
        <v>0</v>
      </c>
      <c r="AQ138" s="46" t="s">
        <v>7</v>
      </c>
      <c r="AV138" s="45">
        <f>AW138+AX138</f>
        <v>0</v>
      </c>
      <c r="AW138" s="45">
        <f>I138*AO138</f>
        <v>0</v>
      </c>
      <c r="AX138" s="45">
        <f>I138*AP138</f>
        <v>0</v>
      </c>
      <c r="AY138" s="48" t="s">
        <v>1087</v>
      </c>
      <c r="AZ138" s="48" t="s">
        <v>1121</v>
      </c>
      <c r="BA138" s="44" t="s">
        <v>1139</v>
      </c>
      <c r="BC138" s="45">
        <f>AW138+AX138</f>
        <v>0</v>
      </c>
      <c r="BD138" s="45">
        <f>J138/(100-BE138)*100</f>
        <v>0</v>
      </c>
      <c r="BE138" s="45">
        <v>0</v>
      </c>
      <c r="BF138" s="45">
        <f>138</f>
        <v>138</v>
      </c>
      <c r="BH138" s="27">
        <f>I138*AO138</f>
        <v>0</v>
      </c>
      <c r="BI138" s="27">
        <f>I138*AP138</f>
        <v>0</v>
      </c>
      <c r="BJ138" s="27">
        <f>I138*J138</f>
        <v>0</v>
      </c>
      <c r="BK138" s="27" t="s">
        <v>1146</v>
      </c>
      <c r="BL138" s="45">
        <v>41</v>
      </c>
    </row>
    <row r="139" spans="1:64" x14ac:dyDescent="0.2">
      <c r="A139" s="6"/>
      <c r="D139" s="251" t="s">
        <v>716</v>
      </c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3"/>
      <c r="P139" s="6"/>
    </row>
    <row r="140" spans="1:64" x14ac:dyDescent="0.2">
      <c r="A140" s="6"/>
      <c r="C140" s="20" t="s">
        <v>302</v>
      </c>
      <c r="D140" s="248" t="s">
        <v>717</v>
      </c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50"/>
      <c r="P140" s="6"/>
    </row>
    <row r="141" spans="1:64" x14ac:dyDescent="0.2">
      <c r="A141" s="6"/>
      <c r="C141" s="21" t="s">
        <v>310</v>
      </c>
      <c r="D141" s="245" t="s">
        <v>676</v>
      </c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7"/>
      <c r="P141" s="6"/>
    </row>
    <row r="142" spans="1:64" x14ac:dyDescent="0.2">
      <c r="A142" s="5" t="s">
        <v>68</v>
      </c>
      <c r="B142" s="16" t="s">
        <v>305</v>
      </c>
      <c r="C142" s="16" t="s">
        <v>371</v>
      </c>
      <c r="D142" s="243" t="s">
        <v>718</v>
      </c>
      <c r="E142" s="244"/>
      <c r="F142" s="244"/>
      <c r="G142" s="244"/>
      <c r="H142" s="16" t="s">
        <v>1042</v>
      </c>
      <c r="I142" s="27">
        <v>253.81</v>
      </c>
      <c r="J142" s="149"/>
      <c r="K142" s="27">
        <f>I142*AO142</f>
        <v>0</v>
      </c>
      <c r="L142" s="27">
        <f>I142*AP142</f>
        <v>0</v>
      </c>
      <c r="M142" s="27">
        <f>I142*J142</f>
        <v>0</v>
      </c>
      <c r="N142" s="56">
        <f>IF(M623=0,0,M142/M623)</f>
        <v>0</v>
      </c>
      <c r="O142" s="39" t="s">
        <v>1068</v>
      </c>
      <c r="P142" s="6"/>
      <c r="Z142" s="45">
        <f>IF(AQ142="5",BJ142,0)</f>
        <v>0</v>
      </c>
      <c r="AB142" s="45">
        <f>IF(AQ142="1",BH142,0)</f>
        <v>0</v>
      </c>
      <c r="AC142" s="45">
        <f>IF(AQ142="1",BI142,0)</f>
        <v>0</v>
      </c>
      <c r="AD142" s="45">
        <f>IF(AQ142="7",BH142,0)</f>
        <v>0</v>
      </c>
      <c r="AE142" s="45">
        <f>IF(AQ142="7",BI142,0)</f>
        <v>0</v>
      </c>
      <c r="AF142" s="45">
        <f>IF(AQ142="2",BH142,0)</f>
        <v>0</v>
      </c>
      <c r="AG142" s="45">
        <f>IF(AQ142="2",BI142,0)</f>
        <v>0</v>
      </c>
      <c r="AH142" s="45">
        <f>IF(AQ142="0",BJ142,0)</f>
        <v>0</v>
      </c>
      <c r="AI142" s="44" t="s">
        <v>305</v>
      </c>
      <c r="AJ142" s="27">
        <f>IF(AN142=0,M142,0)</f>
        <v>0</v>
      </c>
      <c r="AK142" s="27">
        <f>IF(AN142=15,M142,0)</f>
        <v>0</v>
      </c>
      <c r="AL142" s="27">
        <f>IF(AN142=21,M142,0)</f>
        <v>0</v>
      </c>
      <c r="AN142" s="45">
        <v>15</v>
      </c>
      <c r="AO142" s="45">
        <f>J142*0</f>
        <v>0</v>
      </c>
      <c r="AP142" s="45">
        <f>J142*(1-0)</f>
        <v>0</v>
      </c>
      <c r="AQ142" s="46" t="s">
        <v>7</v>
      </c>
      <c r="AV142" s="45">
        <f>AW142+AX142</f>
        <v>0</v>
      </c>
      <c r="AW142" s="45">
        <f>I142*AO142</f>
        <v>0</v>
      </c>
      <c r="AX142" s="45">
        <f>I142*AP142</f>
        <v>0</v>
      </c>
      <c r="AY142" s="48" t="s">
        <v>1087</v>
      </c>
      <c r="AZ142" s="48" t="s">
        <v>1121</v>
      </c>
      <c r="BA142" s="44" t="s">
        <v>1139</v>
      </c>
      <c r="BC142" s="45">
        <f>AW142+AX142</f>
        <v>0</v>
      </c>
      <c r="BD142" s="45">
        <f>J142/(100-BE142)*100</f>
        <v>0</v>
      </c>
      <c r="BE142" s="45">
        <v>0</v>
      </c>
      <c r="BF142" s="45">
        <f>142</f>
        <v>142</v>
      </c>
      <c r="BH142" s="27">
        <f>I142*AO142</f>
        <v>0</v>
      </c>
      <c r="BI142" s="27">
        <f>I142*AP142</f>
        <v>0</v>
      </c>
      <c r="BJ142" s="27">
        <f>I142*J142</f>
        <v>0</v>
      </c>
      <c r="BK142" s="27" t="s">
        <v>1146</v>
      </c>
      <c r="BL142" s="45">
        <v>41</v>
      </c>
    </row>
    <row r="143" spans="1:64" x14ac:dyDescent="0.2">
      <c r="A143" s="5" t="s">
        <v>69</v>
      </c>
      <c r="B143" s="16" t="s">
        <v>305</v>
      </c>
      <c r="C143" s="16" t="s">
        <v>372</v>
      </c>
      <c r="D143" s="243" t="s">
        <v>719</v>
      </c>
      <c r="E143" s="244"/>
      <c r="F143" s="244"/>
      <c r="G143" s="244"/>
      <c r="H143" s="16" t="s">
        <v>1044</v>
      </c>
      <c r="I143" s="27">
        <v>106.35</v>
      </c>
      <c r="J143" s="149"/>
      <c r="K143" s="27">
        <f>I143*AO143</f>
        <v>0</v>
      </c>
      <c r="L143" s="27">
        <f>I143*AP143</f>
        <v>0</v>
      </c>
      <c r="M143" s="27">
        <f>I143*J143</f>
        <v>0</v>
      </c>
      <c r="N143" s="56">
        <f>IF(M623=0,0,M143/M623)</f>
        <v>0</v>
      </c>
      <c r="O143" s="39" t="s">
        <v>1068</v>
      </c>
      <c r="P143" s="6"/>
      <c r="Z143" s="45">
        <f>IF(AQ143="5",BJ143,0)</f>
        <v>0</v>
      </c>
      <c r="AB143" s="45">
        <f>IF(AQ143="1",BH143,0)</f>
        <v>0</v>
      </c>
      <c r="AC143" s="45">
        <f>IF(AQ143="1",BI143,0)</f>
        <v>0</v>
      </c>
      <c r="AD143" s="45">
        <f>IF(AQ143="7",BH143,0)</f>
        <v>0</v>
      </c>
      <c r="AE143" s="45">
        <f>IF(AQ143="7",BI143,0)</f>
        <v>0</v>
      </c>
      <c r="AF143" s="45">
        <f>IF(AQ143="2",BH143,0)</f>
        <v>0</v>
      </c>
      <c r="AG143" s="45">
        <f>IF(AQ143="2",BI143,0)</f>
        <v>0</v>
      </c>
      <c r="AH143" s="45">
        <f>IF(AQ143="0",BJ143,0)</f>
        <v>0</v>
      </c>
      <c r="AI143" s="44" t="s">
        <v>305</v>
      </c>
      <c r="AJ143" s="27">
        <f>IF(AN143=0,M143,0)</f>
        <v>0</v>
      </c>
      <c r="AK143" s="27">
        <f>IF(AN143=15,M143,0)</f>
        <v>0</v>
      </c>
      <c r="AL143" s="27">
        <f>IF(AN143=21,M143,0)</f>
        <v>0</v>
      </c>
      <c r="AN143" s="45">
        <v>15</v>
      </c>
      <c r="AO143" s="45">
        <f>J143*0.211576923076923</f>
        <v>0</v>
      </c>
      <c r="AP143" s="45">
        <f>J143*(1-0.211576923076923)</f>
        <v>0</v>
      </c>
      <c r="AQ143" s="46" t="s">
        <v>7</v>
      </c>
      <c r="AV143" s="45">
        <f>AW143+AX143</f>
        <v>0</v>
      </c>
      <c r="AW143" s="45">
        <f>I143*AO143</f>
        <v>0</v>
      </c>
      <c r="AX143" s="45">
        <f>I143*AP143</f>
        <v>0</v>
      </c>
      <c r="AY143" s="48" t="s">
        <v>1087</v>
      </c>
      <c r="AZ143" s="48" t="s">
        <v>1121</v>
      </c>
      <c r="BA143" s="44" t="s">
        <v>1139</v>
      </c>
      <c r="BC143" s="45">
        <f>AW143+AX143</f>
        <v>0</v>
      </c>
      <c r="BD143" s="45">
        <f>J143/(100-BE143)*100</f>
        <v>0</v>
      </c>
      <c r="BE143" s="45">
        <v>0</v>
      </c>
      <c r="BF143" s="45">
        <f>143</f>
        <v>143</v>
      </c>
      <c r="BH143" s="27">
        <f>I143*AO143</f>
        <v>0</v>
      </c>
      <c r="BI143" s="27">
        <f>I143*AP143</f>
        <v>0</v>
      </c>
      <c r="BJ143" s="27">
        <f>I143*J143</f>
        <v>0</v>
      </c>
      <c r="BK143" s="27" t="s">
        <v>1146</v>
      </c>
      <c r="BL143" s="45">
        <v>41</v>
      </c>
    </row>
    <row r="144" spans="1:64" x14ac:dyDescent="0.2">
      <c r="A144" s="5" t="s">
        <v>70</v>
      </c>
      <c r="B144" s="16" t="s">
        <v>305</v>
      </c>
      <c r="C144" s="16" t="s">
        <v>373</v>
      </c>
      <c r="D144" s="243" t="s">
        <v>720</v>
      </c>
      <c r="E144" s="244"/>
      <c r="F144" s="244"/>
      <c r="G144" s="244"/>
      <c r="H144" s="16" t="s">
        <v>1044</v>
      </c>
      <c r="I144" s="27">
        <v>106.35</v>
      </c>
      <c r="J144" s="149"/>
      <c r="K144" s="27">
        <f>I144*AO144</f>
        <v>0</v>
      </c>
      <c r="L144" s="27">
        <f>I144*AP144</f>
        <v>0</v>
      </c>
      <c r="M144" s="27">
        <f>I144*J144</f>
        <v>0</v>
      </c>
      <c r="N144" s="56">
        <f>IF(M623=0,0,M144/M623)</f>
        <v>0</v>
      </c>
      <c r="O144" s="39" t="s">
        <v>1068</v>
      </c>
      <c r="P144" s="6"/>
      <c r="Z144" s="45">
        <f>IF(AQ144="5",BJ144,0)</f>
        <v>0</v>
      </c>
      <c r="AB144" s="45">
        <f>IF(AQ144="1",BH144,0)</f>
        <v>0</v>
      </c>
      <c r="AC144" s="45">
        <f>IF(AQ144="1",BI144,0)</f>
        <v>0</v>
      </c>
      <c r="AD144" s="45">
        <f>IF(AQ144="7",BH144,0)</f>
        <v>0</v>
      </c>
      <c r="AE144" s="45">
        <f>IF(AQ144="7",BI144,0)</f>
        <v>0</v>
      </c>
      <c r="AF144" s="45">
        <f>IF(AQ144="2",BH144,0)</f>
        <v>0</v>
      </c>
      <c r="AG144" s="45">
        <f>IF(AQ144="2",BI144,0)</f>
        <v>0</v>
      </c>
      <c r="AH144" s="45">
        <f>IF(AQ144="0",BJ144,0)</f>
        <v>0</v>
      </c>
      <c r="AI144" s="44" t="s">
        <v>305</v>
      </c>
      <c r="AJ144" s="27">
        <f>IF(AN144=0,M144,0)</f>
        <v>0</v>
      </c>
      <c r="AK144" s="27">
        <f>IF(AN144=15,M144,0)</f>
        <v>0</v>
      </c>
      <c r="AL144" s="27">
        <f>IF(AN144=21,M144,0)</f>
        <v>0</v>
      </c>
      <c r="AN144" s="45">
        <v>15</v>
      </c>
      <c r="AO144" s="45">
        <f>J144*0</f>
        <v>0</v>
      </c>
      <c r="AP144" s="45">
        <f>J144*(1-0)</f>
        <v>0</v>
      </c>
      <c r="AQ144" s="46" t="s">
        <v>7</v>
      </c>
      <c r="AV144" s="45">
        <f>AW144+AX144</f>
        <v>0</v>
      </c>
      <c r="AW144" s="45">
        <f>I144*AO144</f>
        <v>0</v>
      </c>
      <c r="AX144" s="45">
        <f>I144*AP144</f>
        <v>0</v>
      </c>
      <c r="AY144" s="48" t="s">
        <v>1087</v>
      </c>
      <c r="AZ144" s="48" t="s">
        <v>1121</v>
      </c>
      <c r="BA144" s="44" t="s">
        <v>1139</v>
      </c>
      <c r="BC144" s="45">
        <f>AW144+AX144</f>
        <v>0</v>
      </c>
      <c r="BD144" s="45">
        <f>J144/(100-BE144)*100</f>
        <v>0</v>
      </c>
      <c r="BE144" s="45">
        <v>0</v>
      </c>
      <c r="BF144" s="45">
        <f>144</f>
        <v>144</v>
      </c>
      <c r="BH144" s="27">
        <f>I144*AO144</f>
        <v>0</v>
      </c>
      <c r="BI144" s="27">
        <f>I144*AP144</f>
        <v>0</v>
      </c>
      <c r="BJ144" s="27">
        <f>I144*J144</f>
        <v>0</v>
      </c>
      <c r="BK144" s="27" t="s">
        <v>1146</v>
      </c>
      <c r="BL144" s="45">
        <v>41</v>
      </c>
    </row>
    <row r="145" spans="1:64" x14ac:dyDescent="0.2">
      <c r="A145" s="5" t="s">
        <v>71</v>
      </c>
      <c r="B145" s="16" t="s">
        <v>305</v>
      </c>
      <c r="C145" s="16" t="s">
        <v>374</v>
      </c>
      <c r="D145" s="243" t="s">
        <v>721</v>
      </c>
      <c r="E145" s="244"/>
      <c r="F145" s="244"/>
      <c r="G145" s="244"/>
      <c r="H145" s="16" t="s">
        <v>1045</v>
      </c>
      <c r="I145" s="27">
        <v>2</v>
      </c>
      <c r="J145" s="149"/>
      <c r="K145" s="27">
        <f>I145*AO145</f>
        <v>0</v>
      </c>
      <c r="L145" s="27">
        <f>I145*AP145</f>
        <v>0</v>
      </c>
      <c r="M145" s="27">
        <f>I145*J145</f>
        <v>0</v>
      </c>
      <c r="N145" s="56">
        <f>IF(M623=0,0,M145/M623)</f>
        <v>0</v>
      </c>
      <c r="O145" s="39" t="s">
        <v>1068</v>
      </c>
      <c r="P145" s="6"/>
      <c r="Z145" s="45">
        <f>IF(AQ145="5",BJ145,0)</f>
        <v>0</v>
      </c>
      <c r="AB145" s="45">
        <f>IF(AQ145="1",BH145,0)</f>
        <v>0</v>
      </c>
      <c r="AC145" s="45">
        <f>IF(AQ145="1",BI145,0)</f>
        <v>0</v>
      </c>
      <c r="AD145" s="45">
        <f>IF(AQ145="7",BH145,0)</f>
        <v>0</v>
      </c>
      <c r="AE145" s="45">
        <f>IF(AQ145="7",BI145,0)</f>
        <v>0</v>
      </c>
      <c r="AF145" s="45">
        <f>IF(AQ145="2",BH145,0)</f>
        <v>0</v>
      </c>
      <c r="AG145" s="45">
        <f>IF(AQ145="2",BI145,0)</f>
        <v>0</v>
      </c>
      <c r="AH145" s="45">
        <f>IF(AQ145="0",BJ145,0)</f>
        <v>0</v>
      </c>
      <c r="AI145" s="44" t="s">
        <v>305</v>
      </c>
      <c r="AJ145" s="27">
        <f>IF(AN145=0,M145,0)</f>
        <v>0</v>
      </c>
      <c r="AK145" s="27">
        <f>IF(AN145=15,M145,0)</f>
        <v>0</v>
      </c>
      <c r="AL145" s="27">
        <f>IF(AN145=21,M145,0)</f>
        <v>0</v>
      </c>
      <c r="AN145" s="45">
        <v>15</v>
      </c>
      <c r="AO145" s="45">
        <f>J145*0.334389763779528</f>
        <v>0</v>
      </c>
      <c r="AP145" s="45">
        <f>J145*(1-0.334389763779528)</f>
        <v>0</v>
      </c>
      <c r="AQ145" s="46" t="s">
        <v>7</v>
      </c>
      <c r="AV145" s="45">
        <f>AW145+AX145</f>
        <v>0</v>
      </c>
      <c r="AW145" s="45">
        <f>I145*AO145</f>
        <v>0</v>
      </c>
      <c r="AX145" s="45">
        <f>I145*AP145</f>
        <v>0</v>
      </c>
      <c r="AY145" s="48" t="s">
        <v>1087</v>
      </c>
      <c r="AZ145" s="48" t="s">
        <v>1121</v>
      </c>
      <c r="BA145" s="44" t="s">
        <v>1139</v>
      </c>
      <c r="BC145" s="45">
        <f>AW145+AX145</f>
        <v>0</v>
      </c>
      <c r="BD145" s="45">
        <f>J145/(100-BE145)*100</f>
        <v>0</v>
      </c>
      <c r="BE145" s="45">
        <v>0</v>
      </c>
      <c r="BF145" s="45">
        <f>145</f>
        <v>145</v>
      </c>
      <c r="BH145" s="27">
        <f>I145*AO145</f>
        <v>0</v>
      </c>
      <c r="BI145" s="27">
        <f>I145*AP145</f>
        <v>0</v>
      </c>
      <c r="BJ145" s="27">
        <f>I145*J145</f>
        <v>0</v>
      </c>
      <c r="BK145" s="27" t="s">
        <v>1146</v>
      </c>
      <c r="BL145" s="45">
        <v>41</v>
      </c>
    </row>
    <row r="146" spans="1:64" x14ac:dyDescent="0.2">
      <c r="A146" s="6"/>
      <c r="C146" s="21" t="s">
        <v>310</v>
      </c>
      <c r="D146" s="245" t="s">
        <v>722</v>
      </c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7"/>
      <c r="P146" s="6"/>
    </row>
    <row r="147" spans="1:64" x14ac:dyDescent="0.2">
      <c r="A147" s="5" t="s">
        <v>72</v>
      </c>
      <c r="B147" s="16" t="s">
        <v>305</v>
      </c>
      <c r="C147" s="16" t="s">
        <v>375</v>
      </c>
      <c r="D147" s="243" t="s">
        <v>723</v>
      </c>
      <c r="E147" s="244"/>
      <c r="F147" s="244"/>
      <c r="G147" s="244"/>
      <c r="H147" s="16" t="s">
        <v>1043</v>
      </c>
      <c r="I147" s="27">
        <v>7.61</v>
      </c>
      <c r="J147" s="149"/>
      <c r="K147" s="27">
        <f>I147*AO147</f>
        <v>0</v>
      </c>
      <c r="L147" s="27">
        <f>I147*AP147</f>
        <v>0</v>
      </c>
      <c r="M147" s="27">
        <f>I147*J147</f>
        <v>0</v>
      </c>
      <c r="N147" s="56">
        <f>IF(M623=0,0,M147/M623)</f>
        <v>0</v>
      </c>
      <c r="O147" s="39" t="s">
        <v>1068</v>
      </c>
      <c r="P147" s="6"/>
      <c r="Z147" s="45">
        <f>IF(AQ147="5",BJ147,0)</f>
        <v>0</v>
      </c>
      <c r="AB147" s="45">
        <f>IF(AQ147="1",BH147,0)</f>
        <v>0</v>
      </c>
      <c r="AC147" s="45">
        <f>IF(AQ147="1",BI147,0)</f>
        <v>0</v>
      </c>
      <c r="AD147" s="45">
        <f>IF(AQ147="7",BH147,0)</f>
        <v>0</v>
      </c>
      <c r="AE147" s="45">
        <f>IF(AQ147="7",BI147,0)</f>
        <v>0</v>
      </c>
      <c r="AF147" s="45">
        <f>IF(AQ147="2",BH147,0)</f>
        <v>0</v>
      </c>
      <c r="AG147" s="45">
        <f>IF(AQ147="2",BI147,0)</f>
        <v>0</v>
      </c>
      <c r="AH147" s="45">
        <f>IF(AQ147="0",BJ147,0)</f>
        <v>0</v>
      </c>
      <c r="AI147" s="44" t="s">
        <v>305</v>
      </c>
      <c r="AJ147" s="27">
        <f>IF(AN147=0,M147,0)</f>
        <v>0</v>
      </c>
      <c r="AK147" s="27">
        <f>IF(AN147=15,M147,0)</f>
        <v>0</v>
      </c>
      <c r="AL147" s="27">
        <f>IF(AN147=21,M147,0)</f>
        <v>0</v>
      </c>
      <c r="AN147" s="45">
        <v>15</v>
      </c>
      <c r="AO147" s="45">
        <f>J147*0.739892277510255</f>
        <v>0</v>
      </c>
      <c r="AP147" s="45">
        <f>J147*(1-0.739892277510255)</f>
        <v>0</v>
      </c>
      <c r="AQ147" s="46" t="s">
        <v>7</v>
      </c>
      <c r="AV147" s="45">
        <f>AW147+AX147</f>
        <v>0</v>
      </c>
      <c r="AW147" s="45">
        <f>I147*AO147</f>
        <v>0</v>
      </c>
      <c r="AX147" s="45">
        <f>I147*AP147</f>
        <v>0</v>
      </c>
      <c r="AY147" s="48" t="s">
        <v>1087</v>
      </c>
      <c r="AZ147" s="48" t="s">
        <v>1121</v>
      </c>
      <c r="BA147" s="44" t="s">
        <v>1139</v>
      </c>
      <c r="BC147" s="45">
        <f>AW147+AX147</f>
        <v>0</v>
      </c>
      <c r="BD147" s="45">
        <f>J147/(100-BE147)*100</f>
        <v>0</v>
      </c>
      <c r="BE147" s="45">
        <v>0</v>
      </c>
      <c r="BF147" s="45">
        <f>147</f>
        <v>147</v>
      </c>
      <c r="BH147" s="27">
        <f>I147*AO147</f>
        <v>0</v>
      </c>
      <c r="BI147" s="27">
        <f>I147*AP147</f>
        <v>0</v>
      </c>
      <c r="BJ147" s="27">
        <f>I147*J147</f>
        <v>0</v>
      </c>
      <c r="BK147" s="27" t="s">
        <v>1146</v>
      </c>
      <c r="BL147" s="45">
        <v>41</v>
      </c>
    </row>
    <row r="148" spans="1:64" x14ac:dyDescent="0.2">
      <c r="A148" s="6"/>
      <c r="C148" s="20" t="s">
        <v>302</v>
      </c>
      <c r="D148" s="248" t="s">
        <v>669</v>
      </c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50"/>
      <c r="P148" s="6"/>
    </row>
    <row r="149" spans="1:64" x14ac:dyDescent="0.2">
      <c r="A149" s="5" t="s">
        <v>73</v>
      </c>
      <c r="B149" s="16" t="s">
        <v>305</v>
      </c>
      <c r="C149" s="16" t="s">
        <v>376</v>
      </c>
      <c r="D149" s="243" t="s">
        <v>724</v>
      </c>
      <c r="E149" s="244"/>
      <c r="F149" s="244"/>
      <c r="G149" s="244"/>
      <c r="H149" s="16" t="s">
        <v>1041</v>
      </c>
      <c r="I149" s="27">
        <v>9.39</v>
      </c>
      <c r="J149" s="149"/>
      <c r="K149" s="27">
        <f>I149*AO149</f>
        <v>0</v>
      </c>
      <c r="L149" s="27">
        <f>I149*AP149</f>
        <v>0</v>
      </c>
      <c r="M149" s="27">
        <f>I149*J149</f>
        <v>0</v>
      </c>
      <c r="N149" s="56">
        <f>IF(M623=0,0,M149/M623)</f>
        <v>0</v>
      </c>
      <c r="O149" s="39" t="s">
        <v>1068</v>
      </c>
      <c r="P149" s="6"/>
      <c r="Z149" s="45">
        <f>IF(AQ149="5",BJ149,0)</f>
        <v>0</v>
      </c>
      <c r="AB149" s="45">
        <f>IF(AQ149="1",BH149,0)</f>
        <v>0</v>
      </c>
      <c r="AC149" s="45">
        <f>IF(AQ149="1",BI149,0)</f>
        <v>0</v>
      </c>
      <c r="AD149" s="45">
        <f>IF(AQ149="7",BH149,0)</f>
        <v>0</v>
      </c>
      <c r="AE149" s="45">
        <f>IF(AQ149="7",BI149,0)</f>
        <v>0</v>
      </c>
      <c r="AF149" s="45">
        <f>IF(AQ149="2",BH149,0)</f>
        <v>0</v>
      </c>
      <c r="AG149" s="45">
        <f>IF(AQ149="2",BI149,0)</f>
        <v>0</v>
      </c>
      <c r="AH149" s="45">
        <f>IF(AQ149="0",BJ149,0)</f>
        <v>0</v>
      </c>
      <c r="AI149" s="44" t="s">
        <v>305</v>
      </c>
      <c r="AJ149" s="27">
        <f>IF(AN149=0,M149,0)</f>
        <v>0</v>
      </c>
      <c r="AK149" s="27">
        <f>IF(AN149=15,M149,0)</f>
        <v>0</v>
      </c>
      <c r="AL149" s="27">
        <f>IF(AN149=21,M149,0)</f>
        <v>0</v>
      </c>
      <c r="AN149" s="45">
        <v>15</v>
      </c>
      <c r="AO149" s="45">
        <f>J149*0.863254696277703</f>
        <v>0</v>
      </c>
      <c r="AP149" s="45">
        <f>J149*(1-0.863254696277703)</f>
        <v>0</v>
      </c>
      <c r="AQ149" s="46" t="s">
        <v>7</v>
      </c>
      <c r="AV149" s="45">
        <f>AW149+AX149</f>
        <v>0</v>
      </c>
      <c r="AW149" s="45">
        <f>I149*AO149</f>
        <v>0</v>
      </c>
      <c r="AX149" s="45">
        <f>I149*AP149</f>
        <v>0</v>
      </c>
      <c r="AY149" s="48" t="s">
        <v>1087</v>
      </c>
      <c r="AZ149" s="48" t="s">
        <v>1121</v>
      </c>
      <c r="BA149" s="44" t="s">
        <v>1139</v>
      </c>
      <c r="BC149" s="45">
        <f>AW149+AX149</f>
        <v>0</v>
      </c>
      <c r="BD149" s="45">
        <f>J149/(100-BE149)*100</f>
        <v>0</v>
      </c>
      <c r="BE149" s="45">
        <v>0</v>
      </c>
      <c r="BF149" s="45">
        <f>149</f>
        <v>149</v>
      </c>
      <c r="BH149" s="27">
        <f>I149*AO149</f>
        <v>0</v>
      </c>
      <c r="BI149" s="27">
        <f>I149*AP149</f>
        <v>0</v>
      </c>
      <c r="BJ149" s="27">
        <f>I149*J149</f>
        <v>0</v>
      </c>
      <c r="BK149" s="27" t="s">
        <v>1146</v>
      </c>
      <c r="BL149" s="45">
        <v>41</v>
      </c>
    </row>
    <row r="150" spans="1:64" x14ac:dyDescent="0.2">
      <c r="A150" s="6"/>
      <c r="C150" s="21" t="s">
        <v>310</v>
      </c>
      <c r="D150" s="245" t="s">
        <v>676</v>
      </c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7"/>
      <c r="P150" s="6"/>
    </row>
    <row r="151" spans="1:64" x14ac:dyDescent="0.2">
      <c r="A151" s="5" t="s">
        <v>74</v>
      </c>
      <c r="B151" s="16" t="s">
        <v>305</v>
      </c>
      <c r="C151" s="16" t="s">
        <v>377</v>
      </c>
      <c r="D151" s="243" t="s">
        <v>725</v>
      </c>
      <c r="E151" s="244"/>
      <c r="F151" s="244"/>
      <c r="G151" s="244"/>
      <c r="H151" s="16" t="s">
        <v>1042</v>
      </c>
      <c r="I151" s="27">
        <v>50.18</v>
      </c>
      <c r="J151" s="149"/>
      <c r="K151" s="27">
        <f>I151*AO151</f>
        <v>0</v>
      </c>
      <c r="L151" s="27">
        <f>I151*AP151</f>
        <v>0</v>
      </c>
      <c r="M151" s="27">
        <f>I151*J151</f>
        <v>0</v>
      </c>
      <c r="N151" s="56">
        <f>IF(M623=0,0,M151/M623)</f>
        <v>0</v>
      </c>
      <c r="O151" s="39" t="s">
        <v>1068</v>
      </c>
      <c r="P151" s="6"/>
      <c r="Z151" s="45">
        <f>IF(AQ151="5",BJ151,0)</f>
        <v>0</v>
      </c>
      <c r="AB151" s="45">
        <f>IF(AQ151="1",BH151,0)</f>
        <v>0</v>
      </c>
      <c r="AC151" s="45">
        <f>IF(AQ151="1",BI151,0)</f>
        <v>0</v>
      </c>
      <c r="AD151" s="45">
        <f>IF(AQ151="7",BH151,0)</f>
        <v>0</v>
      </c>
      <c r="AE151" s="45">
        <f>IF(AQ151="7",BI151,0)</f>
        <v>0</v>
      </c>
      <c r="AF151" s="45">
        <f>IF(AQ151="2",BH151,0)</f>
        <v>0</v>
      </c>
      <c r="AG151" s="45">
        <f>IF(AQ151="2",BI151,0)</f>
        <v>0</v>
      </c>
      <c r="AH151" s="45">
        <f>IF(AQ151="0",BJ151,0)</f>
        <v>0</v>
      </c>
      <c r="AI151" s="44" t="s">
        <v>305</v>
      </c>
      <c r="AJ151" s="27">
        <f>IF(AN151=0,M151,0)</f>
        <v>0</v>
      </c>
      <c r="AK151" s="27">
        <f>IF(AN151=15,M151,0)</f>
        <v>0</v>
      </c>
      <c r="AL151" s="27">
        <f>IF(AN151=21,M151,0)</f>
        <v>0</v>
      </c>
      <c r="AN151" s="45">
        <v>15</v>
      </c>
      <c r="AO151" s="45">
        <f>J151*0.216664954632051</f>
        <v>0</v>
      </c>
      <c r="AP151" s="45">
        <f>J151*(1-0.216664954632051)</f>
        <v>0</v>
      </c>
      <c r="AQ151" s="46" t="s">
        <v>7</v>
      </c>
      <c r="AV151" s="45">
        <f>AW151+AX151</f>
        <v>0</v>
      </c>
      <c r="AW151" s="45">
        <f>I151*AO151</f>
        <v>0</v>
      </c>
      <c r="AX151" s="45">
        <f>I151*AP151</f>
        <v>0</v>
      </c>
      <c r="AY151" s="48" t="s">
        <v>1087</v>
      </c>
      <c r="AZ151" s="48" t="s">
        <v>1121</v>
      </c>
      <c r="BA151" s="44" t="s">
        <v>1139</v>
      </c>
      <c r="BC151" s="45">
        <f>AW151+AX151</f>
        <v>0</v>
      </c>
      <c r="BD151" s="45">
        <f>J151/(100-BE151)*100</f>
        <v>0</v>
      </c>
      <c r="BE151" s="45">
        <v>0</v>
      </c>
      <c r="BF151" s="45">
        <f>151</f>
        <v>151</v>
      </c>
      <c r="BH151" s="27">
        <f>I151*AO151</f>
        <v>0</v>
      </c>
      <c r="BI151" s="27">
        <f>I151*AP151</f>
        <v>0</v>
      </c>
      <c r="BJ151" s="27">
        <f>I151*J151</f>
        <v>0</v>
      </c>
      <c r="BK151" s="27" t="s">
        <v>1146</v>
      </c>
      <c r="BL151" s="45">
        <v>41</v>
      </c>
    </row>
    <row r="152" spans="1:64" x14ac:dyDescent="0.2">
      <c r="A152" s="6"/>
      <c r="C152" s="21" t="s">
        <v>310</v>
      </c>
      <c r="D152" s="245" t="s">
        <v>676</v>
      </c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7"/>
      <c r="P152" s="6"/>
    </row>
    <row r="153" spans="1:64" x14ac:dyDescent="0.2">
      <c r="A153" s="5" t="s">
        <v>75</v>
      </c>
      <c r="B153" s="16" t="s">
        <v>305</v>
      </c>
      <c r="C153" s="16" t="s">
        <v>378</v>
      </c>
      <c r="D153" s="243" t="s">
        <v>726</v>
      </c>
      <c r="E153" s="244"/>
      <c r="F153" s="244"/>
      <c r="G153" s="244"/>
      <c r="H153" s="16" t="s">
        <v>1042</v>
      </c>
      <c r="I153" s="27">
        <v>50.18</v>
      </c>
      <c r="J153" s="149"/>
      <c r="K153" s="27">
        <f>I153*AO153</f>
        <v>0</v>
      </c>
      <c r="L153" s="27">
        <f>I153*AP153</f>
        <v>0</v>
      </c>
      <c r="M153" s="27">
        <f>I153*J153</f>
        <v>0</v>
      </c>
      <c r="N153" s="56">
        <f>IF(M623=0,0,M153/M623)</f>
        <v>0</v>
      </c>
      <c r="O153" s="39" t="s">
        <v>1068</v>
      </c>
      <c r="P153" s="6"/>
      <c r="Z153" s="45">
        <f>IF(AQ153="5",BJ153,0)</f>
        <v>0</v>
      </c>
      <c r="AB153" s="45">
        <f>IF(AQ153="1",BH153,0)</f>
        <v>0</v>
      </c>
      <c r="AC153" s="45">
        <f>IF(AQ153="1",BI153,0)</f>
        <v>0</v>
      </c>
      <c r="AD153" s="45">
        <f>IF(AQ153="7",BH153,0)</f>
        <v>0</v>
      </c>
      <c r="AE153" s="45">
        <f>IF(AQ153="7",BI153,0)</f>
        <v>0</v>
      </c>
      <c r="AF153" s="45">
        <f>IF(AQ153="2",BH153,0)</f>
        <v>0</v>
      </c>
      <c r="AG153" s="45">
        <f>IF(AQ153="2",BI153,0)</f>
        <v>0</v>
      </c>
      <c r="AH153" s="45">
        <f>IF(AQ153="0",BJ153,0)</f>
        <v>0</v>
      </c>
      <c r="AI153" s="44" t="s">
        <v>305</v>
      </c>
      <c r="AJ153" s="27">
        <f>IF(AN153=0,M153,0)</f>
        <v>0</v>
      </c>
      <c r="AK153" s="27">
        <f>IF(AN153=15,M153,0)</f>
        <v>0</v>
      </c>
      <c r="AL153" s="27">
        <f>IF(AN153=21,M153,0)</f>
        <v>0</v>
      </c>
      <c r="AN153" s="45">
        <v>15</v>
      </c>
      <c r="AO153" s="45">
        <f>J153*0</f>
        <v>0</v>
      </c>
      <c r="AP153" s="45">
        <f>J153*(1-0)</f>
        <v>0</v>
      </c>
      <c r="AQ153" s="46" t="s">
        <v>7</v>
      </c>
      <c r="AV153" s="45">
        <f>AW153+AX153</f>
        <v>0</v>
      </c>
      <c r="AW153" s="45">
        <f>I153*AO153</f>
        <v>0</v>
      </c>
      <c r="AX153" s="45">
        <f>I153*AP153</f>
        <v>0</v>
      </c>
      <c r="AY153" s="48" t="s">
        <v>1087</v>
      </c>
      <c r="AZ153" s="48" t="s">
        <v>1121</v>
      </c>
      <c r="BA153" s="44" t="s">
        <v>1139</v>
      </c>
      <c r="BC153" s="45">
        <f>AW153+AX153</f>
        <v>0</v>
      </c>
      <c r="BD153" s="45">
        <f>J153/(100-BE153)*100</f>
        <v>0</v>
      </c>
      <c r="BE153" s="45">
        <v>0</v>
      </c>
      <c r="BF153" s="45">
        <f>153</f>
        <v>153</v>
      </c>
      <c r="BH153" s="27">
        <f>I153*AO153</f>
        <v>0</v>
      </c>
      <c r="BI153" s="27">
        <f>I153*AP153</f>
        <v>0</v>
      </c>
      <c r="BJ153" s="27">
        <f>I153*J153</f>
        <v>0</v>
      </c>
      <c r="BK153" s="27" t="s">
        <v>1146</v>
      </c>
      <c r="BL153" s="45">
        <v>41</v>
      </c>
    </row>
    <row r="154" spans="1:64" x14ac:dyDescent="0.2">
      <c r="A154" s="5" t="s">
        <v>76</v>
      </c>
      <c r="B154" s="16" t="s">
        <v>305</v>
      </c>
      <c r="C154" s="16" t="s">
        <v>379</v>
      </c>
      <c r="D154" s="243" t="s">
        <v>727</v>
      </c>
      <c r="E154" s="244"/>
      <c r="F154" s="244"/>
      <c r="G154" s="244"/>
      <c r="H154" s="16" t="s">
        <v>1042</v>
      </c>
      <c r="I154" s="27">
        <v>14.02</v>
      </c>
      <c r="J154" s="149"/>
      <c r="K154" s="27">
        <f>I154*AO154</f>
        <v>0</v>
      </c>
      <c r="L154" s="27">
        <f>I154*AP154</f>
        <v>0</v>
      </c>
      <c r="M154" s="27">
        <f>I154*J154</f>
        <v>0</v>
      </c>
      <c r="N154" s="56">
        <f>IF(M623=0,0,M154/M623)</f>
        <v>0</v>
      </c>
      <c r="O154" s="39" t="s">
        <v>1068</v>
      </c>
      <c r="P154" s="6"/>
      <c r="Z154" s="45">
        <f>IF(AQ154="5",BJ154,0)</f>
        <v>0</v>
      </c>
      <c r="AB154" s="45">
        <f>IF(AQ154="1",BH154,0)</f>
        <v>0</v>
      </c>
      <c r="AC154" s="45">
        <f>IF(AQ154="1",BI154,0)</f>
        <v>0</v>
      </c>
      <c r="AD154" s="45">
        <f>IF(AQ154="7",BH154,0)</f>
        <v>0</v>
      </c>
      <c r="AE154" s="45">
        <f>IF(AQ154="7",BI154,0)</f>
        <v>0</v>
      </c>
      <c r="AF154" s="45">
        <f>IF(AQ154="2",BH154,0)</f>
        <v>0</v>
      </c>
      <c r="AG154" s="45">
        <f>IF(AQ154="2",BI154,0)</f>
        <v>0</v>
      </c>
      <c r="AH154" s="45">
        <f>IF(AQ154="0",BJ154,0)</f>
        <v>0</v>
      </c>
      <c r="AI154" s="44" t="s">
        <v>305</v>
      </c>
      <c r="AJ154" s="27">
        <f>IF(AN154=0,M154,0)</f>
        <v>0</v>
      </c>
      <c r="AK154" s="27">
        <f>IF(AN154=15,M154,0)</f>
        <v>0</v>
      </c>
      <c r="AL154" s="27">
        <f>IF(AN154=21,M154,0)</f>
        <v>0</v>
      </c>
      <c r="AN154" s="45">
        <v>15</v>
      </c>
      <c r="AO154" s="45">
        <f>J154*0.106230012089267</f>
        <v>0</v>
      </c>
      <c r="AP154" s="45">
        <f>J154*(1-0.106230012089267)</f>
        <v>0</v>
      </c>
      <c r="AQ154" s="46" t="s">
        <v>7</v>
      </c>
      <c r="AV154" s="45">
        <f>AW154+AX154</f>
        <v>0</v>
      </c>
      <c r="AW154" s="45">
        <f>I154*AO154</f>
        <v>0</v>
      </c>
      <c r="AX154" s="45">
        <f>I154*AP154</f>
        <v>0</v>
      </c>
      <c r="AY154" s="48" t="s">
        <v>1087</v>
      </c>
      <c r="AZ154" s="48" t="s">
        <v>1121</v>
      </c>
      <c r="BA154" s="44" t="s">
        <v>1139</v>
      </c>
      <c r="BC154" s="45">
        <f>AW154+AX154</f>
        <v>0</v>
      </c>
      <c r="BD154" s="45">
        <f>J154/(100-BE154)*100</f>
        <v>0</v>
      </c>
      <c r="BE154" s="45">
        <v>0</v>
      </c>
      <c r="BF154" s="45">
        <f>154</f>
        <v>154</v>
      </c>
      <c r="BH154" s="27">
        <f>I154*AO154</f>
        <v>0</v>
      </c>
      <c r="BI154" s="27">
        <f>I154*AP154</f>
        <v>0</v>
      </c>
      <c r="BJ154" s="27">
        <f>I154*J154</f>
        <v>0</v>
      </c>
      <c r="BK154" s="27" t="s">
        <v>1146</v>
      </c>
      <c r="BL154" s="45">
        <v>41</v>
      </c>
    </row>
    <row r="155" spans="1:64" x14ac:dyDescent="0.2">
      <c r="A155" s="6"/>
      <c r="C155" s="21" t="s">
        <v>310</v>
      </c>
      <c r="D155" s="245" t="s">
        <v>722</v>
      </c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7"/>
      <c r="P155" s="6"/>
    </row>
    <row r="156" spans="1:64" x14ac:dyDescent="0.2">
      <c r="A156" s="5" t="s">
        <v>77</v>
      </c>
      <c r="B156" s="16" t="s">
        <v>305</v>
      </c>
      <c r="C156" s="16" t="s">
        <v>380</v>
      </c>
      <c r="D156" s="243" t="s">
        <v>728</v>
      </c>
      <c r="E156" s="244"/>
      <c r="F156" s="244"/>
      <c r="G156" s="244"/>
      <c r="H156" s="16" t="s">
        <v>1042</v>
      </c>
      <c r="I156" s="27">
        <v>14.02</v>
      </c>
      <c r="J156" s="149"/>
      <c r="K156" s="27">
        <f>I156*AO156</f>
        <v>0</v>
      </c>
      <c r="L156" s="27">
        <f>I156*AP156</f>
        <v>0</v>
      </c>
      <c r="M156" s="27">
        <f>I156*J156</f>
        <v>0</v>
      </c>
      <c r="N156" s="56">
        <f>IF(M623=0,0,M156/M623)</f>
        <v>0</v>
      </c>
      <c r="O156" s="39" t="s">
        <v>1068</v>
      </c>
      <c r="P156" s="6"/>
      <c r="Z156" s="45">
        <f>IF(AQ156="5",BJ156,0)</f>
        <v>0</v>
      </c>
      <c r="AB156" s="45">
        <f>IF(AQ156="1",BH156,0)</f>
        <v>0</v>
      </c>
      <c r="AC156" s="45">
        <f>IF(AQ156="1",BI156,0)</f>
        <v>0</v>
      </c>
      <c r="AD156" s="45">
        <f>IF(AQ156="7",BH156,0)</f>
        <v>0</v>
      </c>
      <c r="AE156" s="45">
        <f>IF(AQ156="7",BI156,0)</f>
        <v>0</v>
      </c>
      <c r="AF156" s="45">
        <f>IF(AQ156="2",BH156,0)</f>
        <v>0</v>
      </c>
      <c r="AG156" s="45">
        <f>IF(AQ156="2",BI156,0)</f>
        <v>0</v>
      </c>
      <c r="AH156" s="45">
        <f>IF(AQ156="0",BJ156,0)</f>
        <v>0</v>
      </c>
      <c r="AI156" s="44" t="s">
        <v>305</v>
      </c>
      <c r="AJ156" s="27">
        <f>IF(AN156=0,M156,0)</f>
        <v>0</v>
      </c>
      <c r="AK156" s="27">
        <f>IF(AN156=15,M156,0)</f>
        <v>0</v>
      </c>
      <c r="AL156" s="27">
        <f>IF(AN156=21,M156,0)</f>
        <v>0</v>
      </c>
      <c r="AN156" s="45">
        <v>15</v>
      </c>
      <c r="AO156" s="45">
        <f>J156*0</f>
        <v>0</v>
      </c>
      <c r="AP156" s="45">
        <f>J156*(1-0)</f>
        <v>0</v>
      </c>
      <c r="AQ156" s="46" t="s">
        <v>7</v>
      </c>
      <c r="AV156" s="45">
        <f>AW156+AX156</f>
        <v>0</v>
      </c>
      <c r="AW156" s="45">
        <f>I156*AO156</f>
        <v>0</v>
      </c>
      <c r="AX156" s="45">
        <f>I156*AP156</f>
        <v>0</v>
      </c>
      <c r="AY156" s="48" t="s">
        <v>1087</v>
      </c>
      <c r="AZ156" s="48" t="s">
        <v>1121</v>
      </c>
      <c r="BA156" s="44" t="s">
        <v>1139</v>
      </c>
      <c r="BC156" s="45">
        <f>AW156+AX156</f>
        <v>0</v>
      </c>
      <c r="BD156" s="45">
        <f>J156/(100-BE156)*100</f>
        <v>0</v>
      </c>
      <c r="BE156" s="45">
        <v>0</v>
      </c>
      <c r="BF156" s="45">
        <f>156</f>
        <v>156</v>
      </c>
      <c r="BH156" s="27">
        <f>I156*AO156</f>
        <v>0</v>
      </c>
      <c r="BI156" s="27">
        <f>I156*AP156</f>
        <v>0</v>
      </c>
      <c r="BJ156" s="27">
        <f>I156*J156</f>
        <v>0</v>
      </c>
      <c r="BK156" s="27" t="s">
        <v>1146</v>
      </c>
      <c r="BL156" s="45">
        <v>41</v>
      </c>
    </row>
    <row r="157" spans="1:64" x14ac:dyDescent="0.2">
      <c r="A157" s="5" t="s">
        <v>78</v>
      </c>
      <c r="B157" s="16" t="s">
        <v>305</v>
      </c>
      <c r="C157" s="16" t="s">
        <v>381</v>
      </c>
      <c r="D157" s="243" t="s">
        <v>729</v>
      </c>
      <c r="E157" s="244"/>
      <c r="F157" s="244"/>
      <c r="G157" s="244"/>
      <c r="H157" s="16" t="s">
        <v>1043</v>
      </c>
      <c r="I157" s="27">
        <v>1.88</v>
      </c>
      <c r="J157" s="149"/>
      <c r="K157" s="27">
        <f>I157*AO157</f>
        <v>0</v>
      </c>
      <c r="L157" s="27">
        <f>I157*AP157</f>
        <v>0</v>
      </c>
      <c r="M157" s="27">
        <f>I157*J157</f>
        <v>0</v>
      </c>
      <c r="N157" s="56">
        <f>IF(M623=0,0,M157/M623)</f>
        <v>0</v>
      </c>
      <c r="O157" s="39" t="s">
        <v>1068</v>
      </c>
      <c r="P157" s="6"/>
      <c r="Z157" s="45">
        <f>IF(AQ157="5",BJ157,0)</f>
        <v>0</v>
      </c>
      <c r="AB157" s="45">
        <f>IF(AQ157="1",BH157,0)</f>
        <v>0</v>
      </c>
      <c r="AC157" s="45">
        <f>IF(AQ157="1",BI157,0)</f>
        <v>0</v>
      </c>
      <c r="AD157" s="45">
        <f>IF(AQ157="7",BH157,0)</f>
        <v>0</v>
      </c>
      <c r="AE157" s="45">
        <f>IF(AQ157="7",BI157,0)</f>
        <v>0</v>
      </c>
      <c r="AF157" s="45">
        <f>IF(AQ157="2",BH157,0)</f>
        <v>0</v>
      </c>
      <c r="AG157" s="45">
        <f>IF(AQ157="2",BI157,0)</f>
        <v>0</v>
      </c>
      <c r="AH157" s="45">
        <f>IF(AQ157="0",BJ157,0)</f>
        <v>0</v>
      </c>
      <c r="AI157" s="44" t="s">
        <v>305</v>
      </c>
      <c r="AJ157" s="27">
        <f>IF(AN157=0,M157,0)</f>
        <v>0</v>
      </c>
      <c r="AK157" s="27">
        <f>IF(AN157=15,M157,0)</f>
        <v>0</v>
      </c>
      <c r="AL157" s="27">
        <f>IF(AN157=21,M157,0)</f>
        <v>0</v>
      </c>
      <c r="AN157" s="45">
        <v>15</v>
      </c>
      <c r="AO157" s="45">
        <f>J157*0.721884275618375</f>
        <v>0</v>
      </c>
      <c r="AP157" s="45">
        <f>J157*(1-0.721884275618375)</f>
        <v>0</v>
      </c>
      <c r="AQ157" s="46" t="s">
        <v>7</v>
      </c>
      <c r="AV157" s="45">
        <f>AW157+AX157</f>
        <v>0</v>
      </c>
      <c r="AW157" s="45">
        <f>I157*AO157</f>
        <v>0</v>
      </c>
      <c r="AX157" s="45">
        <f>I157*AP157</f>
        <v>0</v>
      </c>
      <c r="AY157" s="48" t="s">
        <v>1087</v>
      </c>
      <c r="AZ157" s="48" t="s">
        <v>1121</v>
      </c>
      <c r="BA157" s="44" t="s">
        <v>1139</v>
      </c>
      <c r="BC157" s="45">
        <f>AW157+AX157</f>
        <v>0</v>
      </c>
      <c r="BD157" s="45">
        <f>J157/(100-BE157)*100</f>
        <v>0</v>
      </c>
      <c r="BE157" s="45">
        <v>0</v>
      </c>
      <c r="BF157" s="45">
        <f>157</f>
        <v>157</v>
      </c>
      <c r="BH157" s="27">
        <f>I157*AO157</f>
        <v>0</v>
      </c>
      <c r="BI157" s="27">
        <f>I157*AP157</f>
        <v>0</v>
      </c>
      <c r="BJ157" s="27">
        <f>I157*J157</f>
        <v>0</v>
      </c>
      <c r="BK157" s="27" t="s">
        <v>1146</v>
      </c>
      <c r="BL157" s="45">
        <v>41</v>
      </c>
    </row>
    <row r="158" spans="1:64" x14ac:dyDescent="0.2">
      <c r="A158" s="6"/>
      <c r="C158" s="20" t="s">
        <v>302</v>
      </c>
      <c r="D158" s="248" t="s">
        <v>669</v>
      </c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50"/>
      <c r="P158" s="6"/>
    </row>
    <row r="159" spans="1:64" x14ac:dyDescent="0.2">
      <c r="A159" s="5" t="s">
        <v>79</v>
      </c>
      <c r="B159" s="16" t="s">
        <v>305</v>
      </c>
      <c r="C159" s="16" t="s">
        <v>382</v>
      </c>
      <c r="D159" s="243" t="s">
        <v>730</v>
      </c>
      <c r="E159" s="244"/>
      <c r="F159" s="244"/>
      <c r="G159" s="244"/>
      <c r="H159" s="16" t="s">
        <v>1044</v>
      </c>
      <c r="I159" s="27">
        <v>39.520000000000003</v>
      </c>
      <c r="J159" s="149"/>
      <c r="K159" s="27">
        <f>I159*AO159</f>
        <v>0</v>
      </c>
      <c r="L159" s="27">
        <f>I159*AP159</f>
        <v>0</v>
      </c>
      <c r="M159" s="27">
        <f>I159*J159</f>
        <v>0</v>
      </c>
      <c r="N159" s="56">
        <f>IF(M623=0,0,M159/M623)</f>
        <v>0</v>
      </c>
      <c r="O159" s="39" t="s">
        <v>1068</v>
      </c>
      <c r="P159" s="6"/>
      <c r="Z159" s="45">
        <f>IF(AQ159="5",BJ159,0)</f>
        <v>0</v>
      </c>
      <c r="AB159" s="45">
        <f>IF(AQ159="1",BH159,0)</f>
        <v>0</v>
      </c>
      <c r="AC159" s="45">
        <f>IF(AQ159="1",BI159,0)</f>
        <v>0</v>
      </c>
      <c r="AD159" s="45">
        <f>IF(AQ159="7",BH159,0)</f>
        <v>0</v>
      </c>
      <c r="AE159" s="45">
        <f>IF(AQ159="7",BI159,0)</f>
        <v>0</v>
      </c>
      <c r="AF159" s="45">
        <f>IF(AQ159="2",BH159,0)</f>
        <v>0</v>
      </c>
      <c r="AG159" s="45">
        <f>IF(AQ159="2",BI159,0)</f>
        <v>0</v>
      </c>
      <c r="AH159" s="45">
        <f>IF(AQ159="0",BJ159,0)</f>
        <v>0</v>
      </c>
      <c r="AI159" s="44" t="s">
        <v>305</v>
      </c>
      <c r="AJ159" s="27">
        <f>IF(AN159=0,M159,0)</f>
        <v>0</v>
      </c>
      <c r="AK159" s="27">
        <f>IF(AN159=15,M159,0)</f>
        <v>0</v>
      </c>
      <c r="AL159" s="27">
        <f>IF(AN159=21,M159,0)</f>
        <v>0</v>
      </c>
      <c r="AN159" s="45">
        <v>15</v>
      </c>
      <c r="AO159" s="45">
        <f>J159*0</f>
        <v>0</v>
      </c>
      <c r="AP159" s="45">
        <f>J159*(1-0)</f>
        <v>0</v>
      </c>
      <c r="AQ159" s="46" t="s">
        <v>7</v>
      </c>
      <c r="AV159" s="45">
        <f>AW159+AX159</f>
        <v>0</v>
      </c>
      <c r="AW159" s="45">
        <f>I159*AO159</f>
        <v>0</v>
      </c>
      <c r="AX159" s="45">
        <f>I159*AP159</f>
        <v>0</v>
      </c>
      <c r="AY159" s="48" t="s">
        <v>1087</v>
      </c>
      <c r="AZ159" s="48" t="s">
        <v>1121</v>
      </c>
      <c r="BA159" s="44" t="s">
        <v>1139</v>
      </c>
      <c r="BC159" s="45">
        <f>AW159+AX159</f>
        <v>0</v>
      </c>
      <c r="BD159" s="45">
        <f>J159/(100-BE159)*100</f>
        <v>0</v>
      </c>
      <c r="BE159" s="45">
        <v>0</v>
      </c>
      <c r="BF159" s="45">
        <f>159</f>
        <v>159</v>
      </c>
      <c r="BH159" s="27">
        <f>I159*AO159</f>
        <v>0</v>
      </c>
      <c r="BI159" s="27">
        <f>I159*AP159</f>
        <v>0</v>
      </c>
      <c r="BJ159" s="27">
        <f>I159*J159</f>
        <v>0</v>
      </c>
      <c r="BK159" s="27" t="s">
        <v>1146</v>
      </c>
      <c r="BL159" s="45">
        <v>41</v>
      </c>
    </row>
    <row r="160" spans="1:64" x14ac:dyDescent="0.2">
      <c r="A160" s="6"/>
      <c r="C160" s="21" t="s">
        <v>310</v>
      </c>
      <c r="D160" s="245" t="s">
        <v>676</v>
      </c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7"/>
      <c r="P160" s="6"/>
    </row>
    <row r="161" spans="1:64" x14ac:dyDescent="0.2">
      <c r="A161" s="5" t="s">
        <v>80</v>
      </c>
      <c r="B161" s="16" t="s">
        <v>305</v>
      </c>
      <c r="C161" s="16" t="s">
        <v>383</v>
      </c>
      <c r="D161" s="243" t="s">
        <v>731</v>
      </c>
      <c r="E161" s="244"/>
      <c r="F161" s="244"/>
      <c r="G161" s="244"/>
      <c r="H161" s="16" t="s">
        <v>1044</v>
      </c>
      <c r="I161" s="27">
        <v>10.199999999999999</v>
      </c>
      <c r="J161" s="149"/>
      <c r="K161" s="27">
        <f>I161*AO161</f>
        <v>0</v>
      </c>
      <c r="L161" s="27">
        <f>I161*AP161</f>
        <v>0</v>
      </c>
      <c r="M161" s="27">
        <f>I161*J161</f>
        <v>0</v>
      </c>
      <c r="N161" s="56">
        <f>IF(M623=0,0,M161/M623)</f>
        <v>0</v>
      </c>
      <c r="O161" s="39" t="s">
        <v>1068</v>
      </c>
      <c r="P161" s="6"/>
      <c r="Z161" s="45">
        <f>IF(AQ161="5",BJ161,0)</f>
        <v>0</v>
      </c>
      <c r="AB161" s="45">
        <f>IF(AQ161="1",BH161,0)</f>
        <v>0</v>
      </c>
      <c r="AC161" s="45">
        <f>IF(AQ161="1",BI161,0)</f>
        <v>0</v>
      </c>
      <c r="AD161" s="45">
        <f>IF(AQ161="7",BH161,0)</f>
        <v>0</v>
      </c>
      <c r="AE161" s="45">
        <f>IF(AQ161="7",BI161,0)</f>
        <v>0</v>
      </c>
      <c r="AF161" s="45">
        <f>IF(AQ161="2",BH161,0)</f>
        <v>0</v>
      </c>
      <c r="AG161" s="45">
        <f>IF(AQ161="2",BI161,0)</f>
        <v>0</v>
      </c>
      <c r="AH161" s="45">
        <f>IF(AQ161="0",BJ161,0)</f>
        <v>0</v>
      </c>
      <c r="AI161" s="44" t="s">
        <v>305</v>
      </c>
      <c r="AJ161" s="27">
        <f>IF(AN161=0,M161,0)</f>
        <v>0</v>
      </c>
      <c r="AK161" s="27">
        <f>IF(AN161=15,M161,0)</f>
        <v>0</v>
      </c>
      <c r="AL161" s="27">
        <f>IF(AN161=21,M161,0)</f>
        <v>0</v>
      </c>
      <c r="AN161" s="45">
        <v>15</v>
      </c>
      <c r="AO161" s="45">
        <f>J161*0</f>
        <v>0</v>
      </c>
      <c r="AP161" s="45">
        <f>J161*(1-0)</f>
        <v>0</v>
      </c>
      <c r="AQ161" s="46" t="s">
        <v>7</v>
      </c>
      <c r="AV161" s="45">
        <f>AW161+AX161</f>
        <v>0</v>
      </c>
      <c r="AW161" s="45">
        <f>I161*AO161</f>
        <v>0</v>
      </c>
      <c r="AX161" s="45">
        <f>I161*AP161</f>
        <v>0</v>
      </c>
      <c r="AY161" s="48" t="s">
        <v>1087</v>
      </c>
      <c r="AZ161" s="48" t="s">
        <v>1121</v>
      </c>
      <c r="BA161" s="44" t="s">
        <v>1139</v>
      </c>
      <c r="BC161" s="45">
        <f>AW161+AX161</f>
        <v>0</v>
      </c>
      <c r="BD161" s="45">
        <f>J161/(100-BE161)*100</f>
        <v>0</v>
      </c>
      <c r="BE161" s="45">
        <v>0</v>
      </c>
      <c r="BF161" s="45">
        <f>161</f>
        <v>161</v>
      </c>
      <c r="BH161" s="27">
        <f>I161*AO161</f>
        <v>0</v>
      </c>
      <c r="BI161" s="27">
        <f>I161*AP161</f>
        <v>0</v>
      </c>
      <c r="BJ161" s="27">
        <f>I161*J161</f>
        <v>0</v>
      </c>
      <c r="BK161" s="27" t="s">
        <v>1146</v>
      </c>
      <c r="BL161" s="45">
        <v>41</v>
      </c>
    </row>
    <row r="162" spans="1:64" x14ac:dyDescent="0.2">
      <c r="A162" s="6"/>
      <c r="C162" s="21" t="s">
        <v>310</v>
      </c>
      <c r="D162" s="245" t="s">
        <v>676</v>
      </c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7"/>
      <c r="P162" s="6"/>
    </row>
    <row r="163" spans="1:64" x14ac:dyDescent="0.2">
      <c r="A163" s="7" t="s">
        <v>81</v>
      </c>
      <c r="B163" s="17" t="s">
        <v>305</v>
      </c>
      <c r="C163" s="17" t="s">
        <v>384</v>
      </c>
      <c r="D163" s="241" t="s">
        <v>732</v>
      </c>
      <c r="E163" s="242"/>
      <c r="F163" s="242"/>
      <c r="G163" s="242"/>
      <c r="H163" s="17" t="s">
        <v>1041</v>
      </c>
      <c r="I163" s="28">
        <v>1.73</v>
      </c>
      <c r="J163" s="154"/>
      <c r="K163" s="28">
        <f>I163*AO163</f>
        <v>0</v>
      </c>
      <c r="L163" s="28">
        <f>I163*AP163</f>
        <v>0</v>
      </c>
      <c r="M163" s="28">
        <f>I163*J163</f>
        <v>0</v>
      </c>
      <c r="N163" s="57">
        <f>IF(M623=0,0,M163/M623)</f>
        <v>0</v>
      </c>
      <c r="O163" s="40" t="s">
        <v>1068</v>
      </c>
      <c r="P163" s="6"/>
      <c r="Z163" s="45">
        <f>IF(AQ163="5",BJ163,0)</f>
        <v>0</v>
      </c>
      <c r="AB163" s="45">
        <f>IF(AQ163="1",BH163,0)</f>
        <v>0</v>
      </c>
      <c r="AC163" s="45">
        <f>IF(AQ163="1",BI163,0)</f>
        <v>0</v>
      </c>
      <c r="AD163" s="45">
        <f>IF(AQ163="7",BH163,0)</f>
        <v>0</v>
      </c>
      <c r="AE163" s="45">
        <f>IF(AQ163="7",BI163,0)</f>
        <v>0</v>
      </c>
      <c r="AF163" s="45">
        <f>IF(AQ163="2",BH163,0)</f>
        <v>0</v>
      </c>
      <c r="AG163" s="45">
        <f>IF(AQ163="2",BI163,0)</f>
        <v>0</v>
      </c>
      <c r="AH163" s="45">
        <f>IF(AQ163="0",BJ163,0)</f>
        <v>0</v>
      </c>
      <c r="AI163" s="44" t="s">
        <v>305</v>
      </c>
      <c r="AJ163" s="28">
        <f>IF(AN163=0,M163,0)</f>
        <v>0</v>
      </c>
      <c r="AK163" s="28">
        <f>IF(AN163=15,M163,0)</f>
        <v>0</v>
      </c>
      <c r="AL163" s="28">
        <f>IF(AN163=21,M163,0)</f>
        <v>0</v>
      </c>
      <c r="AN163" s="45">
        <v>15</v>
      </c>
      <c r="AO163" s="45">
        <f>J163*1</f>
        <v>0</v>
      </c>
      <c r="AP163" s="45">
        <f>J163*(1-1)</f>
        <v>0</v>
      </c>
      <c r="AQ163" s="47" t="s">
        <v>7</v>
      </c>
      <c r="AV163" s="45">
        <f>AW163+AX163</f>
        <v>0</v>
      </c>
      <c r="AW163" s="45">
        <f>I163*AO163</f>
        <v>0</v>
      </c>
      <c r="AX163" s="45">
        <f>I163*AP163</f>
        <v>0</v>
      </c>
      <c r="AY163" s="48" t="s">
        <v>1087</v>
      </c>
      <c r="AZ163" s="48" t="s">
        <v>1121</v>
      </c>
      <c r="BA163" s="44" t="s">
        <v>1139</v>
      </c>
      <c r="BC163" s="45">
        <f>AW163+AX163</f>
        <v>0</v>
      </c>
      <c r="BD163" s="45">
        <f>J163/(100-BE163)*100</f>
        <v>0</v>
      </c>
      <c r="BE163" s="45">
        <v>0</v>
      </c>
      <c r="BF163" s="45">
        <f>163</f>
        <v>163</v>
      </c>
      <c r="BH163" s="28">
        <f>I163*AO163</f>
        <v>0</v>
      </c>
      <c r="BI163" s="28">
        <f>I163*AP163</f>
        <v>0</v>
      </c>
      <c r="BJ163" s="28">
        <f>I163*J163</f>
        <v>0</v>
      </c>
      <c r="BK163" s="28" t="s">
        <v>1147</v>
      </c>
      <c r="BL163" s="45">
        <v>41</v>
      </c>
    </row>
    <row r="164" spans="1:64" x14ac:dyDescent="0.2">
      <c r="A164" s="5" t="s">
        <v>82</v>
      </c>
      <c r="B164" s="16" t="s">
        <v>305</v>
      </c>
      <c r="C164" s="16" t="s">
        <v>385</v>
      </c>
      <c r="D164" s="243" t="s">
        <v>733</v>
      </c>
      <c r="E164" s="244"/>
      <c r="F164" s="244"/>
      <c r="G164" s="244"/>
      <c r="H164" s="16" t="s">
        <v>1044</v>
      </c>
      <c r="I164" s="27">
        <v>52.3</v>
      </c>
      <c r="J164" s="149"/>
      <c r="K164" s="27">
        <f>I164*AO164</f>
        <v>0</v>
      </c>
      <c r="L164" s="27">
        <f>I164*AP164</f>
        <v>0</v>
      </c>
      <c r="M164" s="27">
        <f>I164*J164</f>
        <v>0</v>
      </c>
      <c r="N164" s="56">
        <f>IF(M623=0,0,M164/M623)</f>
        <v>0</v>
      </c>
      <c r="O164" s="39" t="s">
        <v>1068</v>
      </c>
      <c r="P164" s="6"/>
      <c r="Z164" s="45">
        <f>IF(AQ164="5",BJ164,0)</f>
        <v>0</v>
      </c>
      <c r="AB164" s="45">
        <f>IF(AQ164="1",BH164,0)</f>
        <v>0</v>
      </c>
      <c r="AC164" s="45">
        <f>IF(AQ164="1",BI164,0)</f>
        <v>0</v>
      </c>
      <c r="AD164" s="45">
        <f>IF(AQ164="7",BH164,0)</f>
        <v>0</v>
      </c>
      <c r="AE164" s="45">
        <f>IF(AQ164="7",BI164,0)</f>
        <v>0</v>
      </c>
      <c r="AF164" s="45">
        <f>IF(AQ164="2",BH164,0)</f>
        <v>0</v>
      </c>
      <c r="AG164" s="45">
        <f>IF(AQ164="2",BI164,0)</f>
        <v>0</v>
      </c>
      <c r="AH164" s="45">
        <f>IF(AQ164="0",BJ164,0)</f>
        <v>0</v>
      </c>
      <c r="AI164" s="44" t="s">
        <v>305</v>
      </c>
      <c r="AJ164" s="27">
        <f>IF(AN164=0,M164,0)</f>
        <v>0</v>
      </c>
      <c r="AK164" s="27">
        <f>IF(AN164=15,M164,0)</f>
        <v>0</v>
      </c>
      <c r="AL164" s="27">
        <f>IF(AN164=21,M164,0)</f>
        <v>0</v>
      </c>
      <c r="AN164" s="45">
        <v>15</v>
      </c>
      <c r="AO164" s="45">
        <f>J164*0.679403372243839</f>
        <v>0</v>
      </c>
      <c r="AP164" s="45">
        <f>J164*(1-0.679403372243839)</f>
        <v>0</v>
      </c>
      <c r="AQ164" s="46" t="s">
        <v>7</v>
      </c>
      <c r="AV164" s="45">
        <f>AW164+AX164</f>
        <v>0</v>
      </c>
      <c r="AW164" s="45">
        <f>I164*AO164</f>
        <v>0</v>
      </c>
      <c r="AX164" s="45">
        <f>I164*AP164</f>
        <v>0</v>
      </c>
      <c r="AY164" s="48" t="s">
        <v>1087</v>
      </c>
      <c r="AZ164" s="48" t="s">
        <v>1121</v>
      </c>
      <c r="BA164" s="44" t="s">
        <v>1139</v>
      </c>
      <c r="BC164" s="45">
        <f>AW164+AX164</f>
        <v>0</v>
      </c>
      <c r="BD164" s="45">
        <f>J164/(100-BE164)*100</f>
        <v>0</v>
      </c>
      <c r="BE164" s="45">
        <v>0</v>
      </c>
      <c r="BF164" s="45">
        <f>164</f>
        <v>164</v>
      </c>
      <c r="BH164" s="27">
        <f>I164*AO164</f>
        <v>0</v>
      </c>
      <c r="BI164" s="27">
        <f>I164*AP164</f>
        <v>0</v>
      </c>
      <c r="BJ164" s="27">
        <f>I164*J164</f>
        <v>0</v>
      </c>
      <c r="BK164" s="27" t="s">
        <v>1146</v>
      </c>
      <c r="BL164" s="45">
        <v>41</v>
      </c>
    </row>
    <row r="165" spans="1:64" x14ac:dyDescent="0.2">
      <c r="A165" s="6"/>
      <c r="C165" s="21" t="s">
        <v>310</v>
      </c>
      <c r="D165" s="245" t="s">
        <v>685</v>
      </c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7"/>
      <c r="P165" s="6"/>
    </row>
    <row r="166" spans="1:64" x14ac:dyDescent="0.2">
      <c r="A166" s="5" t="s">
        <v>83</v>
      </c>
      <c r="B166" s="16" t="s">
        <v>305</v>
      </c>
      <c r="C166" s="16" t="s">
        <v>386</v>
      </c>
      <c r="D166" s="243" t="s">
        <v>734</v>
      </c>
      <c r="E166" s="244"/>
      <c r="F166" s="244"/>
      <c r="G166" s="244"/>
      <c r="H166" s="16" t="s">
        <v>1041</v>
      </c>
      <c r="I166" s="27">
        <v>4.33</v>
      </c>
      <c r="J166" s="149"/>
      <c r="K166" s="27">
        <f>I166*AO166</f>
        <v>0</v>
      </c>
      <c r="L166" s="27">
        <f>I166*AP166</f>
        <v>0</v>
      </c>
      <c r="M166" s="27">
        <f>I166*J166</f>
        <v>0</v>
      </c>
      <c r="N166" s="56">
        <f>IF(M623=0,0,M166/M623)</f>
        <v>0</v>
      </c>
      <c r="O166" s="39" t="s">
        <v>1068</v>
      </c>
      <c r="P166" s="6"/>
      <c r="Z166" s="45">
        <f>IF(AQ166="5",BJ166,0)</f>
        <v>0</v>
      </c>
      <c r="AB166" s="45">
        <f>IF(AQ166="1",BH166,0)</f>
        <v>0</v>
      </c>
      <c r="AC166" s="45">
        <f>IF(AQ166="1",BI166,0)</f>
        <v>0</v>
      </c>
      <c r="AD166" s="45">
        <f>IF(AQ166="7",BH166,0)</f>
        <v>0</v>
      </c>
      <c r="AE166" s="45">
        <f>IF(AQ166="7",BI166,0)</f>
        <v>0</v>
      </c>
      <c r="AF166" s="45">
        <f>IF(AQ166="2",BH166,0)</f>
        <v>0</v>
      </c>
      <c r="AG166" s="45">
        <f>IF(AQ166="2",BI166,0)</f>
        <v>0</v>
      </c>
      <c r="AH166" s="45">
        <f>IF(AQ166="0",BJ166,0)</f>
        <v>0</v>
      </c>
      <c r="AI166" s="44" t="s">
        <v>305</v>
      </c>
      <c r="AJ166" s="27">
        <f>IF(AN166=0,M166,0)</f>
        <v>0</v>
      </c>
      <c r="AK166" s="27">
        <f>IF(AN166=15,M166,0)</f>
        <v>0</v>
      </c>
      <c r="AL166" s="27">
        <f>IF(AN166=21,M166,0)</f>
        <v>0</v>
      </c>
      <c r="AN166" s="45">
        <v>15</v>
      </c>
      <c r="AO166" s="45">
        <f>J166*0.801286330935252</f>
        <v>0</v>
      </c>
      <c r="AP166" s="45">
        <f>J166*(1-0.801286330935252)</f>
        <v>0</v>
      </c>
      <c r="AQ166" s="46" t="s">
        <v>7</v>
      </c>
      <c r="AV166" s="45">
        <f>AW166+AX166</f>
        <v>0</v>
      </c>
      <c r="AW166" s="45">
        <f>I166*AO166</f>
        <v>0</v>
      </c>
      <c r="AX166" s="45">
        <f>I166*AP166</f>
        <v>0</v>
      </c>
      <c r="AY166" s="48" t="s">
        <v>1087</v>
      </c>
      <c r="AZ166" s="48" t="s">
        <v>1121</v>
      </c>
      <c r="BA166" s="44" t="s">
        <v>1139</v>
      </c>
      <c r="BC166" s="45">
        <f>AW166+AX166</f>
        <v>0</v>
      </c>
      <c r="BD166" s="45">
        <f>J166/(100-BE166)*100</f>
        <v>0</v>
      </c>
      <c r="BE166" s="45">
        <v>0</v>
      </c>
      <c r="BF166" s="45">
        <f>166</f>
        <v>166</v>
      </c>
      <c r="BH166" s="27">
        <f>I166*AO166</f>
        <v>0</v>
      </c>
      <c r="BI166" s="27">
        <f>I166*AP166</f>
        <v>0</v>
      </c>
      <c r="BJ166" s="27">
        <f>I166*J166</f>
        <v>0</v>
      </c>
      <c r="BK166" s="27" t="s">
        <v>1146</v>
      </c>
      <c r="BL166" s="45">
        <v>41</v>
      </c>
    </row>
    <row r="167" spans="1:64" x14ac:dyDescent="0.2">
      <c r="A167" s="6"/>
      <c r="C167" s="21" t="s">
        <v>310</v>
      </c>
      <c r="D167" s="245" t="s">
        <v>685</v>
      </c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7"/>
      <c r="P167" s="6"/>
    </row>
    <row r="168" spans="1:64" x14ac:dyDescent="0.2">
      <c r="A168" s="5" t="s">
        <v>84</v>
      </c>
      <c r="B168" s="16" t="s">
        <v>305</v>
      </c>
      <c r="C168" s="16" t="s">
        <v>387</v>
      </c>
      <c r="D168" s="243" t="s">
        <v>735</v>
      </c>
      <c r="E168" s="244"/>
      <c r="F168" s="244"/>
      <c r="G168" s="244"/>
      <c r="H168" s="16" t="s">
        <v>1044</v>
      </c>
      <c r="I168" s="27">
        <v>69.5</v>
      </c>
      <c r="J168" s="149"/>
      <c r="K168" s="27">
        <f>I168*AO168</f>
        <v>0</v>
      </c>
      <c r="L168" s="27">
        <f>I168*AP168</f>
        <v>0</v>
      </c>
      <c r="M168" s="27">
        <f>I168*J168</f>
        <v>0</v>
      </c>
      <c r="N168" s="56">
        <f>IF(M623=0,0,M168/M623)</f>
        <v>0</v>
      </c>
      <c r="O168" s="39" t="s">
        <v>1068</v>
      </c>
      <c r="P168" s="6"/>
      <c r="Z168" s="45">
        <f>IF(AQ168="5",BJ168,0)</f>
        <v>0</v>
      </c>
      <c r="AB168" s="45">
        <f>IF(AQ168="1",BH168,0)</f>
        <v>0</v>
      </c>
      <c r="AC168" s="45">
        <f>IF(AQ168="1",BI168,0)</f>
        <v>0</v>
      </c>
      <c r="AD168" s="45">
        <f>IF(AQ168="7",BH168,0)</f>
        <v>0</v>
      </c>
      <c r="AE168" s="45">
        <f>IF(AQ168="7",BI168,0)</f>
        <v>0</v>
      </c>
      <c r="AF168" s="45">
        <f>IF(AQ168="2",BH168,0)</f>
        <v>0</v>
      </c>
      <c r="AG168" s="45">
        <f>IF(AQ168="2",BI168,0)</f>
        <v>0</v>
      </c>
      <c r="AH168" s="45">
        <f>IF(AQ168="0",BJ168,0)</f>
        <v>0</v>
      </c>
      <c r="AI168" s="44" t="s">
        <v>305</v>
      </c>
      <c r="AJ168" s="27">
        <f>IF(AN168=0,M168,0)</f>
        <v>0</v>
      </c>
      <c r="AK168" s="27">
        <f>IF(AN168=15,M168,0)</f>
        <v>0</v>
      </c>
      <c r="AL168" s="27">
        <f>IF(AN168=21,M168,0)</f>
        <v>0</v>
      </c>
      <c r="AN168" s="45">
        <v>15</v>
      </c>
      <c r="AO168" s="45">
        <f>J168*0.169821428571429</f>
        <v>0</v>
      </c>
      <c r="AP168" s="45">
        <f>J168*(1-0.169821428571429)</f>
        <v>0</v>
      </c>
      <c r="AQ168" s="46" t="s">
        <v>7</v>
      </c>
      <c r="AV168" s="45">
        <f>AW168+AX168</f>
        <v>0</v>
      </c>
      <c r="AW168" s="45">
        <f>I168*AO168</f>
        <v>0</v>
      </c>
      <c r="AX168" s="45">
        <f>I168*AP168</f>
        <v>0</v>
      </c>
      <c r="AY168" s="48" t="s">
        <v>1087</v>
      </c>
      <c r="AZ168" s="48" t="s">
        <v>1121</v>
      </c>
      <c r="BA168" s="44" t="s">
        <v>1139</v>
      </c>
      <c r="BC168" s="45">
        <f>AW168+AX168</f>
        <v>0</v>
      </c>
      <c r="BD168" s="45">
        <f>J168/(100-BE168)*100</f>
        <v>0</v>
      </c>
      <c r="BE168" s="45">
        <v>0</v>
      </c>
      <c r="BF168" s="45">
        <f>168</f>
        <v>168</v>
      </c>
      <c r="BH168" s="27">
        <f>I168*AO168</f>
        <v>0</v>
      </c>
      <c r="BI168" s="27">
        <f>I168*AP168</f>
        <v>0</v>
      </c>
      <c r="BJ168" s="27">
        <f>I168*J168</f>
        <v>0</v>
      </c>
      <c r="BK168" s="27" t="s">
        <v>1146</v>
      </c>
      <c r="BL168" s="45">
        <v>41</v>
      </c>
    </row>
    <row r="169" spans="1:64" x14ac:dyDescent="0.2">
      <c r="A169" s="6"/>
      <c r="C169" s="21" t="s">
        <v>310</v>
      </c>
      <c r="D169" s="245" t="s">
        <v>685</v>
      </c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7"/>
      <c r="P169" s="6"/>
    </row>
    <row r="170" spans="1:64" x14ac:dyDescent="0.2">
      <c r="A170" s="5" t="s">
        <v>85</v>
      </c>
      <c r="B170" s="16" t="s">
        <v>305</v>
      </c>
      <c r="C170" s="16" t="s">
        <v>388</v>
      </c>
      <c r="D170" s="243" t="s">
        <v>736</v>
      </c>
      <c r="E170" s="244"/>
      <c r="F170" s="244"/>
      <c r="G170" s="244"/>
      <c r="H170" s="16" t="s">
        <v>1044</v>
      </c>
      <c r="I170" s="27">
        <v>69.5</v>
      </c>
      <c r="J170" s="149"/>
      <c r="K170" s="27">
        <f>I170*AO170</f>
        <v>0</v>
      </c>
      <c r="L170" s="27">
        <f>I170*AP170</f>
        <v>0</v>
      </c>
      <c r="M170" s="27">
        <f>I170*J170</f>
        <v>0</v>
      </c>
      <c r="N170" s="56">
        <f>IF(M623=0,0,M170/M623)</f>
        <v>0</v>
      </c>
      <c r="O170" s="39" t="s">
        <v>1068</v>
      </c>
      <c r="P170" s="6"/>
      <c r="Z170" s="45">
        <f>IF(AQ170="5",BJ170,0)</f>
        <v>0</v>
      </c>
      <c r="AB170" s="45">
        <f>IF(AQ170="1",BH170,0)</f>
        <v>0</v>
      </c>
      <c r="AC170" s="45">
        <f>IF(AQ170="1",BI170,0)</f>
        <v>0</v>
      </c>
      <c r="AD170" s="45">
        <f>IF(AQ170="7",BH170,0)</f>
        <v>0</v>
      </c>
      <c r="AE170" s="45">
        <f>IF(AQ170="7",BI170,0)</f>
        <v>0</v>
      </c>
      <c r="AF170" s="45">
        <f>IF(AQ170="2",BH170,0)</f>
        <v>0</v>
      </c>
      <c r="AG170" s="45">
        <f>IF(AQ170="2",BI170,0)</f>
        <v>0</v>
      </c>
      <c r="AH170" s="45">
        <f>IF(AQ170="0",BJ170,0)</f>
        <v>0</v>
      </c>
      <c r="AI170" s="44" t="s">
        <v>305</v>
      </c>
      <c r="AJ170" s="27">
        <f>IF(AN170=0,M170,0)</f>
        <v>0</v>
      </c>
      <c r="AK170" s="27">
        <f>IF(AN170=15,M170,0)</f>
        <v>0</v>
      </c>
      <c r="AL170" s="27">
        <f>IF(AN170=21,M170,0)</f>
        <v>0</v>
      </c>
      <c r="AN170" s="45">
        <v>15</v>
      </c>
      <c r="AO170" s="45">
        <f>J170*0</f>
        <v>0</v>
      </c>
      <c r="AP170" s="45">
        <f>J170*(1-0)</f>
        <v>0</v>
      </c>
      <c r="AQ170" s="46" t="s">
        <v>7</v>
      </c>
      <c r="AV170" s="45">
        <f>AW170+AX170</f>
        <v>0</v>
      </c>
      <c r="AW170" s="45">
        <f>I170*AO170</f>
        <v>0</v>
      </c>
      <c r="AX170" s="45">
        <f>I170*AP170</f>
        <v>0</v>
      </c>
      <c r="AY170" s="48" t="s">
        <v>1087</v>
      </c>
      <c r="AZ170" s="48" t="s">
        <v>1121</v>
      </c>
      <c r="BA170" s="44" t="s">
        <v>1139</v>
      </c>
      <c r="BC170" s="45">
        <f>AW170+AX170</f>
        <v>0</v>
      </c>
      <c r="BD170" s="45">
        <f>J170/(100-BE170)*100</f>
        <v>0</v>
      </c>
      <c r="BE170" s="45">
        <v>0</v>
      </c>
      <c r="BF170" s="45">
        <f>170</f>
        <v>170</v>
      </c>
      <c r="BH170" s="27">
        <f>I170*AO170</f>
        <v>0</v>
      </c>
      <c r="BI170" s="27">
        <f>I170*AP170</f>
        <v>0</v>
      </c>
      <c r="BJ170" s="27">
        <f>I170*J170</f>
        <v>0</v>
      </c>
      <c r="BK170" s="27" t="s">
        <v>1146</v>
      </c>
      <c r="BL170" s="45">
        <v>41</v>
      </c>
    </row>
    <row r="171" spans="1:64" x14ac:dyDescent="0.2">
      <c r="A171" s="5" t="s">
        <v>86</v>
      </c>
      <c r="B171" s="16" t="s">
        <v>305</v>
      </c>
      <c r="C171" s="16" t="s">
        <v>389</v>
      </c>
      <c r="D171" s="243" t="s">
        <v>737</v>
      </c>
      <c r="E171" s="244"/>
      <c r="F171" s="244"/>
      <c r="G171" s="244"/>
      <c r="H171" s="16" t="s">
        <v>1043</v>
      </c>
      <c r="I171" s="27">
        <v>0.18</v>
      </c>
      <c r="J171" s="149"/>
      <c r="K171" s="27">
        <f>I171*AO171</f>
        <v>0</v>
      </c>
      <c r="L171" s="27">
        <f>I171*AP171</f>
        <v>0</v>
      </c>
      <c r="M171" s="27">
        <f>I171*J171</f>
        <v>0</v>
      </c>
      <c r="N171" s="56">
        <f>IF(M623=0,0,M171/M623)</f>
        <v>0</v>
      </c>
      <c r="O171" s="39" t="s">
        <v>1068</v>
      </c>
      <c r="P171" s="6"/>
      <c r="Z171" s="45">
        <f>IF(AQ171="5",BJ171,0)</f>
        <v>0</v>
      </c>
      <c r="AB171" s="45">
        <f>IF(AQ171="1",BH171,0)</f>
        <v>0</v>
      </c>
      <c r="AC171" s="45">
        <f>IF(AQ171="1",BI171,0)</f>
        <v>0</v>
      </c>
      <c r="AD171" s="45">
        <f>IF(AQ171="7",BH171,0)</f>
        <v>0</v>
      </c>
      <c r="AE171" s="45">
        <f>IF(AQ171="7",BI171,0)</f>
        <v>0</v>
      </c>
      <c r="AF171" s="45">
        <f>IF(AQ171="2",BH171,0)</f>
        <v>0</v>
      </c>
      <c r="AG171" s="45">
        <f>IF(AQ171="2",BI171,0)</f>
        <v>0</v>
      </c>
      <c r="AH171" s="45">
        <f>IF(AQ171="0",BJ171,0)</f>
        <v>0</v>
      </c>
      <c r="AI171" s="44" t="s">
        <v>305</v>
      </c>
      <c r="AJ171" s="27">
        <f>IF(AN171=0,M171,0)</f>
        <v>0</v>
      </c>
      <c r="AK171" s="27">
        <f>IF(AN171=15,M171,0)</f>
        <v>0</v>
      </c>
      <c r="AL171" s="27">
        <f>IF(AN171=21,M171,0)</f>
        <v>0</v>
      </c>
      <c r="AN171" s="45">
        <v>15</v>
      </c>
      <c r="AO171" s="45">
        <f>J171*0.727775451263538</f>
        <v>0</v>
      </c>
      <c r="AP171" s="45">
        <f>J171*(1-0.727775451263538)</f>
        <v>0</v>
      </c>
      <c r="AQ171" s="46" t="s">
        <v>7</v>
      </c>
      <c r="AV171" s="45">
        <f>AW171+AX171</f>
        <v>0</v>
      </c>
      <c r="AW171" s="45">
        <f>I171*AO171</f>
        <v>0</v>
      </c>
      <c r="AX171" s="45">
        <f>I171*AP171</f>
        <v>0</v>
      </c>
      <c r="AY171" s="48" t="s">
        <v>1087</v>
      </c>
      <c r="AZ171" s="48" t="s">
        <v>1121</v>
      </c>
      <c r="BA171" s="44" t="s">
        <v>1139</v>
      </c>
      <c r="BC171" s="45">
        <f>AW171+AX171</f>
        <v>0</v>
      </c>
      <c r="BD171" s="45">
        <f>J171/(100-BE171)*100</f>
        <v>0</v>
      </c>
      <c r="BE171" s="45">
        <v>0</v>
      </c>
      <c r="BF171" s="45">
        <f>171</f>
        <v>171</v>
      </c>
      <c r="BH171" s="27">
        <f>I171*AO171</f>
        <v>0</v>
      </c>
      <c r="BI171" s="27">
        <f>I171*AP171</f>
        <v>0</v>
      </c>
      <c r="BJ171" s="27">
        <f>I171*J171</f>
        <v>0</v>
      </c>
      <c r="BK171" s="27" t="s">
        <v>1146</v>
      </c>
      <c r="BL171" s="45">
        <v>41</v>
      </c>
    </row>
    <row r="172" spans="1:64" x14ac:dyDescent="0.2">
      <c r="A172" s="6"/>
      <c r="C172" s="20" t="s">
        <v>302</v>
      </c>
      <c r="D172" s="248" t="s">
        <v>669</v>
      </c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250"/>
      <c r="P172" s="6"/>
    </row>
    <row r="173" spans="1:64" x14ac:dyDescent="0.2">
      <c r="A173" s="5" t="s">
        <v>87</v>
      </c>
      <c r="B173" s="16" t="s">
        <v>305</v>
      </c>
      <c r="C173" s="16" t="s">
        <v>390</v>
      </c>
      <c r="D173" s="243" t="s">
        <v>738</v>
      </c>
      <c r="E173" s="244"/>
      <c r="F173" s="244"/>
      <c r="G173" s="244"/>
      <c r="H173" s="16" t="s">
        <v>1042</v>
      </c>
      <c r="I173" s="27">
        <v>73.83</v>
      </c>
      <c r="J173" s="149"/>
      <c r="K173" s="27">
        <f>I173*AO173</f>
        <v>0</v>
      </c>
      <c r="L173" s="27">
        <f>I173*AP173</f>
        <v>0</v>
      </c>
      <c r="M173" s="27">
        <f>I173*J173</f>
        <v>0</v>
      </c>
      <c r="N173" s="56">
        <f>IF(M623=0,0,M173/M623)</f>
        <v>0</v>
      </c>
      <c r="O173" s="39" t="s">
        <v>1068</v>
      </c>
      <c r="P173" s="6"/>
      <c r="Z173" s="45">
        <f>IF(AQ173="5",BJ173,0)</f>
        <v>0</v>
      </c>
      <c r="AB173" s="45">
        <f>IF(AQ173="1",BH173,0)</f>
        <v>0</v>
      </c>
      <c r="AC173" s="45">
        <f>IF(AQ173="1",BI173,0)</f>
        <v>0</v>
      </c>
      <c r="AD173" s="45">
        <f>IF(AQ173="7",BH173,0)</f>
        <v>0</v>
      </c>
      <c r="AE173" s="45">
        <f>IF(AQ173="7",BI173,0)</f>
        <v>0</v>
      </c>
      <c r="AF173" s="45">
        <f>IF(AQ173="2",BH173,0)</f>
        <v>0</v>
      </c>
      <c r="AG173" s="45">
        <f>IF(AQ173="2",BI173,0)</f>
        <v>0</v>
      </c>
      <c r="AH173" s="45">
        <f>IF(AQ173="0",BJ173,0)</f>
        <v>0</v>
      </c>
      <c r="AI173" s="44" t="s">
        <v>305</v>
      </c>
      <c r="AJ173" s="27">
        <f>IF(AN173=0,M173,0)</f>
        <v>0</v>
      </c>
      <c r="AK173" s="27">
        <f>IF(AN173=15,M173,0)</f>
        <v>0</v>
      </c>
      <c r="AL173" s="27">
        <f>IF(AN173=21,M173,0)</f>
        <v>0</v>
      </c>
      <c r="AN173" s="45">
        <v>15</v>
      </c>
      <c r="AO173" s="45">
        <f>J173*0.796678309736378</f>
        <v>0</v>
      </c>
      <c r="AP173" s="45">
        <f>J173*(1-0.796678309736378)</f>
        <v>0</v>
      </c>
      <c r="AQ173" s="46" t="s">
        <v>7</v>
      </c>
      <c r="AV173" s="45">
        <f>AW173+AX173</f>
        <v>0</v>
      </c>
      <c r="AW173" s="45">
        <f>I173*AO173</f>
        <v>0</v>
      </c>
      <c r="AX173" s="45">
        <f>I173*AP173</f>
        <v>0</v>
      </c>
      <c r="AY173" s="48" t="s">
        <v>1087</v>
      </c>
      <c r="AZ173" s="48" t="s">
        <v>1121</v>
      </c>
      <c r="BA173" s="44" t="s">
        <v>1139</v>
      </c>
      <c r="BC173" s="45">
        <f>AW173+AX173</f>
        <v>0</v>
      </c>
      <c r="BD173" s="45">
        <f>J173/(100-BE173)*100</f>
        <v>0</v>
      </c>
      <c r="BE173" s="45">
        <v>0</v>
      </c>
      <c r="BF173" s="45">
        <f>173</f>
        <v>173</v>
      </c>
      <c r="BH173" s="27">
        <f>I173*AO173</f>
        <v>0</v>
      </c>
      <c r="BI173" s="27">
        <f>I173*AP173</f>
        <v>0</v>
      </c>
      <c r="BJ173" s="27">
        <f>I173*J173</f>
        <v>0</v>
      </c>
      <c r="BK173" s="27" t="s">
        <v>1146</v>
      </c>
      <c r="BL173" s="45">
        <v>41</v>
      </c>
    </row>
    <row r="174" spans="1:64" x14ac:dyDescent="0.2">
      <c r="A174" s="6"/>
      <c r="C174" s="21" t="s">
        <v>310</v>
      </c>
      <c r="D174" s="245" t="s">
        <v>685</v>
      </c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7"/>
      <c r="P174" s="6"/>
    </row>
    <row r="175" spans="1:64" x14ac:dyDescent="0.2">
      <c r="A175" s="5" t="s">
        <v>88</v>
      </c>
      <c r="B175" s="16" t="s">
        <v>305</v>
      </c>
      <c r="C175" s="16" t="s">
        <v>391</v>
      </c>
      <c r="D175" s="243" t="s">
        <v>739</v>
      </c>
      <c r="E175" s="244"/>
      <c r="F175" s="244"/>
      <c r="G175" s="244"/>
      <c r="H175" s="16" t="s">
        <v>1042</v>
      </c>
      <c r="I175" s="27">
        <v>47.09</v>
      </c>
      <c r="J175" s="149"/>
      <c r="K175" s="27">
        <f>I175*AO175</f>
        <v>0</v>
      </c>
      <c r="L175" s="27">
        <f>I175*AP175</f>
        <v>0</v>
      </c>
      <c r="M175" s="27">
        <f>I175*J175</f>
        <v>0</v>
      </c>
      <c r="N175" s="56">
        <f>IF(M623=0,0,M175/M623)</f>
        <v>0</v>
      </c>
      <c r="O175" s="39" t="s">
        <v>1068</v>
      </c>
      <c r="P175" s="6"/>
      <c r="Z175" s="45">
        <f>IF(AQ175="5",BJ175,0)</f>
        <v>0</v>
      </c>
      <c r="AB175" s="45">
        <f>IF(AQ175="1",BH175,0)</f>
        <v>0</v>
      </c>
      <c r="AC175" s="45">
        <f>IF(AQ175="1",BI175,0)</f>
        <v>0</v>
      </c>
      <c r="AD175" s="45">
        <f>IF(AQ175="7",BH175,0)</f>
        <v>0</v>
      </c>
      <c r="AE175" s="45">
        <f>IF(AQ175="7",BI175,0)</f>
        <v>0</v>
      </c>
      <c r="AF175" s="45">
        <f>IF(AQ175="2",BH175,0)</f>
        <v>0</v>
      </c>
      <c r="AG175" s="45">
        <f>IF(AQ175="2",BI175,0)</f>
        <v>0</v>
      </c>
      <c r="AH175" s="45">
        <f>IF(AQ175="0",BJ175,0)</f>
        <v>0</v>
      </c>
      <c r="AI175" s="44" t="s">
        <v>305</v>
      </c>
      <c r="AJ175" s="27">
        <f>IF(AN175=0,M175,0)</f>
        <v>0</v>
      </c>
      <c r="AK175" s="27">
        <f>IF(AN175=15,M175,0)</f>
        <v>0</v>
      </c>
      <c r="AL175" s="27">
        <f>IF(AN175=21,M175,0)</f>
        <v>0</v>
      </c>
      <c r="AN175" s="45">
        <v>15</v>
      </c>
      <c r="AO175" s="45">
        <f>J175*0.389931740614334</f>
        <v>0</v>
      </c>
      <c r="AP175" s="45">
        <f>J175*(1-0.389931740614334)</f>
        <v>0</v>
      </c>
      <c r="AQ175" s="46" t="s">
        <v>7</v>
      </c>
      <c r="AV175" s="45">
        <f>AW175+AX175</f>
        <v>0</v>
      </c>
      <c r="AW175" s="45">
        <f>I175*AO175</f>
        <v>0</v>
      </c>
      <c r="AX175" s="45">
        <f>I175*AP175</f>
        <v>0</v>
      </c>
      <c r="AY175" s="48" t="s">
        <v>1087</v>
      </c>
      <c r="AZ175" s="48" t="s">
        <v>1121</v>
      </c>
      <c r="BA175" s="44" t="s">
        <v>1139</v>
      </c>
      <c r="BC175" s="45">
        <f>AW175+AX175</f>
        <v>0</v>
      </c>
      <c r="BD175" s="45">
        <f>J175/(100-BE175)*100</f>
        <v>0</v>
      </c>
      <c r="BE175" s="45">
        <v>0</v>
      </c>
      <c r="BF175" s="45">
        <f>175</f>
        <v>175</v>
      </c>
      <c r="BH175" s="27">
        <f>I175*AO175</f>
        <v>0</v>
      </c>
      <c r="BI175" s="27">
        <f>I175*AP175</f>
        <v>0</v>
      </c>
      <c r="BJ175" s="27">
        <f>I175*J175</f>
        <v>0</v>
      </c>
      <c r="BK175" s="27" t="s">
        <v>1146</v>
      </c>
      <c r="BL175" s="45">
        <v>41</v>
      </c>
    </row>
    <row r="176" spans="1:64" x14ac:dyDescent="0.2">
      <c r="A176" s="6"/>
      <c r="C176" s="21" t="s">
        <v>310</v>
      </c>
      <c r="D176" s="245" t="s">
        <v>704</v>
      </c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7"/>
      <c r="P176" s="6"/>
    </row>
    <row r="177" spans="1:64" x14ac:dyDescent="0.2">
      <c r="A177" s="5" t="s">
        <v>89</v>
      </c>
      <c r="B177" s="16" t="s">
        <v>305</v>
      </c>
      <c r="C177" s="16" t="s">
        <v>392</v>
      </c>
      <c r="D177" s="243" t="s">
        <v>740</v>
      </c>
      <c r="E177" s="244"/>
      <c r="F177" s="244"/>
      <c r="G177" s="244"/>
      <c r="H177" s="16" t="s">
        <v>1042</v>
      </c>
      <c r="I177" s="27">
        <v>16.829999999999998</v>
      </c>
      <c r="J177" s="149"/>
      <c r="K177" s="27">
        <f>I177*AO177</f>
        <v>0</v>
      </c>
      <c r="L177" s="27">
        <f>I177*AP177</f>
        <v>0</v>
      </c>
      <c r="M177" s="27">
        <f>I177*J177</f>
        <v>0</v>
      </c>
      <c r="N177" s="56">
        <f>IF(M623=0,0,M177/M623)</f>
        <v>0</v>
      </c>
      <c r="O177" s="39" t="s">
        <v>1068</v>
      </c>
      <c r="P177" s="6"/>
      <c r="Z177" s="45">
        <f>IF(AQ177="5",BJ177,0)</f>
        <v>0</v>
      </c>
      <c r="AB177" s="45">
        <f>IF(AQ177="1",BH177,0)</f>
        <v>0</v>
      </c>
      <c r="AC177" s="45">
        <f>IF(AQ177="1",BI177,0)</f>
        <v>0</v>
      </c>
      <c r="AD177" s="45">
        <f>IF(AQ177="7",BH177,0)</f>
        <v>0</v>
      </c>
      <c r="AE177" s="45">
        <f>IF(AQ177="7",BI177,0)</f>
        <v>0</v>
      </c>
      <c r="AF177" s="45">
        <f>IF(AQ177="2",BH177,0)</f>
        <v>0</v>
      </c>
      <c r="AG177" s="45">
        <f>IF(AQ177="2",BI177,0)</f>
        <v>0</v>
      </c>
      <c r="AH177" s="45">
        <f>IF(AQ177="0",BJ177,0)</f>
        <v>0</v>
      </c>
      <c r="AI177" s="44" t="s">
        <v>305</v>
      </c>
      <c r="AJ177" s="27">
        <f>IF(AN177=0,M177,0)</f>
        <v>0</v>
      </c>
      <c r="AK177" s="27">
        <f>IF(AN177=15,M177,0)</f>
        <v>0</v>
      </c>
      <c r="AL177" s="27">
        <f>IF(AN177=21,M177,0)</f>
        <v>0</v>
      </c>
      <c r="AN177" s="45">
        <v>15</v>
      </c>
      <c r="AO177" s="45">
        <f>J177*0.425856531049251</f>
        <v>0</v>
      </c>
      <c r="AP177" s="45">
        <f>J177*(1-0.425856531049251)</f>
        <v>0</v>
      </c>
      <c r="AQ177" s="46" t="s">
        <v>7</v>
      </c>
      <c r="AV177" s="45">
        <f>AW177+AX177</f>
        <v>0</v>
      </c>
      <c r="AW177" s="45">
        <f>I177*AO177</f>
        <v>0</v>
      </c>
      <c r="AX177" s="45">
        <f>I177*AP177</f>
        <v>0</v>
      </c>
      <c r="AY177" s="48" t="s">
        <v>1087</v>
      </c>
      <c r="AZ177" s="48" t="s">
        <v>1121</v>
      </c>
      <c r="BA177" s="44" t="s">
        <v>1139</v>
      </c>
      <c r="BC177" s="45">
        <f>AW177+AX177</f>
        <v>0</v>
      </c>
      <c r="BD177" s="45">
        <f>J177/(100-BE177)*100</f>
        <v>0</v>
      </c>
      <c r="BE177" s="45">
        <v>0</v>
      </c>
      <c r="BF177" s="45">
        <f>177</f>
        <v>177</v>
      </c>
      <c r="BH177" s="27">
        <f>I177*AO177</f>
        <v>0</v>
      </c>
      <c r="BI177" s="27">
        <f>I177*AP177</f>
        <v>0</v>
      </c>
      <c r="BJ177" s="27">
        <f>I177*J177</f>
        <v>0</v>
      </c>
      <c r="BK177" s="27" t="s">
        <v>1146</v>
      </c>
      <c r="BL177" s="45">
        <v>41</v>
      </c>
    </row>
    <row r="178" spans="1:64" x14ac:dyDescent="0.2">
      <c r="A178" s="6"/>
      <c r="C178" s="21" t="s">
        <v>310</v>
      </c>
      <c r="D178" s="245" t="s">
        <v>704</v>
      </c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7"/>
      <c r="P178" s="6"/>
    </row>
    <row r="179" spans="1:64" x14ac:dyDescent="0.2">
      <c r="A179" s="4"/>
      <c r="B179" s="15" t="s">
        <v>305</v>
      </c>
      <c r="C179" s="15" t="s">
        <v>49</v>
      </c>
      <c r="D179" s="237" t="s">
        <v>741</v>
      </c>
      <c r="E179" s="238"/>
      <c r="F179" s="238"/>
      <c r="G179" s="238"/>
      <c r="H179" s="24" t="s">
        <v>6</v>
      </c>
      <c r="I179" s="24" t="s">
        <v>6</v>
      </c>
      <c r="J179" s="24" t="s">
        <v>6</v>
      </c>
      <c r="K179" s="51">
        <f>SUM(K180:K187)</f>
        <v>0</v>
      </c>
      <c r="L179" s="51">
        <f>SUM(L180:L187)</f>
        <v>0</v>
      </c>
      <c r="M179" s="51">
        <f>SUM(M180:M187)</f>
        <v>0</v>
      </c>
      <c r="N179" s="55">
        <f>IF(M623=0,0,M179/M623)</f>
        <v>0</v>
      </c>
      <c r="O179" s="38"/>
      <c r="P179" s="6"/>
      <c r="AI179" s="44" t="s">
        <v>305</v>
      </c>
      <c r="AS179" s="51">
        <f>SUM(AJ180:AJ187)</f>
        <v>0</v>
      </c>
      <c r="AT179" s="51">
        <f>SUM(AK180:AK187)</f>
        <v>0</v>
      </c>
      <c r="AU179" s="51">
        <f>SUM(AL180:AL187)</f>
        <v>0</v>
      </c>
    </row>
    <row r="180" spans="1:64" x14ac:dyDescent="0.2">
      <c r="A180" s="5" t="s">
        <v>90</v>
      </c>
      <c r="B180" s="16" t="s">
        <v>305</v>
      </c>
      <c r="C180" s="16" t="s">
        <v>393</v>
      </c>
      <c r="D180" s="243" t="s">
        <v>742</v>
      </c>
      <c r="E180" s="244"/>
      <c r="F180" s="244"/>
      <c r="G180" s="244"/>
      <c r="H180" s="16" t="s">
        <v>1041</v>
      </c>
      <c r="I180" s="27">
        <v>2.65</v>
      </c>
      <c r="J180" s="149"/>
      <c r="K180" s="27">
        <f>I180*AO180</f>
        <v>0</v>
      </c>
      <c r="L180" s="27">
        <f>I180*AP180</f>
        <v>0</v>
      </c>
      <c r="M180" s="27">
        <f>I180*J180</f>
        <v>0</v>
      </c>
      <c r="N180" s="56">
        <f>IF(M623=0,0,M180/M623)</f>
        <v>0</v>
      </c>
      <c r="O180" s="39" t="s">
        <v>1068</v>
      </c>
      <c r="P180" s="6"/>
      <c r="Z180" s="45">
        <f>IF(AQ180="5",BJ180,0)</f>
        <v>0</v>
      </c>
      <c r="AB180" s="45">
        <f>IF(AQ180="1",BH180,0)</f>
        <v>0</v>
      </c>
      <c r="AC180" s="45">
        <f>IF(AQ180="1",BI180,0)</f>
        <v>0</v>
      </c>
      <c r="AD180" s="45">
        <f>IF(AQ180="7",BH180,0)</f>
        <v>0</v>
      </c>
      <c r="AE180" s="45">
        <f>IF(AQ180="7",BI180,0)</f>
        <v>0</v>
      </c>
      <c r="AF180" s="45">
        <f>IF(AQ180="2",BH180,0)</f>
        <v>0</v>
      </c>
      <c r="AG180" s="45">
        <f>IF(AQ180="2",BI180,0)</f>
        <v>0</v>
      </c>
      <c r="AH180" s="45">
        <f>IF(AQ180="0",BJ180,0)</f>
        <v>0</v>
      </c>
      <c r="AI180" s="44" t="s">
        <v>305</v>
      </c>
      <c r="AJ180" s="27">
        <f>IF(AN180=0,M180,0)</f>
        <v>0</v>
      </c>
      <c r="AK180" s="27">
        <f>IF(AN180=15,M180,0)</f>
        <v>0</v>
      </c>
      <c r="AL180" s="27">
        <f>IF(AN180=21,M180,0)</f>
        <v>0</v>
      </c>
      <c r="AN180" s="45">
        <v>15</v>
      </c>
      <c r="AO180" s="45">
        <f>J180*0.598243032329989</f>
        <v>0</v>
      </c>
      <c r="AP180" s="45">
        <f>J180*(1-0.598243032329989)</f>
        <v>0</v>
      </c>
      <c r="AQ180" s="46" t="s">
        <v>7</v>
      </c>
      <c r="AV180" s="45">
        <f>AW180+AX180</f>
        <v>0</v>
      </c>
      <c r="AW180" s="45">
        <f>I180*AO180</f>
        <v>0</v>
      </c>
      <c r="AX180" s="45">
        <f>I180*AP180</f>
        <v>0</v>
      </c>
      <c r="AY180" s="48" t="s">
        <v>1088</v>
      </c>
      <c r="AZ180" s="48" t="s">
        <v>1121</v>
      </c>
      <c r="BA180" s="44" t="s">
        <v>1139</v>
      </c>
      <c r="BC180" s="45">
        <f>AW180+AX180</f>
        <v>0</v>
      </c>
      <c r="BD180" s="45">
        <f>J180/(100-BE180)*100</f>
        <v>0</v>
      </c>
      <c r="BE180" s="45">
        <v>0</v>
      </c>
      <c r="BF180" s="45">
        <f>180</f>
        <v>180</v>
      </c>
      <c r="BH180" s="27">
        <f>I180*AO180</f>
        <v>0</v>
      </c>
      <c r="BI180" s="27">
        <f>I180*AP180</f>
        <v>0</v>
      </c>
      <c r="BJ180" s="27">
        <f>I180*J180</f>
        <v>0</v>
      </c>
      <c r="BK180" s="27" t="s">
        <v>1146</v>
      </c>
      <c r="BL180" s="45">
        <v>43</v>
      </c>
    </row>
    <row r="181" spans="1:64" x14ac:dyDescent="0.2">
      <c r="A181" s="6"/>
      <c r="C181" s="21" t="s">
        <v>310</v>
      </c>
      <c r="D181" s="245" t="s">
        <v>676</v>
      </c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7"/>
      <c r="P181" s="6"/>
    </row>
    <row r="182" spans="1:64" x14ac:dyDescent="0.2">
      <c r="A182" s="5" t="s">
        <v>91</v>
      </c>
      <c r="B182" s="16" t="s">
        <v>305</v>
      </c>
      <c r="C182" s="16" t="s">
        <v>394</v>
      </c>
      <c r="D182" s="243" t="s">
        <v>743</v>
      </c>
      <c r="E182" s="244"/>
      <c r="F182" s="244"/>
      <c r="G182" s="244"/>
      <c r="H182" s="16" t="s">
        <v>1043</v>
      </c>
      <c r="I182" s="27">
        <v>0.24</v>
      </c>
      <c r="J182" s="149"/>
      <c r="K182" s="27">
        <f>I182*AO182</f>
        <v>0</v>
      </c>
      <c r="L182" s="27">
        <f>I182*AP182</f>
        <v>0</v>
      </c>
      <c r="M182" s="27">
        <f>I182*J182</f>
        <v>0</v>
      </c>
      <c r="N182" s="56">
        <f>IF(M623=0,0,M182/M623)</f>
        <v>0</v>
      </c>
      <c r="O182" s="39" t="s">
        <v>1068</v>
      </c>
      <c r="P182" s="6"/>
      <c r="Z182" s="45">
        <f>IF(AQ182="5",BJ182,0)</f>
        <v>0</v>
      </c>
      <c r="AB182" s="45">
        <f>IF(AQ182="1",BH182,0)</f>
        <v>0</v>
      </c>
      <c r="AC182" s="45">
        <f>IF(AQ182="1",BI182,0)</f>
        <v>0</v>
      </c>
      <c r="AD182" s="45">
        <f>IF(AQ182="7",BH182,0)</f>
        <v>0</v>
      </c>
      <c r="AE182" s="45">
        <f>IF(AQ182="7",BI182,0)</f>
        <v>0</v>
      </c>
      <c r="AF182" s="45">
        <f>IF(AQ182="2",BH182,0)</f>
        <v>0</v>
      </c>
      <c r="AG182" s="45">
        <f>IF(AQ182="2",BI182,0)</f>
        <v>0</v>
      </c>
      <c r="AH182" s="45">
        <f>IF(AQ182="0",BJ182,0)</f>
        <v>0</v>
      </c>
      <c r="AI182" s="44" t="s">
        <v>305</v>
      </c>
      <c r="AJ182" s="27">
        <f>IF(AN182=0,M182,0)</f>
        <v>0</v>
      </c>
      <c r="AK182" s="27">
        <f>IF(AN182=15,M182,0)</f>
        <v>0</v>
      </c>
      <c r="AL182" s="27">
        <f>IF(AN182=21,M182,0)</f>
        <v>0</v>
      </c>
      <c r="AN182" s="45">
        <v>15</v>
      </c>
      <c r="AO182" s="45">
        <f>J182*0.573470866360729</f>
        <v>0</v>
      </c>
      <c r="AP182" s="45">
        <f>J182*(1-0.573470866360729)</f>
        <v>0</v>
      </c>
      <c r="AQ182" s="46" t="s">
        <v>7</v>
      </c>
      <c r="AV182" s="45">
        <f>AW182+AX182</f>
        <v>0</v>
      </c>
      <c r="AW182" s="45">
        <f>I182*AO182</f>
        <v>0</v>
      </c>
      <c r="AX182" s="45">
        <f>I182*AP182</f>
        <v>0</v>
      </c>
      <c r="AY182" s="48" t="s">
        <v>1088</v>
      </c>
      <c r="AZ182" s="48" t="s">
        <v>1121</v>
      </c>
      <c r="BA182" s="44" t="s">
        <v>1139</v>
      </c>
      <c r="BC182" s="45">
        <f>AW182+AX182</f>
        <v>0</v>
      </c>
      <c r="BD182" s="45">
        <f>J182/(100-BE182)*100</f>
        <v>0</v>
      </c>
      <c r="BE182" s="45">
        <v>0</v>
      </c>
      <c r="BF182" s="45">
        <f>182</f>
        <v>182</v>
      </c>
      <c r="BH182" s="27">
        <f>I182*AO182</f>
        <v>0</v>
      </c>
      <c r="BI182" s="27">
        <f>I182*AP182</f>
        <v>0</v>
      </c>
      <c r="BJ182" s="27">
        <f>I182*J182</f>
        <v>0</v>
      </c>
      <c r="BK182" s="27" t="s">
        <v>1146</v>
      </c>
      <c r="BL182" s="45">
        <v>43</v>
      </c>
    </row>
    <row r="183" spans="1:64" x14ac:dyDescent="0.2">
      <c r="A183" s="6"/>
      <c r="C183" s="20" t="s">
        <v>302</v>
      </c>
      <c r="D183" s="248" t="s">
        <v>669</v>
      </c>
      <c r="E183" s="249"/>
      <c r="F183" s="249"/>
      <c r="G183" s="249"/>
      <c r="H183" s="249"/>
      <c r="I183" s="249"/>
      <c r="J183" s="249"/>
      <c r="K183" s="249"/>
      <c r="L183" s="249"/>
      <c r="M183" s="249"/>
      <c r="N183" s="249"/>
      <c r="O183" s="250"/>
      <c r="P183" s="6"/>
    </row>
    <row r="184" spans="1:64" x14ac:dyDescent="0.2">
      <c r="A184" s="5" t="s">
        <v>92</v>
      </c>
      <c r="B184" s="16" t="s">
        <v>305</v>
      </c>
      <c r="C184" s="16" t="s">
        <v>395</v>
      </c>
      <c r="D184" s="243" t="s">
        <v>744</v>
      </c>
      <c r="E184" s="244"/>
      <c r="F184" s="244"/>
      <c r="G184" s="244"/>
      <c r="H184" s="16" t="s">
        <v>1042</v>
      </c>
      <c r="I184" s="27">
        <v>15.19</v>
      </c>
      <c r="J184" s="149"/>
      <c r="K184" s="27">
        <f>I184*AO184</f>
        <v>0</v>
      </c>
      <c r="L184" s="27">
        <f>I184*AP184</f>
        <v>0</v>
      </c>
      <c r="M184" s="27">
        <f>I184*J184</f>
        <v>0</v>
      </c>
      <c r="N184" s="56">
        <f>IF(M623=0,0,M184/M623)</f>
        <v>0</v>
      </c>
      <c r="O184" s="39" t="s">
        <v>1068</v>
      </c>
      <c r="P184" s="6"/>
      <c r="Z184" s="45">
        <f>IF(AQ184="5",BJ184,0)</f>
        <v>0</v>
      </c>
      <c r="AB184" s="45">
        <f>IF(AQ184="1",BH184,0)</f>
        <v>0</v>
      </c>
      <c r="AC184" s="45">
        <f>IF(AQ184="1",BI184,0)</f>
        <v>0</v>
      </c>
      <c r="AD184" s="45">
        <f>IF(AQ184="7",BH184,0)</f>
        <v>0</v>
      </c>
      <c r="AE184" s="45">
        <f>IF(AQ184="7",BI184,0)</f>
        <v>0</v>
      </c>
      <c r="AF184" s="45">
        <f>IF(AQ184="2",BH184,0)</f>
        <v>0</v>
      </c>
      <c r="AG184" s="45">
        <f>IF(AQ184="2",BI184,0)</f>
        <v>0</v>
      </c>
      <c r="AH184" s="45">
        <f>IF(AQ184="0",BJ184,0)</f>
        <v>0</v>
      </c>
      <c r="AI184" s="44" t="s">
        <v>305</v>
      </c>
      <c r="AJ184" s="27">
        <f>IF(AN184=0,M184,0)</f>
        <v>0</v>
      </c>
      <c r="AK184" s="27">
        <f>IF(AN184=15,M184,0)</f>
        <v>0</v>
      </c>
      <c r="AL184" s="27">
        <f>IF(AN184=21,M184,0)</f>
        <v>0</v>
      </c>
      <c r="AN184" s="45">
        <v>15</v>
      </c>
      <c r="AO184" s="45">
        <f>J184*0.468848648648649</f>
        <v>0</v>
      </c>
      <c r="AP184" s="45">
        <f>J184*(1-0.468848648648649)</f>
        <v>0</v>
      </c>
      <c r="AQ184" s="46" t="s">
        <v>7</v>
      </c>
      <c r="AV184" s="45">
        <f>AW184+AX184</f>
        <v>0</v>
      </c>
      <c r="AW184" s="45">
        <f>I184*AO184</f>
        <v>0</v>
      </c>
      <c r="AX184" s="45">
        <f>I184*AP184</f>
        <v>0</v>
      </c>
      <c r="AY184" s="48" t="s">
        <v>1088</v>
      </c>
      <c r="AZ184" s="48" t="s">
        <v>1121</v>
      </c>
      <c r="BA184" s="44" t="s">
        <v>1139</v>
      </c>
      <c r="BC184" s="45">
        <f>AW184+AX184</f>
        <v>0</v>
      </c>
      <c r="BD184" s="45">
        <f>J184/(100-BE184)*100</f>
        <v>0</v>
      </c>
      <c r="BE184" s="45">
        <v>0</v>
      </c>
      <c r="BF184" s="45">
        <f>184</f>
        <v>184</v>
      </c>
      <c r="BH184" s="27">
        <f>I184*AO184</f>
        <v>0</v>
      </c>
      <c r="BI184" s="27">
        <f>I184*AP184</f>
        <v>0</v>
      </c>
      <c r="BJ184" s="27">
        <f>I184*J184</f>
        <v>0</v>
      </c>
      <c r="BK184" s="27" t="s">
        <v>1146</v>
      </c>
      <c r="BL184" s="45">
        <v>43</v>
      </c>
    </row>
    <row r="185" spans="1:64" x14ac:dyDescent="0.2">
      <c r="A185" s="6"/>
      <c r="C185" s="21" t="s">
        <v>310</v>
      </c>
      <c r="D185" s="245" t="s">
        <v>676</v>
      </c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7"/>
      <c r="P185" s="6"/>
    </row>
    <row r="186" spans="1:64" x14ac:dyDescent="0.2">
      <c r="A186" s="5" t="s">
        <v>93</v>
      </c>
      <c r="B186" s="16" t="s">
        <v>305</v>
      </c>
      <c r="C186" s="16" t="s">
        <v>396</v>
      </c>
      <c r="D186" s="243" t="s">
        <v>745</v>
      </c>
      <c r="E186" s="244"/>
      <c r="F186" s="244"/>
      <c r="G186" s="244"/>
      <c r="H186" s="16" t="s">
        <v>1042</v>
      </c>
      <c r="I186" s="27">
        <v>15.19</v>
      </c>
      <c r="J186" s="149"/>
      <c r="K186" s="27">
        <f>I186*AO186</f>
        <v>0</v>
      </c>
      <c r="L186" s="27">
        <f>I186*AP186</f>
        <v>0</v>
      </c>
      <c r="M186" s="27">
        <f>I186*J186</f>
        <v>0</v>
      </c>
      <c r="N186" s="56">
        <f>IF(M623=0,0,M186/M623)</f>
        <v>0</v>
      </c>
      <c r="O186" s="39" t="s">
        <v>1068</v>
      </c>
      <c r="P186" s="6"/>
      <c r="Z186" s="45">
        <f>IF(AQ186="5",BJ186,0)</f>
        <v>0</v>
      </c>
      <c r="AB186" s="45">
        <f>IF(AQ186="1",BH186,0)</f>
        <v>0</v>
      </c>
      <c r="AC186" s="45">
        <f>IF(AQ186="1",BI186,0)</f>
        <v>0</v>
      </c>
      <c r="AD186" s="45">
        <f>IF(AQ186="7",BH186,0)</f>
        <v>0</v>
      </c>
      <c r="AE186" s="45">
        <f>IF(AQ186="7",BI186,0)</f>
        <v>0</v>
      </c>
      <c r="AF186" s="45">
        <f>IF(AQ186="2",BH186,0)</f>
        <v>0</v>
      </c>
      <c r="AG186" s="45">
        <f>IF(AQ186="2",BI186,0)</f>
        <v>0</v>
      </c>
      <c r="AH186" s="45">
        <f>IF(AQ186="0",BJ186,0)</f>
        <v>0</v>
      </c>
      <c r="AI186" s="44" t="s">
        <v>305</v>
      </c>
      <c r="AJ186" s="27">
        <f>IF(AN186=0,M186,0)</f>
        <v>0</v>
      </c>
      <c r="AK186" s="27">
        <f>IF(AN186=15,M186,0)</f>
        <v>0</v>
      </c>
      <c r="AL186" s="27">
        <f>IF(AN186=21,M186,0)</f>
        <v>0</v>
      </c>
      <c r="AN186" s="45">
        <v>15</v>
      </c>
      <c r="AO186" s="45">
        <f>J186*0</f>
        <v>0</v>
      </c>
      <c r="AP186" s="45">
        <f>J186*(1-0)</f>
        <v>0</v>
      </c>
      <c r="AQ186" s="46" t="s">
        <v>7</v>
      </c>
      <c r="AV186" s="45">
        <f>AW186+AX186</f>
        <v>0</v>
      </c>
      <c r="AW186" s="45">
        <f>I186*AO186</f>
        <v>0</v>
      </c>
      <c r="AX186" s="45">
        <f>I186*AP186</f>
        <v>0</v>
      </c>
      <c r="AY186" s="48" t="s">
        <v>1088</v>
      </c>
      <c r="AZ186" s="48" t="s">
        <v>1121</v>
      </c>
      <c r="BA186" s="44" t="s">
        <v>1139</v>
      </c>
      <c r="BC186" s="45">
        <f>AW186+AX186</f>
        <v>0</v>
      </c>
      <c r="BD186" s="45">
        <f>J186/(100-BE186)*100</f>
        <v>0</v>
      </c>
      <c r="BE186" s="45">
        <v>0</v>
      </c>
      <c r="BF186" s="45">
        <f>186</f>
        <v>186</v>
      </c>
      <c r="BH186" s="27">
        <f>I186*AO186</f>
        <v>0</v>
      </c>
      <c r="BI186" s="27">
        <f>I186*AP186</f>
        <v>0</v>
      </c>
      <c r="BJ186" s="27">
        <f>I186*J186</f>
        <v>0</v>
      </c>
      <c r="BK186" s="27" t="s">
        <v>1146</v>
      </c>
      <c r="BL186" s="45">
        <v>43</v>
      </c>
    </row>
    <row r="187" spans="1:64" x14ac:dyDescent="0.2">
      <c r="A187" s="5" t="s">
        <v>94</v>
      </c>
      <c r="B187" s="16" t="s">
        <v>305</v>
      </c>
      <c r="C187" s="16" t="s">
        <v>397</v>
      </c>
      <c r="D187" s="243" t="s">
        <v>746</v>
      </c>
      <c r="E187" s="244"/>
      <c r="F187" s="244"/>
      <c r="G187" s="244"/>
      <c r="H187" s="16" t="s">
        <v>1046</v>
      </c>
      <c r="I187" s="27">
        <v>1.51</v>
      </c>
      <c r="J187" s="149"/>
      <c r="K187" s="27">
        <f>I187*AO187</f>
        <v>0</v>
      </c>
      <c r="L187" s="27">
        <f>I187*AP187</f>
        <v>0</v>
      </c>
      <c r="M187" s="27">
        <f>I187*J187</f>
        <v>0</v>
      </c>
      <c r="N187" s="56">
        <f>IF(M623=0,0,M187/M623)</f>
        <v>0</v>
      </c>
      <c r="O187" s="39" t="s">
        <v>1068</v>
      </c>
      <c r="P187" s="6"/>
      <c r="Z187" s="45">
        <f>IF(AQ187="5",BJ187,0)</f>
        <v>0</v>
      </c>
      <c r="AB187" s="45">
        <f>IF(AQ187="1",BH187,0)</f>
        <v>0</v>
      </c>
      <c r="AC187" s="45">
        <f>IF(AQ187="1",BI187,0)</f>
        <v>0</v>
      </c>
      <c r="AD187" s="45">
        <f>IF(AQ187="7",BH187,0)</f>
        <v>0</v>
      </c>
      <c r="AE187" s="45">
        <f>IF(AQ187="7",BI187,0)</f>
        <v>0</v>
      </c>
      <c r="AF187" s="45">
        <f>IF(AQ187="2",BH187,0)</f>
        <v>0</v>
      </c>
      <c r="AG187" s="45">
        <f>IF(AQ187="2",BI187,0)</f>
        <v>0</v>
      </c>
      <c r="AH187" s="45">
        <f>IF(AQ187="0",BJ187,0)</f>
        <v>0</v>
      </c>
      <c r="AI187" s="44" t="s">
        <v>305</v>
      </c>
      <c r="AJ187" s="27">
        <f>IF(AN187=0,M187,0)</f>
        <v>0</v>
      </c>
      <c r="AK187" s="27">
        <f>IF(AN187=15,M187,0)</f>
        <v>0</v>
      </c>
      <c r="AL187" s="27">
        <f>IF(AN187=21,M187,0)</f>
        <v>0</v>
      </c>
      <c r="AN187" s="45">
        <v>15</v>
      </c>
      <c r="AO187" s="45">
        <f>J187*0.57152701060466</f>
        <v>0</v>
      </c>
      <c r="AP187" s="45">
        <f>J187*(1-0.57152701060466)</f>
        <v>0</v>
      </c>
      <c r="AQ187" s="46" t="s">
        <v>7</v>
      </c>
      <c r="AV187" s="45">
        <f>AW187+AX187</f>
        <v>0</v>
      </c>
      <c r="AW187" s="45">
        <f>I187*AO187</f>
        <v>0</v>
      </c>
      <c r="AX187" s="45">
        <f>I187*AP187</f>
        <v>0</v>
      </c>
      <c r="AY187" s="48" t="s">
        <v>1088</v>
      </c>
      <c r="AZ187" s="48" t="s">
        <v>1121</v>
      </c>
      <c r="BA187" s="44" t="s">
        <v>1139</v>
      </c>
      <c r="BC187" s="45">
        <f>AW187+AX187</f>
        <v>0</v>
      </c>
      <c r="BD187" s="45">
        <f>J187/(100-BE187)*100</f>
        <v>0</v>
      </c>
      <c r="BE187" s="45">
        <v>0</v>
      </c>
      <c r="BF187" s="45">
        <f>187</f>
        <v>187</v>
      </c>
      <c r="BH187" s="27">
        <f>I187*AO187</f>
        <v>0</v>
      </c>
      <c r="BI187" s="27">
        <f>I187*AP187</f>
        <v>0</v>
      </c>
      <c r="BJ187" s="27">
        <f>I187*J187</f>
        <v>0</v>
      </c>
      <c r="BK187" s="27" t="s">
        <v>1146</v>
      </c>
      <c r="BL187" s="45">
        <v>43</v>
      </c>
    </row>
    <row r="188" spans="1:64" x14ac:dyDescent="0.2">
      <c r="A188" s="6"/>
      <c r="C188" s="20" t="s">
        <v>302</v>
      </c>
      <c r="D188" s="248" t="s">
        <v>747</v>
      </c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250"/>
      <c r="P188" s="6"/>
    </row>
    <row r="189" spans="1:64" x14ac:dyDescent="0.2">
      <c r="A189" s="6"/>
      <c r="C189" s="21" t="s">
        <v>310</v>
      </c>
      <c r="D189" s="245" t="s">
        <v>748</v>
      </c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7"/>
      <c r="P189" s="6"/>
    </row>
    <row r="190" spans="1:64" x14ac:dyDescent="0.2">
      <c r="A190" s="4"/>
      <c r="B190" s="15" t="s">
        <v>305</v>
      </c>
      <c r="C190" s="15" t="s">
        <v>66</v>
      </c>
      <c r="D190" s="237" t="s">
        <v>749</v>
      </c>
      <c r="E190" s="238"/>
      <c r="F190" s="238"/>
      <c r="G190" s="238"/>
      <c r="H190" s="24" t="s">
        <v>6</v>
      </c>
      <c r="I190" s="24" t="s">
        <v>6</v>
      </c>
      <c r="J190" s="24" t="s">
        <v>6</v>
      </c>
      <c r="K190" s="51">
        <f>SUM(K191:K191)</f>
        <v>0</v>
      </c>
      <c r="L190" s="51">
        <f>SUM(L191:L191)</f>
        <v>0</v>
      </c>
      <c r="M190" s="51">
        <f>SUM(M191:M191)</f>
        <v>0</v>
      </c>
      <c r="N190" s="55">
        <f>IF(M623=0,0,M190/M623)</f>
        <v>0</v>
      </c>
      <c r="O190" s="38"/>
      <c r="P190" s="6"/>
      <c r="AI190" s="44" t="s">
        <v>305</v>
      </c>
      <c r="AS190" s="51">
        <f>SUM(AJ191:AJ191)</f>
        <v>0</v>
      </c>
      <c r="AT190" s="51">
        <f>SUM(AK191:AK191)</f>
        <v>0</v>
      </c>
      <c r="AU190" s="51">
        <f>SUM(AL191:AL191)</f>
        <v>0</v>
      </c>
    </row>
    <row r="191" spans="1:64" x14ac:dyDescent="0.2">
      <c r="A191" s="5" t="s">
        <v>95</v>
      </c>
      <c r="B191" s="16" t="s">
        <v>305</v>
      </c>
      <c r="C191" s="16" t="s">
        <v>398</v>
      </c>
      <c r="D191" s="243" t="s">
        <v>750</v>
      </c>
      <c r="E191" s="244"/>
      <c r="F191" s="244"/>
      <c r="G191" s="244"/>
      <c r="H191" s="16" t="s">
        <v>1042</v>
      </c>
      <c r="I191" s="27">
        <v>256.18</v>
      </c>
      <c r="J191" s="149"/>
      <c r="K191" s="27">
        <f>I191*AO191</f>
        <v>0</v>
      </c>
      <c r="L191" s="27">
        <f>I191*AP191</f>
        <v>0</v>
      </c>
      <c r="M191" s="27">
        <f>I191*J191</f>
        <v>0</v>
      </c>
      <c r="N191" s="56">
        <f>IF(M623=0,0,M191/M623)</f>
        <v>0</v>
      </c>
      <c r="O191" s="39" t="s">
        <v>1068</v>
      </c>
      <c r="P191" s="6"/>
      <c r="Z191" s="45">
        <f>IF(AQ191="5",BJ191,0)</f>
        <v>0</v>
      </c>
      <c r="AB191" s="45">
        <f>IF(AQ191="1",BH191,0)</f>
        <v>0</v>
      </c>
      <c r="AC191" s="45">
        <f>IF(AQ191="1",BI191,0)</f>
        <v>0</v>
      </c>
      <c r="AD191" s="45">
        <f>IF(AQ191="7",BH191,0)</f>
        <v>0</v>
      </c>
      <c r="AE191" s="45">
        <f>IF(AQ191="7",BI191,0)</f>
        <v>0</v>
      </c>
      <c r="AF191" s="45">
        <f>IF(AQ191="2",BH191,0)</f>
        <v>0</v>
      </c>
      <c r="AG191" s="45">
        <f>IF(AQ191="2",BI191,0)</f>
        <v>0</v>
      </c>
      <c r="AH191" s="45">
        <f>IF(AQ191="0",BJ191,0)</f>
        <v>0</v>
      </c>
      <c r="AI191" s="44" t="s">
        <v>305</v>
      </c>
      <c r="AJ191" s="27">
        <f>IF(AN191=0,M191,0)</f>
        <v>0</v>
      </c>
      <c r="AK191" s="27">
        <f>IF(AN191=15,M191,0)</f>
        <v>0</v>
      </c>
      <c r="AL191" s="27">
        <f>IF(AN191=21,M191,0)</f>
        <v>0</v>
      </c>
      <c r="AN191" s="45">
        <v>15</v>
      </c>
      <c r="AO191" s="45">
        <f>J191*0.364404353326629</f>
        <v>0</v>
      </c>
      <c r="AP191" s="45">
        <f>J191*(1-0.364404353326629)</f>
        <v>0</v>
      </c>
      <c r="AQ191" s="46" t="s">
        <v>7</v>
      </c>
      <c r="AV191" s="45">
        <f>AW191+AX191</f>
        <v>0</v>
      </c>
      <c r="AW191" s="45">
        <f>I191*AO191</f>
        <v>0</v>
      </c>
      <c r="AX191" s="45">
        <f>I191*AP191</f>
        <v>0</v>
      </c>
      <c r="AY191" s="48" t="s">
        <v>1089</v>
      </c>
      <c r="AZ191" s="48" t="s">
        <v>1122</v>
      </c>
      <c r="BA191" s="44" t="s">
        <v>1139</v>
      </c>
      <c r="BC191" s="45">
        <f>AW191+AX191</f>
        <v>0</v>
      </c>
      <c r="BD191" s="45">
        <f>J191/(100-BE191)*100</f>
        <v>0</v>
      </c>
      <c r="BE191" s="45">
        <v>0</v>
      </c>
      <c r="BF191" s="45">
        <f>191</f>
        <v>191</v>
      </c>
      <c r="BH191" s="27">
        <f>I191*AO191</f>
        <v>0</v>
      </c>
      <c r="BI191" s="27">
        <f>I191*AP191</f>
        <v>0</v>
      </c>
      <c r="BJ191" s="27">
        <f>I191*J191</f>
        <v>0</v>
      </c>
      <c r="BK191" s="27" t="s">
        <v>1146</v>
      </c>
      <c r="BL191" s="45">
        <v>60</v>
      </c>
    </row>
    <row r="192" spans="1:64" x14ac:dyDescent="0.2">
      <c r="A192" s="4"/>
      <c r="B192" s="15" t="s">
        <v>305</v>
      </c>
      <c r="C192" s="15" t="s">
        <v>67</v>
      </c>
      <c r="D192" s="237" t="s">
        <v>751</v>
      </c>
      <c r="E192" s="238"/>
      <c r="F192" s="238"/>
      <c r="G192" s="238"/>
      <c r="H192" s="24" t="s">
        <v>6</v>
      </c>
      <c r="I192" s="24" t="s">
        <v>6</v>
      </c>
      <c r="J192" s="24" t="s">
        <v>6</v>
      </c>
      <c r="K192" s="51">
        <f>SUM(K193:K195)</f>
        <v>0</v>
      </c>
      <c r="L192" s="51">
        <f>SUM(L193:L195)</f>
        <v>0</v>
      </c>
      <c r="M192" s="51">
        <f>SUM(M193:M195)</f>
        <v>0</v>
      </c>
      <c r="N192" s="55">
        <f>IF(M623=0,0,M192/M623)</f>
        <v>0</v>
      </c>
      <c r="O192" s="38"/>
      <c r="P192" s="6"/>
      <c r="AI192" s="44" t="s">
        <v>305</v>
      </c>
      <c r="AS192" s="51">
        <f>SUM(AJ193:AJ195)</f>
        <v>0</v>
      </c>
      <c r="AT192" s="51">
        <f>SUM(AK193:AK195)</f>
        <v>0</v>
      </c>
      <c r="AU192" s="51">
        <f>SUM(AL193:AL195)</f>
        <v>0</v>
      </c>
    </row>
    <row r="193" spans="1:64" x14ac:dyDescent="0.2">
      <c r="A193" s="5" t="s">
        <v>96</v>
      </c>
      <c r="B193" s="16" t="s">
        <v>305</v>
      </c>
      <c r="C193" s="16" t="s">
        <v>399</v>
      </c>
      <c r="D193" s="243" t="s">
        <v>752</v>
      </c>
      <c r="E193" s="244"/>
      <c r="F193" s="244"/>
      <c r="G193" s="244"/>
      <c r="H193" s="16" t="s">
        <v>1042</v>
      </c>
      <c r="I193" s="27">
        <v>91.14</v>
      </c>
      <c r="J193" s="149"/>
      <c r="K193" s="27">
        <f>I193*AO193</f>
        <v>0</v>
      </c>
      <c r="L193" s="27">
        <f>I193*AP193</f>
        <v>0</v>
      </c>
      <c r="M193" s="27">
        <f>I193*J193</f>
        <v>0</v>
      </c>
      <c r="N193" s="56">
        <f>IF(M623=0,0,M193/M623)</f>
        <v>0</v>
      </c>
      <c r="O193" s="39" t="s">
        <v>1068</v>
      </c>
      <c r="P193" s="6"/>
      <c r="Z193" s="45">
        <f>IF(AQ193="5",BJ193,0)</f>
        <v>0</v>
      </c>
      <c r="AB193" s="45">
        <f>IF(AQ193="1",BH193,0)</f>
        <v>0</v>
      </c>
      <c r="AC193" s="45">
        <f>IF(AQ193="1",BI193,0)</f>
        <v>0</v>
      </c>
      <c r="AD193" s="45">
        <f>IF(AQ193="7",BH193,0)</f>
        <v>0</v>
      </c>
      <c r="AE193" s="45">
        <f>IF(AQ193="7",BI193,0)</f>
        <v>0</v>
      </c>
      <c r="AF193" s="45">
        <f>IF(AQ193="2",BH193,0)</f>
        <v>0</v>
      </c>
      <c r="AG193" s="45">
        <f>IF(AQ193="2",BI193,0)</f>
        <v>0</v>
      </c>
      <c r="AH193" s="45">
        <f>IF(AQ193="0",BJ193,0)</f>
        <v>0</v>
      </c>
      <c r="AI193" s="44" t="s">
        <v>305</v>
      </c>
      <c r="AJ193" s="27">
        <f>IF(AN193=0,M193,0)</f>
        <v>0</v>
      </c>
      <c r="AK193" s="27">
        <f>IF(AN193=15,M193,0)</f>
        <v>0</v>
      </c>
      <c r="AL193" s="27">
        <f>IF(AN193=21,M193,0)</f>
        <v>0</v>
      </c>
      <c r="AN193" s="45">
        <v>15</v>
      </c>
      <c r="AO193" s="45">
        <f>J193*0.158764940239044</f>
        <v>0</v>
      </c>
      <c r="AP193" s="45">
        <f>J193*(1-0.158764940239044)</f>
        <v>0</v>
      </c>
      <c r="AQ193" s="46" t="s">
        <v>7</v>
      </c>
      <c r="AV193" s="45">
        <f>AW193+AX193</f>
        <v>0</v>
      </c>
      <c r="AW193" s="45">
        <f>I193*AO193</f>
        <v>0</v>
      </c>
      <c r="AX193" s="45">
        <f>I193*AP193</f>
        <v>0</v>
      </c>
      <c r="AY193" s="48" t="s">
        <v>1090</v>
      </c>
      <c r="AZ193" s="48" t="s">
        <v>1122</v>
      </c>
      <c r="BA193" s="44" t="s">
        <v>1139</v>
      </c>
      <c r="BC193" s="45">
        <f>AW193+AX193</f>
        <v>0</v>
      </c>
      <c r="BD193" s="45">
        <f>J193/(100-BE193)*100</f>
        <v>0</v>
      </c>
      <c r="BE193" s="45">
        <v>0</v>
      </c>
      <c r="BF193" s="45">
        <f>193</f>
        <v>193</v>
      </c>
      <c r="BH193" s="27">
        <f>I193*AO193</f>
        <v>0</v>
      </c>
      <c r="BI193" s="27">
        <f>I193*AP193</f>
        <v>0</v>
      </c>
      <c r="BJ193" s="27">
        <f>I193*J193</f>
        <v>0</v>
      </c>
      <c r="BK193" s="27" t="s">
        <v>1146</v>
      </c>
      <c r="BL193" s="45">
        <v>61</v>
      </c>
    </row>
    <row r="194" spans="1:64" x14ac:dyDescent="0.2">
      <c r="A194" s="6"/>
      <c r="C194" s="21" t="s">
        <v>310</v>
      </c>
      <c r="D194" s="245" t="s">
        <v>753</v>
      </c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7"/>
      <c r="P194" s="6"/>
    </row>
    <row r="195" spans="1:64" x14ac:dyDescent="0.2">
      <c r="A195" s="5" t="s">
        <v>97</v>
      </c>
      <c r="B195" s="16" t="s">
        <v>305</v>
      </c>
      <c r="C195" s="16" t="s">
        <v>400</v>
      </c>
      <c r="D195" s="243" t="s">
        <v>754</v>
      </c>
      <c r="E195" s="244"/>
      <c r="F195" s="244"/>
      <c r="G195" s="244"/>
      <c r="H195" s="16" t="s">
        <v>1042</v>
      </c>
      <c r="I195" s="27">
        <v>334.45</v>
      </c>
      <c r="J195" s="149"/>
      <c r="K195" s="27">
        <f>I195*AO195</f>
        <v>0</v>
      </c>
      <c r="L195" s="27">
        <f>I195*AP195</f>
        <v>0</v>
      </c>
      <c r="M195" s="27">
        <f>I195*J195</f>
        <v>0</v>
      </c>
      <c r="N195" s="56">
        <f>IF(M623=0,0,M195/M623)</f>
        <v>0</v>
      </c>
      <c r="O195" s="39" t="s">
        <v>1068</v>
      </c>
      <c r="P195" s="6"/>
      <c r="Z195" s="45">
        <f>IF(AQ195="5",BJ195,0)</f>
        <v>0</v>
      </c>
      <c r="AB195" s="45">
        <f>IF(AQ195="1",BH195,0)</f>
        <v>0</v>
      </c>
      <c r="AC195" s="45">
        <f>IF(AQ195="1",BI195,0)</f>
        <v>0</v>
      </c>
      <c r="AD195" s="45">
        <f>IF(AQ195="7",BH195,0)</f>
        <v>0</v>
      </c>
      <c r="AE195" s="45">
        <f>IF(AQ195="7",BI195,0)</f>
        <v>0</v>
      </c>
      <c r="AF195" s="45">
        <f>IF(AQ195="2",BH195,0)</f>
        <v>0</v>
      </c>
      <c r="AG195" s="45">
        <f>IF(AQ195="2",BI195,0)</f>
        <v>0</v>
      </c>
      <c r="AH195" s="45">
        <f>IF(AQ195="0",BJ195,0)</f>
        <v>0</v>
      </c>
      <c r="AI195" s="44" t="s">
        <v>305</v>
      </c>
      <c r="AJ195" s="27">
        <f>IF(AN195=0,M195,0)</f>
        <v>0</v>
      </c>
      <c r="AK195" s="27">
        <f>IF(AN195=15,M195,0)</f>
        <v>0</v>
      </c>
      <c r="AL195" s="27">
        <f>IF(AN195=21,M195,0)</f>
        <v>0</v>
      </c>
      <c r="AN195" s="45">
        <v>15</v>
      </c>
      <c r="AO195" s="45">
        <f>J195*0.1050129522839</f>
        <v>0</v>
      </c>
      <c r="AP195" s="45">
        <f>J195*(1-0.1050129522839)</f>
        <v>0</v>
      </c>
      <c r="AQ195" s="46" t="s">
        <v>7</v>
      </c>
      <c r="AV195" s="45">
        <f>AW195+AX195</f>
        <v>0</v>
      </c>
      <c r="AW195" s="45">
        <f>I195*AO195</f>
        <v>0</v>
      </c>
      <c r="AX195" s="45">
        <f>I195*AP195</f>
        <v>0</v>
      </c>
      <c r="AY195" s="48" t="s">
        <v>1090</v>
      </c>
      <c r="AZ195" s="48" t="s">
        <v>1122</v>
      </c>
      <c r="BA195" s="44" t="s">
        <v>1139</v>
      </c>
      <c r="BC195" s="45">
        <f>AW195+AX195</f>
        <v>0</v>
      </c>
      <c r="BD195" s="45">
        <f>J195/(100-BE195)*100</f>
        <v>0</v>
      </c>
      <c r="BE195" s="45">
        <v>0</v>
      </c>
      <c r="BF195" s="45">
        <f>195</f>
        <v>195</v>
      </c>
      <c r="BH195" s="27">
        <f>I195*AO195</f>
        <v>0</v>
      </c>
      <c r="BI195" s="27">
        <f>I195*AP195</f>
        <v>0</v>
      </c>
      <c r="BJ195" s="27">
        <f>I195*J195</f>
        <v>0</v>
      </c>
      <c r="BK195" s="27" t="s">
        <v>1146</v>
      </c>
      <c r="BL195" s="45">
        <v>61</v>
      </c>
    </row>
    <row r="196" spans="1:64" x14ac:dyDescent="0.2">
      <c r="A196" s="6"/>
      <c r="C196" s="21" t="s">
        <v>310</v>
      </c>
      <c r="D196" s="245" t="s">
        <v>753</v>
      </c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7"/>
      <c r="P196" s="6"/>
    </row>
    <row r="197" spans="1:64" x14ac:dyDescent="0.2">
      <c r="A197" s="4"/>
      <c r="B197" s="15" t="s">
        <v>305</v>
      </c>
      <c r="C197" s="15" t="s">
        <v>68</v>
      </c>
      <c r="D197" s="237" t="s">
        <v>755</v>
      </c>
      <c r="E197" s="238"/>
      <c r="F197" s="238"/>
      <c r="G197" s="238"/>
      <c r="H197" s="24" t="s">
        <v>6</v>
      </c>
      <c r="I197" s="24" t="s">
        <v>6</v>
      </c>
      <c r="J197" s="24" t="s">
        <v>6</v>
      </c>
      <c r="K197" s="51">
        <f>SUM(K198:K215)</f>
        <v>0</v>
      </c>
      <c r="L197" s="51">
        <f>SUM(L198:L215)</f>
        <v>0</v>
      </c>
      <c r="M197" s="51">
        <f>SUM(M198:M215)</f>
        <v>0</v>
      </c>
      <c r="N197" s="55">
        <f>IF(M623=0,0,M197/M623)</f>
        <v>0</v>
      </c>
      <c r="O197" s="38"/>
      <c r="P197" s="6"/>
      <c r="AI197" s="44" t="s">
        <v>305</v>
      </c>
      <c r="AS197" s="51">
        <f>SUM(AJ198:AJ215)</f>
        <v>0</v>
      </c>
      <c r="AT197" s="51">
        <f>SUM(AK198:AK215)</f>
        <v>0</v>
      </c>
      <c r="AU197" s="51">
        <f>SUM(AL198:AL215)</f>
        <v>0</v>
      </c>
    </row>
    <row r="198" spans="1:64" x14ac:dyDescent="0.2">
      <c r="A198" s="5" t="s">
        <v>98</v>
      </c>
      <c r="B198" s="16" t="s">
        <v>305</v>
      </c>
      <c r="C198" s="16" t="s">
        <v>401</v>
      </c>
      <c r="D198" s="243" t="s">
        <v>756</v>
      </c>
      <c r="E198" s="244"/>
      <c r="F198" s="244"/>
      <c r="G198" s="244"/>
      <c r="H198" s="16" t="s">
        <v>1042</v>
      </c>
      <c r="I198" s="27">
        <v>1.37</v>
      </c>
      <c r="J198" s="149"/>
      <c r="K198" s="27">
        <f>I198*AO198</f>
        <v>0</v>
      </c>
      <c r="L198" s="27">
        <f>I198*AP198</f>
        <v>0</v>
      </c>
      <c r="M198" s="27">
        <f>I198*J198</f>
        <v>0</v>
      </c>
      <c r="N198" s="56">
        <f>IF(M623=0,0,M198/M623)</f>
        <v>0</v>
      </c>
      <c r="O198" s="39" t="s">
        <v>1068</v>
      </c>
      <c r="P198" s="6"/>
      <c r="Z198" s="45">
        <f>IF(AQ198="5",BJ198,0)</f>
        <v>0</v>
      </c>
      <c r="AB198" s="45">
        <f>IF(AQ198="1",BH198,0)</f>
        <v>0</v>
      </c>
      <c r="AC198" s="45">
        <f>IF(AQ198="1",BI198,0)</f>
        <v>0</v>
      </c>
      <c r="AD198" s="45">
        <f>IF(AQ198="7",BH198,0)</f>
        <v>0</v>
      </c>
      <c r="AE198" s="45">
        <f>IF(AQ198="7",BI198,0)</f>
        <v>0</v>
      </c>
      <c r="AF198" s="45">
        <f>IF(AQ198="2",BH198,0)</f>
        <v>0</v>
      </c>
      <c r="AG198" s="45">
        <f>IF(AQ198="2",BI198,0)</f>
        <v>0</v>
      </c>
      <c r="AH198" s="45">
        <f>IF(AQ198="0",BJ198,0)</f>
        <v>0</v>
      </c>
      <c r="AI198" s="44" t="s">
        <v>305</v>
      </c>
      <c r="AJ198" s="27">
        <f>IF(AN198=0,M198,0)</f>
        <v>0</v>
      </c>
      <c r="AK198" s="27">
        <f>IF(AN198=15,M198,0)</f>
        <v>0</v>
      </c>
      <c r="AL198" s="27">
        <f>IF(AN198=21,M198,0)</f>
        <v>0</v>
      </c>
      <c r="AN198" s="45">
        <v>15</v>
      </c>
      <c r="AO198" s="45">
        <f>J198*0.226437908496732</f>
        <v>0</v>
      </c>
      <c r="AP198" s="45">
        <f>J198*(1-0.226437908496732)</f>
        <v>0</v>
      </c>
      <c r="AQ198" s="46" t="s">
        <v>7</v>
      </c>
      <c r="AV198" s="45">
        <f>AW198+AX198</f>
        <v>0</v>
      </c>
      <c r="AW198" s="45">
        <f>I198*AO198</f>
        <v>0</v>
      </c>
      <c r="AX198" s="45">
        <f>I198*AP198</f>
        <v>0</v>
      </c>
      <c r="AY198" s="48" t="s">
        <v>1091</v>
      </c>
      <c r="AZ198" s="48" t="s">
        <v>1122</v>
      </c>
      <c r="BA198" s="44" t="s">
        <v>1139</v>
      </c>
      <c r="BC198" s="45">
        <f>AW198+AX198</f>
        <v>0</v>
      </c>
      <c r="BD198" s="45">
        <f>J198/(100-BE198)*100</f>
        <v>0</v>
      </c>
      <c r="BE198" s="45">
        <v>0</v>
      </c>
      <c r="BF198" s="45">
        <f>198</f>
        <v>198</v>
      </c>
      <c r="BH198" s="27">
        <f>I198*AO198</f>
        <v>0</v>
      </c>
      <c r="BI198" s="27">
        <f>I198*AP198</f>
        <v>0</v>
      </c>
      <c r="BJ198" s="27">
        <f>I198*J198</f>
        <v>0</v>
      </c>
      <c r="BK198" s="27" t="s">
        <v>1146</v>
      </c>
      <c r="BL198" s="45">
        <v>62</v>
      </c>
    </row>
    <row r="199" spans="1:64" x14ac:dyDescent="0.2">
      <c r="A199" s="6"/>
      <c r="D199" s="251" t="s">
        <v>757</v>
      </c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3"/>
      <c r="P199" s="6"/>
    </row>
    <row r="200" spans="1:64" x14ac:dyDescent="0.2">
      <c r="A200" s="6"/>
      <c r="C200" s="21" t="s">
        <v>310</v>
      </c>
      <c r="D200" s="245" t="s">
        <v>758</v>
      </c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7"/>
      <c r="P200" s="6"/>
    </row>
    <row r="201" spans="1:64" x14ac:dyDescent="0.2">
      <c r="A201" s="5" t="s">
        <v>99</v>
      </c>
      <c r="B201" s="16" t="s">
        <v>305</v>
      </c>
      <c r="C201" s="16" t="s">
        <v>402</v>
      </c>
      <c r="D201" s="243" t="s">
        <v>759</v>
      </c>
      <c r="E201" s="244"/>
      <c r="F201" s="244"/>
      <c r="G201" s="244"/>
      <c r="H201" s="16" t="s">
        <v>1042</v>
      </c>
      <c r="I201" s="27">
        <v>1.37</v>
      </c>
      <c r="J201" s="149"/>
      <c r="K201" s="27">
        <f>I201*AO201</f>
        <v>0</v>
      </c>
      <c r="L201" s="27">
        <f>I201*AP201</f>
        <v>0</v>
      </c>
      <c r="M201" s="27">
        <f>I201*J201</f>
        <v>0</v>
      </c>
      <c r="N201" s="56">
        <f>IF(M623=0,0,M201/M623)</f>
        <v>0</v>
      </c>
      <c r="O201" s="39" t="s">
        <v>1068</v>
      </c>
      <c r="P201" s="6"/>
      <c r="Z201" s="45">
        <f>IF(AQ201="5",BJ201,0)</f>
        <v>0</v>
      </c>
      <c r="AB201" s="45">
        <f>IF(AQ201="1",BH201,0)</f>
        <v>0</v>
      </c>
      <c r="AC201" s="45">
        <f>IF(AQ201="1",BI201,0)</f>
        <v>0</v>
      </c>
      <c r="AD201" s="45">
        <f>IF(AQ201="7",BH201,0)</f>
        <v>0</v>
      </c>
      <c r="AE201" s="45">
        <f>IF(AQ201="7",BI201,0)</f>
        <v>0</v>
      </c>
      <c r="AF201" s="45">
        <f>IF(AQ201="2",BH201,0)</f>
        <v>0</v>
      </c>
      <c r="AG201" s="45">
        <f>IF(AQ201="2",BI201,0)</f>
        <v>0</v>
      </c>
      <c r="AH201" s="45">
        <f>IF(AQ201="0",BJ201,0)</f>
        <v>0</v>
      </c>
      <c r="AI201" s="44" t="s">
        <v>305</v>
      </c>
      <c r="AJ201" s="27">
        <f>IF(AN201=0,M201,0)</f>
        <v>0</v>
      </c>
      <c r="AK201" s="27">
        <f>IF(AN201=15,M201,0)</f>
        <v>0</v>
      </c>
      <c r="AL201" s="27">
        <f>IF(AN201=21,M201,0)</f>
        <v>0</v>
      </c>
      <c r="AN201" s="45">
        <v>15</v>
      </c>
      <c r="AO201" s="45">
        <f>J201*0.379146153846154</f>
        <v>0</v>
      </c>
      <c r="AP201" s="45">
        <f>J201*(1-0.379146153846154)</f>
        <v>0</v>
      </c>
      <c r="AQ201" s="46" t="s">
        <v>7</v>
      </c>
      <c r="AV201" s="45">
        <f>AW201+AX201</f>
        <v>0</v>
      </c>
      <c r="AW201" s="45">
        <f>I201*AO201</f>
        <v>0</v>
      </c>
      <c r="AX201" s="45">
        <f>I201*AP201</f>
        <v>0</v>
      </c>
      <c r="AY201" s="48" t="s">
        <v>1091</v>
      </c>
      <c r="AZ201" s="48" t="s">
        <v>1122</v>
      </c>
      <c r="BA201" s="44" t="s">
        <v>1139</v>
      </c>
      <c r="BC201" s="45">
        <f>AW201+AX201</f>
        <v>0</v>
      </c>
      <c r="BD201" s="45">
        <f>J201/(100-BE201)*100</f>
        <v>0</v>
      </c>
      <c r="BE201" s="45">
        <v>0</v>
      </c>
      <c r="BF201" s="45">
        <f>201</f>
        <v>201</v>
      </c>
      <c r="BH201" s="27">
        <f>I201*AO201</f>
        <v>0</v>
      </c>
      <c r="BI201" s="27">
        <f>I201*AP201</f>
        <v>0</v>
      </c>
      <c r="BJ201" s="27">
        <f>I201*J201</f>
        <v>0</v>
      </c>
      <c r="BK201" s="27" t="s">
        <v>1146</v>
      </c>
      <c r="BL201" s="45">
        <v>62</v>
      </c>
    </row>
    <row r="202" spans="1:64" x14ac:dyDescent="0.2">
      <c r="A202" s="6"/>
      <c r="C202" s="21" t="s">
        <v>310</v>
      </c>
      <c r="D202" s="245" t="s">
        <v>758</v>
      </c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7"/>
      <c r="P202" s="6"/>
    </row>
    <row r="203" spans="1:64" x14ac:dyDescent="0.2">
      <c r="A203" s="5" t="s">
        <v>100</v>
      </c>
      <c r="B203" s="16" t="s">
        <v>305</v>
      </c>
      <c r="C203" s="16" t="s">
        <v>403</v>
      </c>
      <c r="D203" s="243" t="s">
        <v>760</v>
      </c>
      <c r="E203" s="244"/>
      <c r="F203" s="244"/>
      <c r="G203" s="244"/>
      <c r="H203" s="16" t="s">
        <v>1042</v>
      </c>
      <c r="I203" s="27">
        <v>1.37</v>
      </c>
      <c r="J203" s="149"/>
      <c r="K203" s="27">
        <f>I203*AO203</f>
        <v>0</v>
      </c>
      <c r="L203" s="27">
        <f>I203*AP203</f>
        <v>0</v>
      </c>
      <c r="M203" s="27">
        <f>I203*J203</f>
        <v>0</v>
      </c>
      <c r="N203" s="56">
        <f>IF(M623=0,0,M203/M623)</f>
        <v>0</v>
      </c>
      <c r="O203" s="39" t="s">
        <v>1068</v>
      </c>
      <c r="P203" s="6"/>
      <c r="Z203" s="45">
        <f>IF(AQ203="5",BJ203,0)</f>
        <v>0</v>
      </c>
      <c r="AB203" s="45">
        <f>IF(AQ203="1",BH203,0)</f>
        <v>0</v>
      </c>
      <c r="AC203" s="45">
        <f>IF(AQ203="1",BI203,0)</f>
        <v>0</v>
      </c>
      <c r="AD203" s="45">
        <f>IF(AQ203="7",BH203,0)</f>
        <v>0</v>
      </c>
      <c r="AE203" s="45">
        <f>IF(AQ203="7",BI203,0)</f>
        <v>0</v>
      </c>
      <c r="AF203" s="45">
        <f>IF(AQ203="2",BH203,0)</f>
        <v>0</v>
      </c>
      <c r="AG203" s="45">
        <f>IF(AQ203="2",BI203,0)</f>
        <v>0</v>
      </c>
      <c r="AH203" s="45">
        <f>IF(AQ203="0",BJ203,0)</f>
        <v>0</v>
      </c>
      <c r="AI203" s="44" t="s">
        <v>305</v>
      </c>
      <c r="AJ203" s="27">
        <f>IF(AN203=0,M203,0)</f>
        <v>0</v>
      </c>
      <c r="AK203" s="27">
        <f>IF(AN203=15,M203,0)</f>
        <v>0</v>
      </c>
      <c r="AL203" s="27">
        <f>IF(AN203=21,M203,0)</f>
        <v>0</v>
      </c>
      <c r="AN203" s="45">
        <v>15</v>
      </c>
      <c r="AO203" s="45">
        <f>J203*0.56600885251378</f>
        <v>0</v>
      </c>
      <c r="AP203" s="45">
        <f>J203*(1-0.56600885251378)</f>
        <v>0</v>
      </c>
      <c r="AQ203" s="46" t="s">
        <v>7</v>
      </c>
      <c r="AV203" s="45">
        <f>AW203+AX203</f>
        <v>0</v>
      </c>
      <c r="AW203" s="45">
        <f>I203*AO203</f>
        <v>0</v>
      </c>
      <c r="AX203" s="45">
        <f>I203*AP203</f>
        <v>0</v>
      </c>
      <c r="AY203" s="48" t="s">
        <v>1091</v>
      </c>
      <c r="AZ203" s="48" t="s">
        <v>1122</v>
      </c>
      <c r="BA203" s="44" t="s">
        <v>1139</v>
      </c>
      <c r="BC203" s="45">
        <f>AW203+AX203</f>
        <v>0</v>
      </c>
      <c r="BD203" s="45">
        <f>J203/(100-BE203)*100</f>
        <v>0</v>
      </c>
      <c r="BE203" s="45">
        <v>0</v>
      </c>
      <c r="BF203" s="45">
        <f>203</f>
        <v>203</v>
      </c>
      <c r="BH203" s="27">
        <f>I203*AO203</f>
        <v>0</v>
      </c>
      <c r="BI203" s="27">
        <f>I203*AP203</f>
        <v>0</v>
      </c>
      <c r="BJ203" s="27">
        <f>I203*J203</f>
        <v>0</v>
      </c>
      <c r="BK203" s="27" t="s">
        <v>1146</v>
      </c>
      <c r="BL203" s="45">
        <v>62</v>
      </c>
    </row>
    <row r="204" spans="1:64" x14ac:dyDescent="0.2">
      <c r="A204" s="6"/>
      <c r="C204" s="21" t="s">
        <v>310</v>
      </c>
      <c r="D204" s="245" t="s">
        <v>758</v>
      </c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7"/>
      <c r="P204" s="6"/>
    </row>
    <row r="205" spans="1:64" x14ac:dyDescent="0.2">
      <c r="A205" s="5" t="s">
        <v>101</v>
      </c>
      <c r="B205" s="16" t="s">
        <v>305</v>
      </c>
      <c r="C205" s="16" t="s">
        <v>404</v>
      </c>
      <c r="D205" s="243" t="s">
        <v>761</v>
      </c>
      <c r="E205" s="244"/>
      <c r="F205" s="244"/>
      <c r="G205" s="244"/>
      <c r="H205" s="16" t="s">
        <v>1042</v>
      </c>
      <c r="I205" s="27">
        <v>214.07</v>
      </c>
      <c r="J205" s="149"/>
      <c r="K205" s="27">
        <f>I205*AO205</f>
        <v>0</v>
      </c>
      <c r="L205" s="27">
        <f>I205*AP205</f>
        <v>0</v>
      </c>
      <c r="M205" s="27">
        <f>I205*J205</f>
        <v>0</v>
      </c>
      <c r="N205" s="56">
        <f>IF(M623=0,0,M205/M623)</f>
        <v>0</v>
      </c>
      <c r="O205" s="39" t="s">
        <v>1068</v>
      </c>
      <c r="P205" s="6"/>
      <c r="Z205" s="45">
        <f>IF(AQ205="5",BJ205,0)</f>
        <v>0</v>
      </c>
      <c r="AB205" s="45">
        <f>IF(AQ205="1",BH205,0)</f>
        <v>0</v>
      </c>
      <c r="AC205" s="45">
        <f>IF(AQ205="1",BI205,0)</f>
        <v>0</v>
      </c>
      <c r="AD205" s="45">
        <f>IF(AQ205="7",BH205,0)</f>
        <v>0</v>
      </c>
      <c r="AE205" s="45">
        <f>IF(AQ205="7",BI205,0)</f>
        <v>0</v>
      </c>
      <c r="AF205" s="45">
        <f>IF(AQ205="2",BH205,0)</f>
        <v>0</v>
      </c>
      <c r="AG205" s="45">
        <f>IF(AQ205="2",BI205,0)</f>
        <v>0</v>
      </c>
      <c r="AH205" s="45">
        <f>IF(AQ205="0",BJ205,0)</f>
        <v>0</v>
      </c>
      <c r="AI205" s="44" t="s">
        <v>305</v>
      </c>
      <c r="AJ205" s="27">
        <f>IF(AN205=0,M205,0)</f>
        <v>0</v>
      </c>
      <c r="AK205" s="27">
        <f>IF(AN205=15,M205,0)</f>
        <v>0</v>
      </c>
      <c r="AL205" s="27">
        <f>IF(AN205=21,M205,0)</f>
        <v>0</v>
      </c>
      <c r="AN205" s="45">
        <v>15</v>
      </c>
      <c r="AO205" s="45">
        <f>J205*0.547882882882883</f>
        <v>0</v>
      </c>
      <c r="AP205" s="45">
        <f>J205*(1-0.547882882882883)</f>
        <v>0</v>
      </c>
      <c r="AQ205" s="46" t="s">
        <v>7</v>
      </c>
      <c r="AV205" s="45">
        <f>AW205+AX205</f>
        <v>0</v>
      </c>
      <c r="AW205" s="45">
        <f>I205*AO205</f>
        <v>0</v>
      </c>
      <c r="AX205" s="45">
        <f>I205*AP205</f>
        <v>0</v>
      </c>
      <c r="AY205" s="48" t="s">
        <v>1091</v>
      </c>
      <c r="AZ205" s="48" t="s">
        <v>1122</v>
      </c>
      <c r="BA205" s="44" t="s">
        <v>1139</v>
      </c>
      <c r="BC205" s="45">
        <f>AW205+AX205</f>
        <v>0</v>
      </c>
      <c r="BD205" s="45">
        <f>J205/(100-BE205)*100</f>
        <v>0</v>
      </c>
      <c r="BE205" s="45">
        <v>0</v>
      </c>
      <c r="BF205" s="45">
        <f>205</f>
        <v>205</v>
      </c>
      <c r="BH205" s="27">
        <f>I205*AO205</f>
        <v>0</v>
      </c>
      <c r="BI205" s="27">
        <f>I205*AP205</f>
        <v>0</v>
      </c>
      <c r="BJ205" s="27">
        <f>I205*J205</f>
        <v>0</v>
      </c>
      <c r="BK205" s="27" t="s">
        <v>1146</v>
      </c>
      <c r="BL205" s="45">
        <v>62</v>
      </c>
    </row>
    <row r="206" spans="1:64" x14ac:dyDescent="0.2">
      <c r="A206" s="6"/>
      <c r="C206" s="21" t="s">
        <v>310</v>
      </c>
      <c r="D206" s="245" t="s">
        <v>748</v>
      </c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7"/>
      <c r="P206" s="6"/>
    </row>
    <row r="207" spans="1:64" x14ac:dyDescent="0.2">
      <c r="A207" s="5" t="s">
        <v>102</v>
      </c>
      <c r="B207" s="16" t="s">
        <v>305</v>
      </c>
      <c r="C207" s="16" t="s">
        <v>405</v>
      </c>
      <c r="D207" s="243" t="s">
        <v>762</v>
      </c>
      <c r="E207" s="244"/>
      <c r="F207" s="244"/>
      <c r="G207" s="244"/>
      <c r="H207" s="16" t="s">
        <v>1042</v>
      </c>
      <c r="I207" s="27">
        <v>214.07</v>
      </c>
      <c r="J207" s="149"/>
      <c r="K207" s="27">
        <f>I207*AO207</f>
        <v>0</v>
      </c>
      <c r="L207" s="27">
        <f>I207*AP207</f>
        <v>0</v>
      </c>
      <c r="M207" s="27">
        <f>I207*J207</f>
        <v>0</v>
      </c>
      <c r="N207" s="56">
        <f>IF(M623=0,0,M207/M623)</f>
        <v>0</v>
      </c>
      <c r="O207" s="39" t="s">
        <v>1068</v>
      </c>
      <c r="P207" s="6"/>
      <c r="Z207" s="45">
        <f>IF(AQ207="5",BJ207,0)</f>
        <v>0</v>
      </c>
      <c r="AB207" s="45">
        <f>IF(AQ207="1",BH207,0)</f>
        <v>0</v>
      </c>
      <c r="AC207" s="45">
        <f>IF(AQ207="1",BI207,0)</f>
        <v>0</v>
      </c>
      <c r="AD207" s="45">
        <f>IF(AQ207="7",BH207,0)</f>
        <v>0</v>
      </c>
      <c r="AE207" s="45">
        <f>IF(AQ207="7",BI207,0)</f>
        <v>0</v>
      </c>
      <c r="AF207" s="45">
        <f>IF(AQ207="2",BH207,0)</f>
        <v>0</v>
      </c>
      <c r="AG207" s="45">
        <f>IF(AQ207="2",BI207,0)</f>
        <v>0</v>
      </c>
      <c r="AH207" s="45">
        <f>IF(AQ207="0",BJ207,0)</f>
        <v>0</v>
      </c>
      <c r="AI207" s="44" t="s">
        <v>305</v>
      </c>
      <c r="AJ207" s="27">
        <f>IF(AN207=0,M207,0)</f>
        <v>0</v>
      </c>
      <c r="AK207" s="27">
        <f>IF(AN207=15,M207,0)</f>
        <v>0</v>
      </c>
      <c r="AL207" s="27">
        <f>IF(AN207=21,M207,0)</f>
        <v>0</v>
      </c>
      <c r="AN207" s="45">
        <v>15</v>
      </c>
      <c r="AO207" s="45">
        <f>J207*0.594917372565709</f>
        <v>0</v>
      </c>
      <c r="AP207" s="45">
        <f>J207*(1-0.594917372565709)</f>
        <v>0</v>
      </c>
      <c r="AQ207" s="46" t="s">
        <v>7</v>
      </c>
      <c r="AV207" s="45">
        <f>AW207+AX207</f>
        <v>0</v>
      </c>
      <c r="AW207" s="45">
        <f>I207*AO207</f>
        <v>0</v>
      </c>
      <c r="AX207" s="45">
        <f>I207*AP207</f>
        <v>0</v>
      </c>
      <c r="AY207" s="48" t="s">
        <v>1091</v>
      </c>
      <c r="AZ207" s="48" t="s">
        <v>1122</v>
      </c>
      <c r="BA207" s="44" t="s">
        <v>1139</v>
      </c>
      <c r="BC207" s="45">
        <f>AW207+AX207</f>
        <v>0</v>
      </c>
      <c r="BD207" s="45">
        <f>J207/(100-BE207)*100</f>
        <v>0</v>
      </c>
      <c r="BE207" s="45">
        <v>0</v>
      </c>
      <c r="BF207" s="45">
        <f>207</f>
        <v>207</v>
      </c>
      <c r="BH207" s="27">
        <f>I207*AO207</f>
        <v>0</v>
      </c>
      <c r="BI207" s="27">
        <f>I207*AP207</f>
        <v>0</v>
      </c>
      <c r="BJ207" s="27">
        <f>I207*J207</f>
        <v>0</v>
      </c>
      <c r="BK207" s="27" t="s">
        <v>1146</v>
      </c>
      <c r="BL207" s="45">
        <v>62</v>
      </c>
    </row>
    <row r="208" spans="1:64" x14ac:dyDescent="0.2">
      <c r="A208" s="5" t="s">
        <v>103</v>
      </c>
      <c r="B208" s="16" t="s">
        <v>305</v>
      </c>
      <c r="C208" s="16" t="s">
        <v>406</v>
      </c>
      <c r="D208" s="243" t="s">
        <v>763</v>
      </c>
      <c r="E208" s="244"/>
      <c r="F208" s="244"/>
      <c r="G208" s="244"/>
      <c r="H208" s="16" t="s">
        <v>1042</v>
      </c>
      <c r="I208" s="27">
        <v>14.6</v>
      </c>
      <c r="J208" s="149"/>
      <c r="K208" s="27">
        <f>I208*AO208</f>
        <v>0</v>
      </c>
      <c r="L208" s="27">
        <f>I208*AP208</f>
        <v>0</v>
      </c>
      <c r="M208" s="27">
        <f>I208*J208</f>
        <v>0</v>
      </c>
      <c r="N208" s="56">
        <f>IF(M623=0,0,M208/M623)</f>
        <v>0</v>
      </c>
      <c r="O208" s="39" t="s">
        <v>1070</v>
      </c>
      <c r="P208" s="6"/>
      <c r="Z208" s="45">
        <f>IF(AQ208="5",BJ208,0)</f>
        <v>0</v>
      </c>
      <c r="AB208" s="45">
        <f>IF(AQ208="1",BH208,0)</f>
        <v>0</v>
      </c>
      <c r="AC208" s="45">
        <f>IF(AQ208="1",BI208,0)</f>
        <v>0</v>
      </c>
      <c r="AD208" s="45">
        <f>IF(AQ208="7",BH208,0)</f>
        <v>0</v>
      </c>
      <c r="AE208" s="45">
        <f>IF(AQ208="7",BI208,0)</f>
        <v>0</v>
      </c>
      <c r="AF208" s="45">
        <f>IF(AQ208="2",BH208,0)</f>
        <v>0</v>
      </c>
      <c r="AG208" s="45">
        <f>IF(AQ208="2",BI208,0)</f>
        <v>0</v>
      </c>
      <c r="AH208" s="45">
        <f>IF(AQ208="0",BJ208,0)</f>
        <v>0</v>
      </c>
      <c r="AI208" s="44" t="s">
        <v>305</v>
      </c>
      <c r="AJ208" s="27">
        <f>IF(AN208=0,M208,0)</f>
        <v>0</v>
      </c>
      <c r="AK208" s="27">
        <f>IF(AN208=15,M208,0)</f>
        <v>0</v>
      </c>
      <c r="AL208" s="27">
        <f>IF(AN208=21,M208,0)</f>
        <v>0</v>
      </c>
      <c r="AN208" s="45">
        <v>15</v>
      </c>
      <c r="AO208" s="45">
        <f>J208*0.484645161290323</f>
        <v>0</v>
      </c>
      <c r="AP208" s="45">
        <f>J208*(1-0.484645161290323)</f>
        <v>0</v>
      </c>
      <c r="AQ208" s="46" t="s">
        <v>7</v>
      </c>
      <c r="AV208" s="45">
        <f>AW208+AX208</f>
        <v>0</v>
      </c>
      <c r="AW208" s="45">
        <f>I208*AO208</f>
        <v>0</v>
      </c>
      <c r="AX208" s="45">
        <f>I208*AP208</f>
        <v>0</v>
      </c>
      <c r="AY208" s="48" t="s">
        <v>1091</v>
      </c>
      <c r="AZ208" s="48" t="s">
        <v>1122</v>
      </c>
      <c r="BA208" s="44" t="s">
        <v>1139</v>
      </c>
      <c r="BC208" s="45">
        <f>AW208+AX208</f>
        <v>0</v>
      </c>
      <c r="BD208" s="45">
        <f>J208/(100-BE208)*100</f>
        <v>0</v>
      </c>
      <c r="BE208" s="45">
        <v>0</v>
      </c>
      <c r="BF208" s="45">
        <f>208</f>
        <v>208</v>
      </c>
      <c r="BH208" s="27">
        <f>I208*AO208</f>
        <v>0</v>
      </c>
      <c r="BI208" s="27">
        <f>I208*AP208</f>
        <v>0</v>
      </c>
      <c r="BJ208" s="27">
        <f>I208*J208</f>
        <v>0</v>
      </c>
      <c r="BK208" s="27" t="s">
        <v>1146</v>
      </c>
      <c r="BL208" s="45">
        <v>62</v>
      </c>
    </row>
    <row r="209" spans="1:64" x14ac:dyDescent="0.2">
      <c r="A209" s="5" t="s">
        <v>104</v>
      </c>
      <c r="B209" s="16" t="s">
        <v>305</v>
      </c>
      <c r="C209" s="16" t="s">
        <v>407</v>
      </c>
      <c r="D209" s="243" t="s">
        <v>764</v>
      </c>
      <c r="E209" s="244"/>
      <c r="F209" s="244"/>
      <c r="G209" s="244"/>
      <c r="H209" s="16" t="s">
        <v>1044</v>
      </c>
      <c r="I209" s="27">
        <v>73</v>
      </c>
      <c r="J209" s="149"/>
      <c r="K209" s="27">
        <f>I209*AO209</f>
        <v>0</v>
      </c>
      <c r="L209" s="27">
        <f>I209*AP209</f>
        <v>0</v>
      </c>
      <c r="M209" s="27">
        <f>I209*J209</f>
        <v>0</v>
      </c>
      <c r="N209" s="56">
        <f>IF(M623=0,0,M209/M623)</f>
        <v>0</v>
      </c>
      <c r="O209" s="39" t="s">
        <v>1068</v>
      </c>
      <c r="P209" s="6"/>
      <c r="Z209" s="45">
        <f>IF(AQ209="5",BJ209,0)</f>
        <v>0</v>
      </c>
      <c r="AB209" s="45">
        <f>IF(AQ209="1",BH209,0)</f>
        <v>0</v>
      </c>
      <c r="AC209" s="45">
        <f>IF(AQ209="1",BI209,0)</f>
        <v>0</v>
      </c>
      <c r="AD209" s="45">
        <f>IF(AQ209="7",BH209,0)</f>
        <v>0</v>
      </c>
      <c r="AE209" s="45">
        <f>IF(AQ209="7",BI209,0)</f>
        <v>0</v>
      </c>
      <c r="AF209" s="45">
        <f>IF(AQ209="2",BH209,0)</f>
        <v>0</v>
      </c>
      <c r="AG209" s="45">
        <f>IF(AQ209="2",BI209,0)</f>
        <v>0</v>
      </c>
      <c r="AH209" s="45">
        <f>IF(AQ209="0",BJ209,0)</f>
        <v>0</v>
      </c>
      <c r="AI209" s="44" t="s">
        <v>305</v>
      </c>
      <c r="AJ209" s="27">
        <f>IF(AN209=0,M209,0)</f>
        <v>0</v>
      </c>
      <c r="AK209" s="27">
        <f>IF(AN209=15,M209,0)</f>
        <v>0</v>
      </c>
      <c r="AL209" s="27">
        <f>IF(AN209=21,M209,0)</f>
        <v>0</v>
      </c>
      <c r="AN209" s="45">
        <v>15</v>
      </c>
      <c r="AO209" s="45">
        <f>J209*0.481404958677686</f>
        <v>0</v>
      </c>
      <c r="AP209" s="45">
        <f>J209*(1-0.481404958677686)</f>
        <v>0</v>
      </c>
      <c r="AQ209" s="46" t="s">
        <v>7</v>
      </c>
      <c r="AV209" s="45">
        <f>AW209+AX209</f>
        <v>0</v>
      </c>
      <c r="AW209" s="45">
        <f>I209*AO209</f>
        <v>0</v>
      </c>
      <c r="AX209" s="45">
        <f>I209*AP209</f>
        <v>0</v>
      </c>
      <c r="AY209" s="48" t="s">
        <v>1091</v>
      </c>
      <c r="AZ209" s="48" t="s">
        <v>1122</v>
      </c>
      <c r="BA209" s="44" t="s">
        <v>1139</v>
      </c>
      <c r="BC209" s="45">
        <f>AW209+AX209</f>
        <v>0</v>
      </c>
      <c r="BD209" s="45">
        <f>J209/(100-BE209)*100</f>
        <v>0</v>
      </c>
      <c r="BE209" s="45">
        <v>0</v>
      </c>
      <c r="BF209" s="45">
        <f>209</f>
        <v>209</v>
      </c>
      <c r="BH209" s="27">
        <f>I209*AO209</f>
        <v>0</v>
      </c>
      <c r="BI209" s="27">
        <f>I209*AP209</f>
        <v>0</v>
      </c>
      <c r="BJ209" s="27">
        <f>I209*J209</f>
        <v>0</v>
      </c>
      <c r="BK209" s="27" t="s">
        <v>1146</v>
      </c>
      <c r="BL209" s="45">
        <v>62</v>
      </c>
    </row>
    <row r="210" spans="1:64" x14ac:dyDescent="0.2">
      <c r="A210" s="6"/>
      <c r="D210" s="251" t="s">
        <v>765</v>
      </c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3"/>
      <c r="P210" s="6"/>
    </row>
    <row r="211" spans="1:64" x14ac:dyDescent="0.2">
      <c r="A211" s="6"/>
      <c r="C211" s="21" t="s">
        <v>310</v>
      </c>
      <c r="D211" s="245" t="s">
        <v>748</v>
      </c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7"/>
      <c r="P211" s="6"/>
    </row>
    <row r="212" spans="1:64" x14ac:dyDescent="0.2">
      <c r="A212" s="5" t="s">
        <v>105</v>
      </c>
      <c r="B212" s="16" t="s">
        <v>305</v>
      </c>
      <c r="C212" s="16" t="s">
        <v>408</v>
      </c>
      <c r="D212" s="243" t="s">
        <v>766</v>
      </c>
      <c r="E212" s="244"/>
      <c r="F212" s="244"/>
      <c r="G212" s="244"/>
      <c r="H212" s="16" t="s">
        <v>1044</v>
      </c>
      <c r="I212" s="27">
        <v>25.73</v>
      </c>
      <c r="J212" s="149"/>
      <c r="K212" s="27">
        <f>I212*AO212</f>
        <v>0</v>
      </c>
      <c r="L212" s="27">
        <f>I212*AP212</f>
        <v>0</v>
      </c>
      <c r="M212" s="27">
        <f>I212*J212</f>
        <v>0</v>
      </c>
      <c r="N212" s="56">
        <f>IF(M623=0,0,M212/M623)</f>
        <v>0</v>
      </c>
      <c r="O212" s="39" t="s">
        <v>1068</v>
      </c>
      <c r="P212" s="6"/>
      <c r="Z212" s="45">
        <f>IF(AQ212="5",BJ212,0)</f>
        <v>0</v>
      </c>
      <c r="AB212" s="45">
        <f>IF(AQ212="1",BH212,0)</f>
        <v>0</v>
      </c>
      <c r="AC212" s="45">
        <f>IF(AQ212="1",BI212,0)</f>
        <v>0</v>
      </c>
      <c r="AD212" s="45">
        <f>IF(AQ212="7",BH212,0)</f>
        <v>0</v>
      </c>
      <c r="AE212" s="45">
        <f>IF(AQ212="7",BI212,0)</f>
        <v>0</v>
      </c>
      <c r="AF212" s="45">
        <f>IF(AQ212="2",BH212,0)</f>
        <v>0</v>
      </c>
      <c r="AG212" s="45">
        <f>IF(AQ212="2",BI212,0)</f>
        <v>0</v>
      </c>
      <c r="AH212" s="45">
        <f>IF(AQ212="0",BJ212,0)</f>
        <v>0</v>
      </c>
      <c r="AI212" s="44" t="s">
        <v>305</v>
      </c>
      <c r="AJ212" s="27">
        <f>IF(AN212=0,M212,0)</f>
        <v>0</v>
      </c>
      <c r="AK212" s="27">
        <f>IF(AN212=15,M212,0)</f>
        <v>0</v>
      </c>
      <c r="AL212" s="27">
        <f>IF(AN212=21,M212,0)</f>
        <v>0</v>
      </c>
      <c r="AN212" s="45">
        <v>15</v>
      </c>
      <c r="AO212" s="45">
        <f>J212*1</f>
        <v>0</v>
      </c>
      <c r="AP212" s="45">
        <f>J212*(1-1)</f>
        <v>0</v>
      </c>
      <c r="AQ212" s="46" t="s">
        <v>7</v>
      </c>
      <c r="AV212" s="45">
        <f>AW212+AX212</f>
        <v>0</v>
      </c>
      <c r="AW212" s="45">
        <f>I212*AO212</f>
        <v>0</v>
      </c>
      <c r="AX212" s="45">
        <f>I212*AP212</f>
        <v>0</v>
      </c>
      <c r="AY212" s="48" t="s">
        <v>1091</v>
      </c>
      <c r="AZ212" s="48" t="s">
        <v>1122</v>
      </c>
      <c r="BA212" s="44" t="s">
        <v>1139</v>
      </c>
      <c r="BC212" s="45">
        <f>AW212+AX212</f>
        <v>0</v>
      </c>
      <c r="BD212" s="45">
        <f>J212/(100-BE212)*100</f>
        <v>0</v>
      </c>
      <c r="BE212" s="45">
        <v>0</v>
      </c>
      <c r="BF212" s="45">
        <f>212</f>
        <v>212</v>
      </c>
      <c r="BH212" s="27">
        <f>I212*AO212</f>
        <v>0</v>
      </c>
      <c r="BI212" s="27">
        <f>I212*AP212</f>
        <v>0</v>
      </c>
      <c r="BJ212" s="27">
        <f>I212*J212</f>
        <v>0</v>
      </c>
      <c r="BK212" s="27" t="s">
        <v>1146</v>
      </c>
      <c r="BL212" s="45">
        <v>62</v>
      </c>
    </row>
    <row r="213" spans="1:64" x14ac:dyDescent="0.2">
      <c r="A213" s="6"/>
      <c r="C213" s="21" t="s">
        <v>310</v>
      </c>
      <c r="D213" s="245" t="s">
        <v>748</v>
      </c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7"/>
      <c r="P213" s="6"/>
    </row>
    <row r="214" spans="1:64" x14ac:dyDescent="0.2">
      <c r="A214" s="7" t="s">
        <v>106</v>
      </c>
      <c r="B214" s="17" t="s">
        <v>305</v>
      </c>
      <c r="C214" s="17" t="s">
        <v>409</v>
      </c>
      <c r="D214" s="241" t="s">
        <v>767</v>
      </c>
      <c r="E214" s="242"/>
      <c r="F214" s="242"/>
      <c r="G214" s="242"/>
      <c r="H214" s="17" t="s">
        <v>1044</v>
      </c>
      <c r="I214" s="28">
        <v>26.24</v>
      </c>
      <c r="J214" s="154"/>
      <c r="K214" s="28">
        <f>I214*AO214</f>
        <v>0</v>
      </c>
      <c r="L214" s="28">
        <f>I214*AP214</f>
        <v>0</v>
      </c>
      <c r="M214" s="28">
        <f>I214*J214</f>
        <v>0</v>
      </c>
      <c r="N214" s="57">
        <f>IF(M623=0,0,M214/M623)</f>
        <v>0</v>
      </c>
      <c r="O214" s="40" t="s">
        <v>1068</v>
      </c>
      <c r="P214" s="6"/>
      <c r="Z214" s="45">
        <f>IF(AQ214="5",BJ214,0)</f>
        <v>0</v>
      </c>
      <c r="AB214" s="45">
        <f>IF(AQ214="1",BH214,0)</f>
        <v>0</v>
      </c>
      <c r="AC214" s="45">
        <f>IF(AQ214="1",BI214,0)</f>
        <v>0</v>
      </c>
      <c r="AD214" s="45">
        <f>IF(AQ214="7",BH214,0)</f>
        <v>0</v>
      </c>
      <c r="AE214" s="45">
        <f>IF(AQ214="7",BI214,0)</f>
        <v>0</v>
      </c>
      <c r="AF214" s="45">
        <f>IF(AQ214="2",BH214,0)</f>
        <v>0</v>
      </c>
      <c r="AG214" s="45">
        <f>IF(AQ214="2",BI214,0)</f>
        <v>0</v>
      </c>
      <c r="AH214" s="45">
        <f>IF(AQ214="0",BJ214,0)</f>
        <v>0</v>
      </c>
      <c r="AI214" s="44" t="s">
        <v>305</v>
      </c>
      <c r="AJ214" s="28">
        <f>IF(AN214=0,M214,0)</f>
        <v>0</v>
      </c>
      <c r="AK214" s="28">
        <f>IF(AN214=15,M214,0)</f>
        <v>0</v>
      </c>
      <c r="AL214" s="28">
        <f>IF(AN214=21,M214,0)</f>
        <v>0</v>
      </c>
      <c r="AN214" s="45">
        <v>15</v>
      </c>
      <c r="AO214" s="45">
        <f>J214*1</f>
        <v>0</v>
      </c>
      <c r="AP214" s="45">
        <f>J214*(1-1)</f>
        <v>0</v>
      </c>
      <c r="AQ214" s="47" t="s">
        <v>7</v>
      </c>
      <c r="AV214" s="45">
        <f>AW214+AX214</f>
        <v>0</v>
      </c>
      <c r="AW214" s="45">
        <f>I214*AO214</f>
        <v>0</v>
      </c>
      <c r="AX214" s="45">
        <f>I214*AP214</f>
        <v>0</v>
      </c>
      <c r="AY214" s="48" t="s">
        <v>1091</v>
      </c>
      <c r="AZ214" s="48" t="s">
        <v>1122</v>
      </c>
      <c r="BA214" s="44" t="s">
        <v>1139</v>
      </c>
      <c r="BC214" s="45">
        <f>AW214+AX214</f>
        <v>0</v>
      </c>
      <c r="BD214" s="45">
        <f>J214/(100-BE214)*100</f>
        <v>0</v>
      </c>
      <c r="BE214" s="45">
        <v>0</v>
      </c>
      <c r="BF214" s="45">
        <f>214</f>
        <v>214</v>
      </c>
      <c r="BH214" s="28">
        <f>I214*AO214</f>
        <v>0</v>
      </c>
      <c r="BI214" s="28">
        <f>I214*AP214</f>
        <v>0</v>
      </c>
      <c r="BJ214" s="28">
        <f>I214*J214</f>
        <v>0</v>
      </c>
      <c r="BK214" s="28" t="s">
        <v>1147</v>
      </c>
      <c r="BL214" s="45">
        <v>62</v>
      </c>
    </row>
    <row r="215" spans="1:64" x14ac:dyDescent="0.2">
      <c r="A215" s="5" t="s">
        <v>107</v>
      </c>
      <c r="B215" s="16" t="s">
        <v>305</v>
      </c>
      <c r="C215" s="16" t="s">
        <v>410</v>
      </c>
      <c r="D215" s="243" t="s">
        <v>768</v>
      </c>
      <c r="E215" s="244"/>
      <c r="F215" s="244"/>
      <c r="G215" s="244"/>
      <c r="H215" s="16" t="s">
        <v>1042</v>
      </c>
      <c r="I215" s="27">
        <v>34.18</v>
      </c>
      <c r="J215" s="149"/>
      <c r="K215" s="27">
        <f>I215*AO215</f>
        <v>0</v>
      </c>
      <c r="L215" s="27">
        <f>I215*AP215</f>
        <v>0</v>
      </c>
      <c r="M215" s="27">
        <f>I215*J215</f>
        <v>0</v>
      </c>
      <c r="N215" s="56">
        <f>IF(M623=0,0,M215/M623)</f>
        <v>0</v>
      </c>
      <c r="O215" s="39" t="s">
        <v>1068</v>
      </c>
      <c r="P215" s="6"/>
      <c r="Z215" s="45">
        <f>IF(AQ215="5",BJ215,0)</f>
        <v>0</v>
      </c>
      <c r="AB215" s="45">
        <f>IF(AQ215="1",BH215,0)</f>
        <v>0</v>
      </c>
      <c r="AC215" s="45">
        <f>IF(AQ215="1",BI215,0)</f>
        <v>0</v>
      </c>
      <c r="AD215" s="45">
        <f>IF(AQ215="7",BH215,0)</f>
        <v>0</v>
      </c>
      <c r="AE215" s="45">
        <f>IF(AQ215="7",BI215,0)</f>
        <v>0</v>
      </c>
      <c r="AF215" s="45">
        <f>IF(AQ215="2",BH215,0)</f>
        <v>0</v>
      </c>
      <c r="AG215" s="45">
        <f>IF(AQ215="2",BI215,0)</f>
        <v>0</v>
      </c>
      <c r="AH215" s="45">
        <f>IF(AQ215="0",BJ215,0)</f>
        <v>0</v>
      </c>
      <c r="AI215" s="44" t="s">
        <v>305</v>
      </c>
      <c r="AJ215" s="27">
        <f>IF(AN215=0,M215,0)</f>
        <v>0</v>
      </c>
      <c r="AK215" s="27">
        <f>IF(AN215=15,M215,0)</f>
        <v>0</v>
      </c>
      <c r="AL215" s="27">
        <f>IF(AN215=21,M215,0)</f>
        <v>0</v>
      </c>
      <c r="AN215" s="45">
        <v>15</v>
      </c>
      <c r="AO215" s="45">
        <f>J215*0.22039445403276</f>
        <v>0</v>
      </c>
      <c r="AP215" s="45">
        <f>J215*(1-0.22039445403276)</f>
        <v>0</v>
      </c>
      <c r="AQ215" s="46" t="s">
        <v>7</v>
      </c>
      <c r="AV215" s="45">
        <f>AW215+AX215</f>
        <v>0</v>
      </c>
      <c r="AW215" s="45">
        <f>I215*AO215</f>
        <v>0</v>
      </c>
      <c r="AX215" s="45">
        <f>I215*AP215</f>
        <v>0</v>
      </c>
      <c r="AY215" s="48" t="s">
        <v>1091</v>
      </c>
      <c r="AZ215" s="48" t="s">
        <v>1122</v>
      </c>
      <c r="BA215" s="44" t="s">
        <v>1139</v>
      </c>
      <c r="BC215" s="45">
        <f>AW215+AX215</f>
        <v>0</v>
      </c>
      <c r="BD215" s="45">
        <f>J215/(100-BE215)*100</f>
        <v>0</v>
      </c>
      <c r="BE215" s="45">
        <v>0</v>
      </c>
      <c r="BF215" s="45">
        <f>215</f>
        <v>215</v>
      </c>
      <c r="BH215" s="27">
        <f>I215*AO215</f>
        <v>0</v>
      </c>
      <c r="BI215" s="27">
        <f>I215*AP215</f>
        <v>0</v>
      </c>
      <c r="BJ215" s="27">
        <f>I215*J215</f>
        <v>0</v>
      </c>
      <c r="BK215" s="27" t="s">
        <v>1146</v>
      </c>
      <c r="BL215" s="45">
        <v>62</v>
      </c>
    </row>
    <row r="216" spans="1:64" x14ac:dyDescent="0.2">
      <c r="A216" s="6"/>
      <c r="C216" s="21" t="s">
        <v>310</v>
      </c>
      <c r="D216" s="245" t="s">
        <v>748</v>
      </c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7"/>
      <c r="P216" s="6"/>
    </row>
    <row r="217" spans="1:64" x14ac:dyDescent="0.2">
      <c r="A217" s="4"/>
      <c r="B217" s="15" t="s">
        <v>305</v>
      </c>
      <c r="C217" s="15" t="s">
        <v>69</v>
      </c>
      <c r="D217" s="237" t="s">
        <v>769</v>
      </c>
      <c r="E217" s="238"/>
      <c r="F217" s="238"/>
      <c r="G217" s="238"/>
      <c r="H217" s="24" t="s">
        <v>6</v>
      </c>
      <c r="I217" s="24" t="s">
        <v>6</v>
      </c>
      <c r="J217" s="24" t="s">
        <v>6</v>
      </c>
      <c r="K217" s="51">
        <f>SUM(K218:K227)</f>
        <v>0</v>
      </c>
      <c r="L217" s="51">
        <f>SUM(L218:L227)</f>
        <v>0</v>
      </c>
      <c r="M217" s="51">
        <f>SUM(M218:M227)</f>
        <v>0</v>
      </c>
      <c r="N217" s="55">
        <f>IF(M623=0,0,M217/M623)</f>
        <v>0</v>
      </c>
      <c r="O217" s="38"/>
      <c r="P217" s="6"/>
      <c r="AI217" s="44" t="s">
        <v>305</v>
      </c>
      <c r="AS217" s="51">
        <f>SUM(AJ218:AJ227)</f>
        <v>0</v>
      </c>
      <c r="AT217" s="51">
        <f>SUM(AK218:AK227)</f>
        <v>0</v>
      </c>
      <c r="AU217" s="51">
        <f>SUM(AL218:AL227)</f>
        <v>0</v>
      </c>
    </row>
    <row r="218" spans="1:64" x14ac:dyDescent="0.2">
      <c r="A218" s="5" t="s">
        <v>108</v>
      </c>
      <c r="B218" s="16" t="s">
        <v>305</v>
      </c>
      <c r="C218" s="16" t="s">
        <v>411</v>
      </c>
      <c r="D218" s="243" t="s">
        <v>770</v>
      </c>
      <c r="E218" s="244"/>
      <c r="F218" s="244"/>
      <c r="G218" s="244"/>
      <c r="H218" s="16" t="s">
        <v>1044</v>
      </c>
      <c r="I218" s="27">
        <v>22.1</v>
      </c>
      <c r="J218" s="149"/>
      <c r="K218" s="27">
        <f>I218*AO218</f>
        <v>0</v>
      </c>
      <c r="L218" s="27">
        <f>I218*AP218</f>
        <v>0</v>
      </c>
      <c r="M218" s="27">
        <f>I218*J218</f>
        <v>0</v>
      </c>
      <c r="N218" s="56">
        <f>IF(M623=0,0,M218/M623)</f>
        <v>0</v>
      </c>
      <c r="O218" s="39" t="s">
        <v>1068</v>
      </c>
      <c r="P218" s="6"/>
      <c r="Z218" s="45">
        <f>IF(AQ218="5",BJ218,0)</f>
        <v>0</v>
      </c>
      <c r="AB218" s="45">
        <f>IF(AQ218="1",BH218,0)</f>
        <v>0</v>
      </c>
      <c r="AC218" s="45">
        <f>IF(AQ218="1",BI218,0)</f>
        <v>0</v>
      </c>
      <c r="AD218" s="45">
        <f>IF(AQ218="7",BH218,0)</f>
        <v>0</v>
      </c>
      <c r="AE218" s="45">
        <f>IF(AQ218="7",BI218,0)</f>
        <v>0</v>
      </c>
      <c r="AF218" s="45">
        <f>IF(AQ218="2",BH218,0)</f>
        <v>0</v>
      </c>
      <c r="AG218" s="45">
        <f>IF(AQ218="2",BI218,0)</f>
        <v>0</v>
      </c>
      <c r="AH218" s="45">
        <f>IF(AQ218="0",BJ218,0)</f>
        <v>0</v>
      </c>
      <c r="AI218" s="44" t="s">
        <v>305</v>
      </c>
      <c r="AJ218" s="27">
        <f>IF(AN218=0,M218,0)</f>
        <v>0</v>
      </c>
      <c r="AK218" s="27">
        <f>IF(AN218=15,M218,0)</f>
        <v>0</v>
      </c>
      <c r="AL218" s="27">
        <f>IF(AN218=21,M218,0)</f>
        <v>0</v>
      </c>
      <c r="AN218" s="45">
        <v>15</v>
      </c>
      <c r="AO218" s="45">
        <f>J218*0.534192376839493</f>
        <v>0</v>
      </c>
      <c r="AP218" s="45">
        <f>J218*(1-0.534192376839493)</f>
        <v>0</v>
      </c>
      <c r="AQ218" s="46" t="s">
        <v>7</v>
      </c>
      <c r="AV218" s="45">
        <f>AW218+AX218</f>
        <v>0</v>
      </c>
      <c r="AW218" s="45">
        <f>I218*AO218</f>
        <v>0</v>
      </c>
      <c r="AX218" s="45">
        <f>I218*AP218</f>
        <v>0</v>
      </c>
      <c r="AY218" s="48" t="s">
        <v>1092</v>
      </c>
      <c r="AZ218" s="48" t="s">
        <v>1122</v>
      </c>
      <c r="BA218" s="44" t="s">
        <v>1139</v>
      </c>
      <c r="BC218" s="45">
        <f>AW218+AX218</f>
        <v>0</v>
      </c>
      <c r="BD218" s="45">
        <f>J218/(100-BE218)*100</f>
        <v>0</v>
      </c>
      <c r="BE218" s="45">
        <v>0</v>
      </c>
      <c r="BF218" s="45">
        <f>218</f>
        <v>218</v>
      </c>
      <c r="BH218" s="27">
        <f>I218*AO218</f>
        <v>0</v>
      </c>
      <c r="BI218" s="27">
        <f>I218*AP218</f>
        <v>0</v>
      </c>
      <c r="BJ218" s="27">
        <f>I218*J218</f>
        <v>0</v>
      </c>
      <c r="BK218" s="27" t="s">
        <v>1146</v>
      </c>
      <c r="BL218" s="45">
        <v>63</v>
      </c>
    </row>
    <row r="219" spans="1:64" x14ac:dyDescent="0.2">
      <c r="A219" s="6"/>
      <c r="C219" s="21" t="s">
        <v>310</v>
      </c>
      <c r="D219" s="245" t="s">
        <v>758</v>
      </c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7"/>
      <c r="P219" s="6"/>
    </row>
    <row r="220" spans="1:64" x14ac:dyDescent="0.2">
      <c r="A220" s="5" t="s">
        <v>109</v>
      </c>
      <c r="B220" s="16" t="s">
        <v>305</v>
      </c>
      <c r="C220" s="16" t="s">
        <v>412</v>
      </c>
      <c r="D220" s="243" t="s">
        <v>771</v>
      </c>
      <c r="E220" s="244"/>
      <c r="F220" s="244"/>
      <c r="G220" s="244"/>
      <c r="H220" s="16" t="s">
        <v>1041</v>
      </c>
      <c r="I220" s="27">
        <v>6.09</v>
      </c>
      <c r="J220" s="149"/>
      <c r="K220" s="27">
        <f>I220*AO220</f>
        <v>0</v>
      </c>
      <c r="L220" s="27">
        <f>I220*AP220</f>
        <v>0</v>
      </c>
      <c r="M220" s="27">
        <f>I220*J220</f>
        <v>0</v>
      </c>
      <c r="N220" s="56">
        <f>IF(M623=0,0,M220/M623)</f>
        <v>0</v>
      </c>
      <c r="O220" s="39" t="s">
        <v>1068</v>
      </c>
      <c r="P220" s="6"/>
      <c r="Z220" s="45">
        <f>IF(AQ220="5",BJ220,0)</f>
        <v>0</v>
      </c>
      <c r="AB220" s="45">
        <f>IF(AQ220="1",BH220,0)</f>
        <v>0</v>
      </c>
      <c r="AC220" s="45">
        <f>IF(AQ220="1",BI220,0)</f>
        <v>0</v>
      </c>
      <c r="AD220" s="45">
        <f>IF(AQ220="7",BH220,0)</f>
        <v>0</v>
      </c>
      <c r="AE220" s="45">
        <f>IF(AQ220="7",BI220,0)</f>
        <v>0</v>
      </c>
      <c r="AF220" s="45">
        <f>IF(AQ220="2",BH220,0)</f>
        <v>0</v>
      </c>
      <c r="AG220" s="45">
        <f>IF(AQ220="2",BI220,0)</f>
        <v>0</v>
      </c>
      <c r="AH220" s="45">
        <f>IF(AQ220="0",BJ220,0)</f>
        <v>0</v>
      </c>
      <c r="AI220" s="44" t="s">
        <v>305</v>
      </c>
      <c r="AJ220" s="27">
        <f>IF(AN220=0,M220,0)</f>
        <v>0</v>
      </c>
      <c r="AK220" s="27">
        <f>IF(AN220=15,M220,0)</f>
        <v>0</v>
      </c>
      <c r="AL220" s="27">
        <f>IF(AN220=21,M220,0)</f>
        <v>0</v>
      </c>
      <c r="AN220" s="45">
        <v>15</v>
      </c>
      <c r="AO220" s="45">
        <f>J220*0.709245798319328</f>
        <v>0</v>
      </c>
      <c r="AP220" s="45">
        <f>J220*(1-0.709245798319328)</f>
        <v>0</v>
      </c>
      <c r="AQ220" s="46" t="s">
        <v>7</v>
      </c>
      <c r="AV220" s="45">
        <f>AW220+AX220</f>
        <v>0</v>
      </c>
      <c r="AW220" s="45">
        <f>I220*AO220</f>
        <v>0</v>
      </c>
      <c r="AX220" s="45">
        <f>I220*AP220</f>
        <v>0</v>
      </c>
      <c r="AY220" s="48" t="s">
        <v>1092</v>
      </c>
      <c r="AZ220" s="48" t="s">
        <v>1122</v>
      </c>
      <c r="BA220" s="44" t="s">
        <v>1139</v>
      </c>
      <c r="BC220" s="45">
        <f>AW220+AX220</f>
        <v>0</v>
      </c>
      <c r="BD220" s="45">
        <f>J220/(100-BE220)*100</f>
        <v>0</v>
      </c>
      <c r="BE220" s="45">
        <v>0</v>
      </c>
      <c r="BF220" s="45">
        <f>220</f>
        <v>220</v>
      </c>
      <c r="BH220" s="27">
        <f>I220*AO220</f>
        <v>0</v>
      </c>
      <c r="BI220" s="27">
        <f>I220*AP220</f>
        <v>0</v>
      </c>
      <c r="BJ220" s="27">
        <f>I220*J220</f>
        <v>0</v>
      </c>
      <c r="BK220" s="27" t="s">
        <v>1146</v>
      </c>
      <c r="BL220" s="45">
        <v>63</v>
      </c>
    </row>
    <row r="221" spans="1:64" x14ac:dyDescent="0.2">
      <c r="A221" s="6"/>
      <c r="D221" s="251" t="s">
        <v>772</v>
      </c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3"/>
      <c r="P221" s="6"/>
    </row>
    <row r="222" spans="1:64" x14ac:dyDescent="0.2">
      <c r="A222" s="6"/>
      <c r="C222" s="21" t="s">
        <v>310</v>
      </c>
      <c r="D222" s="245" t="s">
        <v>753</v>
      </c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7"/>
      <c r="P222" s="6"/>
    </row>
    <row r="223" spans="1:64" x14ac:dyDescent="0.2">
      <c r="A223" s="5" t="s">
        <v>110</v>
      </c>
      <c r="B223" s="16" t="s">
        <v>305</v>
      </c>
      <c r="C223" s="16" t="s">
        <v>413</v>
      </c>
      <c r="D223" s="243" t="s">
        <v>773</v>
      </c>
      <c r="E223" s="244"/>
      <c r="F223" s="244"/>
      <c r="G223" s="244"/>
      <c r="H223" s="16" t="s">
        <v>1041</v>
      </c>
      <c r="I223" s="27">
        <v>0.52</v>
      </c>
      <c r="J223" s="149"/>
      <c r="K223" s="27">
        <f>I223*AO223</f>
        <v>0</v>
      </c>
      <c r="L223" s="27">
        <f>I223*AP223</f>
        <v>0</v>
      </c>
      <c r="M223" s="27">
        <f>I223*J223</f>
        <v>0</v>
      </c>
      <c r="N223" s="56">
        <f>IF(M623=0,0,M223/M623)</f>
        <v>0</v>
      </c>
      <c r="O223" s="39" t="s">
        <v>1068</v>
      </c>
      <c r="P223" s="6"/>
      <c r="Z223" s="45">
        <f>IF(AQ223="5",BJ223,0)</f>
        <v>0</v>
      </c>
      <c r="AB223" s="45">
        <f>IF(AQ223="1",BH223,0)</f>
        <v>0</v>
      </c>
      <c r="AC223" s="45">
        <f>IF(AQ223="1",BI223,0)</f>
        <v>0</v>
      </c>
      <c r="AD223" s="45">
        <f>IF(AQ223="7",BH223,0)</f>
        <v>0</v>
      </c>
      <c r="AE223" s="45">
        <f>IF(AQ223="7",BI223,0)</f>
        <v>0</v>
      </c>
      <c r="AF223" s="45">
        <f>IF(AQ223="2",BH223,0)</f>
        <v>0</v>
      </c>
      <c r="AG223" s="45">
        <f>IF(AQ223="2",BI223,0)</f>
        <v>0</v>
      </c>
      <c r="AH223" s="45">
        <f>IF(AQ223="0",BJ223,0)</f>
        <v>0</v>
      </c>
      <c r="AI223" s="44" t="s">
        <v>305</v>
      </c>
      <c r="AJ223" s="27">
        <f>IF(AN223=0,M223,0)</f>
        <v>0</v>
      </c>
      <c r="AK223" s="27">
        <f>IF(AN223=15,M223,0)</f>
        <v>0</v>
      </c>
      <c r="AL223" s="27">
        <f>IF(AN223=21,M223,0)</f>
        <v>0</v>
      </c>
      <c r="AN223" s="45">
        <v>15</v>
      </c>
      <c r="AO223" s="45">
        <f>J223*0.726213649851632</f>
        <v>0</v>
      </c>
      <c r="AP223" s="45">
        <f>J223*(1-0.726213649851632)</f>
        <v>0</v>
      </c>
      <c r="AQ223" s="46" t="s">
        <v>7</v>
      </c>
      <c r="AV223" s="45">
        <f>AW223+AX223</f>
        <v>0</v>
      </c>
      <c r="AW223" s="45">
        <f>I223*AO223</f>
        <v>0</v>
      </c>
      <c r="AX223" s="45">
        <f>I223*AP223</f>
        <v>0</v>
      </c>
      <c r="AY223" s="48" t="s">
        <v>1092</v>
      </c>
      <c r="AZ223" s="48" t="s">
        <v>1122</v>
      </c>
      <c r="BA223" s="44" t="s">
        <v>1139</v>
      </c>
      <c r="BC223" s="45">
        <f>AW223+AX223</f>
        <v>0</v>
      </c>
      <c r="BD223" s="45">
        <f>J223/(100-BE223)*100</f>
        <v>0</v>
      </c>
      <c r="BE223" s="45">
        <v>0</v>
      </c>
      <c r="BF223" s="45">
        <f>223</f>
        <v>223</v>
      </c>
      <c r="BH223" s="27">
        <f>I223*AO223</f>
        <v>0</v>
      </c>
      <c r="BI223" s="27">
        <f>I223*AP223</f>
        <v>0</v>
      </c>
      <c r="BJ223" s="27">
        <f>I223*J223</f>
        <v>0</v>
      </c>
      <c r="BK223" s="27" t="s">
        <v>1146</v>
      </c>
      <c r="BL223" s="45">
        <v>63</v>
      </c>
    </row>
    <row r="224" spans="1:64" x14ac:dyDescent="0.2">
      <c r="A224" s="6"/>
      <c r="D224" s="251" t="s">
        <v>774</v>
      </c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3"/>
      <c r="P224" s="6"/>
    </row>
    <row r="225" spans="1:64" x14ac:dyDescent="0.2">
      <c r="A225" s="6"/>
      <c r="C225" s="20" t="s">
        <v>302</v>
      </c>
      <c r="D225" s="248" t="s">
        <v>775</v>
      </c>
      <c r="E225" s="249"/>
      <c r="F225" s="249"/>
      <c r="G225" s="249"/>
      <c r="H225" s="249"/>
      <c r="I225" s="249"/>
      <c r="J225" s="249"/>
      <c r="K225" s="249"/>
      <c r="L225" s="249"/>
      <c r="M225" s="249"/>
      <c r="N225" s="249"/>
      <c r="O225" s="250"/>
      <c r="P225" s="6"/>
    </row>
    <row r="226" spans="1:64" x14ac:dyDescent="0.2">
      <c r="A226" s="6"/>
      <c r="C226" s="21" t="s">
        <v>310</v>
      </c>
      <c r="D226" s="245" t="s">
        <v>642</v>
      </c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7"/>
      <c r="P226" s="6"/>
    </row>
    <row r="227" spans="1:64" x14ac:dyDescent="0.2">
      <c r="A227" s="5" t="s">
        <v>111</v>
      </c>
      <c r="B227" s="16" t="s">
        <v>305</v>
      </c>
      <c r="C227" s="16" t="s">
        <v>414</v>
      </c>
      <c r="D227" s="243" t="s">
        <v>776</v>
      </c>
      <c r="E227" s="244"/>
      <c r="F227" s="244"/>
      <c r="G227" s="244"/>
      <c r="H227" s="16" t="s">
        <v>1042</v>
      </c>
      <c r="I227" s="27">
        <v>177.23</v>
      </c>
      <c r="J227" s="149"/>
      <c r="K227" s="27">
        <f>I227*AO227</f>
        <v>0</v>
      </c>
      <c r="L227" s="27">
        <f>I227*AP227</f>
        <v>0</v>
      </c>
      <c r="M227" s="27">
        <f>I227*J227</f>
        <v>0</v>
      </c>
      <c r="N227" s="56">
        <f>IF(M623=0,0,M227/M623)</f>
        <v>0</v>
      </c>
      <c r="O227" s="39" t="s">
        <v>1068</v>
      </c>
      <c r="P227" s="6"/>
      <c r="Z227" s="45">
        <f>IF(AQ227="5",BJ227,0)</f>
        <v>0</v>
      </c>
      <c r="AB227" s="45">
        <f>IF(AQ227="1",BH227,0)</f>
        <v>0</v>
      </c>
      <c r="AC227" s="45">
        <f>IF(AQ227="1",BI227,0)</f>
        <v>0</v>
      </c>
      <c r="AD227" s="45">
        <f>IF(AQ227="7",BH227,0)</f>
        <v>0</v>
      </c>
      <c r="AE227" s="45">
        <f>IF(AQ227="7",BI227,0)</f>
        <v>0</v>
      </c>
      <c r="AF227" s="45">
        <f>IF(AQ227="2",BH227,0)</f>
        <v>0</v>
      </c>
      <c r="AG227" s="45">
        <f>IF(AQ227="2",BI227,0)</f>
        <v>0</v>
      </c>
      <c r="AH227" s="45">
        <f>IF(AQ227="0",BJ227,0)</f>
        <v>0</v>
      </c>
      <c r="AI227" s="44" t="s">
        <v>305</v>
      </c>
      <c r="AJ227" s="27">
        <f>IF(AN227=0,M227,0)</f>
        <v>0</v>
      </c>
      <c r="AK227" s="27">
        <f>IF(AN227=15,M227,0)</f>
        <v>0</v>
      </c>
      <c r="AL227" s="27">
        <f>IF(AN227=21,M227,0)</f>
        <v>0</v>
      </c>
      <c r="AN227" s="45">
        <v>15</v>
      </c>
      <c r="AO227" s="45">
        <f>J227*0.779590330497787</f>
        <v>0</v>
      </c>
      <c r="AP227" s="45">
        <f>J227*(1-0.779590330497787)</f>
        <v>0</v>
      </c>
      <c r="AQ227" s="46" t="s">
        <v>7</v>
      </c>
      <c r="AV227" s="45">
        <f>AW227+AX227</f>
        <v>0</v>
      </c>
      <c r="AW227" s="45">
        <f>I227*AO227</f>
        <v>0</v>
      </c>
      <c r="AX227" s="45">
        <f>I227*AP227</f>
        <v>0</v>
      </c>
      <c r="AY227" s="48" t="s">
        <v>1092</v>
      </c>
      <c r="AZ227" s="48" t="s">
        <v>1122</v>
      </c>
      <c r="BA227" s="44" t="s">
        <v>1139</v>
      </c>
      <c r="BC227" s="45">
        <f>AW227+AX227</f>
        <v>0</v>
      </c>
      <c r="BD227" s="45">
        <f>J227/(100-BE227)*100</f>
        <v>0</v>
      </c>
      <c r="BE227" s="45">
        <v>0</v>
      </c>
      <c r="BF227" s="45">
        <f>227</f>
        <v>227</v>
      </c>
      <c r="BH227" s="27">
        <f>I227*AO227</f>
        <v>0</v>
      </c>
      <c r="BI227" s="27">
        <f>I227*AP227</f>
        <v>0</v>
      </c>
      <c r="BJ227" s="27">
        <f>I227*J227</f>
        <v>0</v>
      </c>
      <c r="BK227" s="27" t="s">
        <v>1146</v>
      </c>
      <c r="BL227" s="45">
        <v>63</v>
      </c>
    </row>
    <row r="228" spans="1:64" x14ac:dyDescent="0.2">
      <c r="A228" s="6"/>
      <c r="C228" s="21" t="s">
        <v>310</v>
      </c>
      <c r="D228" s="245" t="s">
        <v>753</v>
      </c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7"/>
      <c r="P228" s="6"/>
    </row>
    <row r="229" spans="1:64" x14ac:dyDescent="0.2">
      <c r="A229" s="4"/>
      <c r="B229" s="15" t="s">
        <v>305</v>
      </c>
      <c r="C229" s="15" t="s">
        <v>415</v>
      </c>
      <c r="D229" s="237" t="s">
        <v>777</v>
      </c>
      <c r="E229" s="238"/>
      <c r="F229" s="238"/>
      <c r="G229" s="238"/>
      <c r="H229" s="24" t="s">
        <v>6</v>
      </c>
      <c r="I229" s="24" t="s">
        <v>6</v>
      </c>
      <c r="J229" s="24" t="s">
        <v>6</v>
      </c>
      <c r="K229" s="51">
        <f>SUM(K230:K254)</f>
        <v>0</v>
      </c>
      <c r="L229" s="51">
        <f>SUM(L230:L254)</f>
        <v>0</v>
      </c>
      <c r="M229" s="51">
        <f>SUM(M230:M254)</f>
        <v>0</v>
      </c>
      <c r="N229" s="55">
        <f>IF(M623=0,0,M229/M623)</f>
        <v>0</v>
      </c>
      <c r="O229" s="38"/>
      <c r="P229" s="6"/>
      <c r="AI229" s="44" t="s">
        <v>305</v>
      </c>
      <c r="AS229" s="51">
        <f>SUM(AJ230:AJ254)</f>
        <v>0</v>
      </c>
      <c r="AT229" s="51">
        <f>SUM(AK230:AK254)</f>
        <v>0</v>
      </c>
      <c r="AU229" s="51">
        <f>SUM(AL230:AL254)</f>
        <v>0</v>
      </c>
    </row>
    <row r="230" spans="1:64" x14ac:dyDescent="0.2">
      <c r="A230" s="5" t="s">
        <v>112</v>
      </c>
      <c r="B230" s="16" t="s">
        <v>305</v>
      </c>
      <c r="C230" s="16" t="s">
        <v>416</v>
      </c>
      <c r="D230" s="243" t="s">
        <v>778</v>
      </c>
      <c r="E230" s="244"/>
      <c r="F230" s="244"/>
      <c r="G230" s="244"/>
      <c r="H230" s="16" t="s">
        <v>1042</v>
      </c>
      <c r="I230" s="27">
        <v>143.77000000000001</v>
      </c>
      <c r="J230" s="149"/>
      <c r="K230" s="27">
        <f>I230*AO230</f>
        <v>0</v>
      </c>
      <c r="L230" s="27">
        <f>I230*AP230</f>
        <v>0</v>
      </c>
      <c r="M230" s="27">
        <f>I230*J230</f>
        <v>0</v>
      </c>
      <c r="N230" s="56">
        <f>IF(M623=0,0,M230/M623)</f>
        <v>0</v>
      </c>
      <c r="O230" s="39" t="s">
        <v>1068</v>
      </c>
      <c r="P230" s="6"/>
      <c r="Z230" s="45">
        <f>IF(AQ230="5",BJ230,0)</f>
        <v>0</v>
      </c>
      <c r="AB230" s="45">
        <f>IF(AQ230="1",BH230,0)</f>
        <v>0</v>
      </c>
      <c r="AC230" s="45">
        <f>IF(AQ230="1",BI230,0)</f>
        <v>0</v>
      </c>
      <c r="AD230" s="45">
        <f>IF(AQ230="7",BH230,0)</f>
        <v>0</v>
      </c>
      <c r="AE230" s="45">
        <f>IF(AQ230="7",BI230,0)</f>
        <v>0</v>
      </c>
      <c r="AF230" s="45">
        <f>IF(AQ230="2",BH230,0)</f>
        <v>0</v>
      </c>
      <c r="AG230" s="45">
        <f>IF(AQ230="2",BI230,0)</f>
        <v>0</v>
      </c>
      <c r="AH230" s="45">
        <f>IF(AQ230="0",BJ230,0)</f>
        <v>0</v>
      </c>
      <c r="AI230" s="44" t="s">
        <v>305</v>
      </c>
      <c r="AJ230" s="27">
        <f>IF(AN230=0,M230,0)</f>
        <v>0</v>
      </c>
      <c r="AK230" s="27">
        <f>IF(AN230=15,M230,0)</f>
        <v>0</v>
      </c>
      <c r="AL230" s="27">
        <f>IF(AN230=21,M230,0)</f>
        <v>0</v>
      </c>
      <c r="AN230" s="45">
        <v>15</v>
      </c>
      <c r="AO230" s="45">
        <f>J230*0.604545454545454</f>
        <v>0</v>
      </c>
      <c r="AP230" s="45">
        <f>J230*(1-0.604545454545454)</f>
        <v>0</v>
      </c>
      <c r="AQ230" s="46" t="s">
        <v>13</v>
      </c>
      <c r="AV230" s="45">
        <f>AW230+AX230</f>
        <v>0</v>
      </c>
      <c r="AW230" s="45">
        <f>I230*AO230</f>
        <v>0</v>
      </c>
      <c r="AX230" s="45">
        <f>I230*AP230</f>
        <v>0</v>
      </c>
      <c r="AY230" s="48" t="s">
        <v>1093</v>
      </c>
      <c r="AZ230" s="48" t="s">
        <v>1123</v>
      </c>
      <c r="BA230" s="44" t="s">
        <v>1139</v>
      </c>
      <c r="BC230" s="45">
        <f>AW230+AX230</f>
        <v>0</v>
      </c>
      <c r="BD230" s="45">
        <f>J230/(100-BE230)*100</f>
        <v>0</v>
      </c>
      <c r="BE230" s="45">
        <v>0</v>
      </c>
      <c r="BF230" s="45">
        <f>230</f>
        <v>230</v>
      </c>
      <c r="BH230" s="27">
        <f>I230*AO230</f>
        <v>0</v>
      </c>
      <c r="BI230" s="27">
        <f>I230*AP230</f>
        <v>0</v>
      </c>
      <c r="BJ230" s="27">
        <f>I230*J230</f>
        <v>0</v>
      </c>
      <c r="BK230" s="27" t="s">
        <v>1146</v>
      </c>
      <c r="BL230" s="45">
        <v>711</v>
      </c>
    </row>
    <row r="231" spans="1:64" x14ac:dyDescent="0.2">
      <c r="A231" s="6"/>
      <c r="D231" s="251" t="s">
        <v>779</v>
      </c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3"/>
      <c r="P231" s="6"/>
    </row>
    <row r="232" spans="1:64" x14ac:dyDescent="0.2">
      <c r="A232" s="6"/>
      <c r="C232" s="21" t="s">
        <v>310</v>
      </c>
      <c r="D232" s="245" t="s">
        <v>647</v>
      </c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7"/>
      <c r="P232" s="6"/>
    </row>
    <row r="233" spans="1:64" x14ac:dyDescent="0.2">
      <c r="A233" s="5" t="s">
        <v>113</v>
      </c>
      <c r="B233" s="16" t="s">
        <v>305</v>
      </c>
      <c r="C233" s="16" t="s">
        <v>417</v>
      </c>
      <c r="D233" s="243" t="s">
        <v>780</v>
      </c>
      <c r="E233" s="244"/>
      <c r="F233" s="244"/>
      <c r="G233" s="244"/>
      <c r="H233" s="16" t="s">
        <v>1042</v>
      </c>
      <c r="I233" s="27">
        <v>201.62</v>
      </c>
      <c r="J233" s="149"/>
      <c r="K233" s="27">
        <f>I233*AO233</f>
        <v>0</v>
      </c>
      <c r="L233" s="27">
        <f>I233*AP233</f>
        <v>0</v>
      </c>
      <c r="M233" s="27">
        <f>I233*J233</f>
        <v>0</v>
      </c>
      <c r="N233" s="56">
        <f>IF(M623=0,0,M233/M623)</f>
        <v>0</v>
      </c>
      <c r="O233" s="39" t="s">
        <v>1068</v>
      </c>
      <c r="P233" s="6"/>
      <c r="Z233" s="45">
        <f>IF(AQ233="5",BJ233,0)</f>
        <v>0</v>
      </c>
      <c r="AB233" s="45">
        <f>IF(AQ233="1",BH233,0)</f>
        <v>0</v>
      </c>
      <c r="AC233" s="45">
        <f>IF(AQ233="1",BI233,0)</f>
        <v>0</v>
      </c>
      <c r="AD233" s="45">
        <f>IF(AQ233="7",BH233,0)</f>
        <v>0</v>
      </c>
      <c r="AE233" s="45">
        <f>IF(AQ233="7",BI233,0)</f>
        <v>0</v>
      </c>
      <c r="AF233" s="45">
        <f>IF(AQ233="2",BH233,0)</f>
        <v>0</v>
      </c>
      <c r="AG233" s="45">
        <f>IF(AQ233="2",BI233,0)</f>
        <v>0</v>
      </c>
      <c r="AH233" s="45">
        <f>IF(AQ233="0",BJ233,0)</f>
        <v>0</v>
      </c>
      <c r="AI233" s="44" t="s">
        <v>305</v>
      </c>
      <c r="AJ233" s="27">
        <f>IF(AN233=0,M233,0)</f>
        <v>0</v>
      </c>
      <c r="AK233" s="27">
        <f>IF(AN233=15,M233,0)</f>
        <v>0</v>
      </c>
      <c r="AL233" s="27">
        <f>IF(AN233=21,M233,0)</f>
        <v>0</v>
      </c>
      <c r="AN233" s="45">
        <v>15</v>
      </c>
      <c r="AO233" s="45">
        <f>J233*0.527983646860358</f>
        <v>0</v>
      </c>
      <c r="AP233" s="45">
        <f>J233*(1-0.527983646860358)</f>
        <v>0</v>
      </c>
      <c r="AQ233" s="46" t="s">
        <v>13</v>
      </c>
      <c r="AV233" s="45">
        <f>AW233+AX233</f>
        <v>0</v>
      </c>
      <c r="AW233" s="45">
        <f>I233*AO233</f>
        <v>0</v>
      </c>
      <c r="AX233" s="45">
        <f>I233*AP233</f>
        <v>0</v>
      </c>
      <c r="AY233" s="48" t="s">
        <v>1093</v>
      </c>
      <c r="AZ233" s="48" t="s">
        <v>1123</v>
      </c>
      <c r="BA233" s="44" t="s">
        <v>1139</v>
      </c>
      <c r="BC233" s="45">
        <f>AW233+AX233</f>
        <v>0</v>
      </c>
      <c r="BD233" s="45">
        <f>J233/(100-BE233)*100</f>
        <v>0</v>
      </c>
      <c r="BE233" s="45">
        <v>0</v>
      </c>
      <c r="BF233" s="45">
        <f>233</f>
        <v>233</v>
      </c>
      <c r="BH233" s="27">
        <f>I233*AO233</f>
        <v>0</v>
      </c>
      <c r="BI233" s="27">
        <f>I233*AP233</f>
        <v>0</v>
      </c>
      <c r="BJ233" s="27">
        <f>I233*J233</f>
        <v>0</v>
      </c>
      <c r="BK233" s="27" t="s">
        <v>1146</v>
      </c>
      <c r="BL233" s="45">
        <v>711</v>
      </c>
    </row>
    <row r="234" spans="1:64" x14ac:dyDescent="0.2">
      <c r="A234" s="6"/>
      <c r="D234" s="251" t="s">
        <v>779</v>
      </c>
      <c r="E234" s="252"/>
      <c r="F234" s="252"/>
      <c r="G234" s="252"/>
      <c r="H234" s="252"/>
      <c r="I234" s="252"/>
      <c r="J234" s="252"/>
      <c r="K234" s="252"/>
      <c r="L234" s="252"/>
      <c r="M234" s="252"/>
      <c r="N234" s="252"/>
      <c r="O234" s="253"/>
      <c r="P234" s="6"/>
    </row>
    <row r="235" spans="1:64" x14ac:dyDescent="0.2">
      <c r="A235" s="6"/>
      <c r="C235" s="21" t="s">
        <v>310</v>
      </c>
      <c r="D235" s="245" t="s">
        <v>781</v>
      </c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7"/>
      <c r="P235" s="6"/>
    </row>
    <row r="236" spans="1:64" x14ac:dyDescent="0.2">
      <c r="A236" s="5" t="s">
        <v>114</v>
      </c>
      <c r="B236" s="16" t="s">
        <v>305</v>
      </c>
      <c r="C236" s="16" t="s">
        <v>418</v>
      </c>
      <c r="D236" s="243" t="s">
        <v>782</v>
      </c>
      <c r="E236" s="244"/>
      <c r="F236" s="244"/>
      <c r="G236" s="244"/>
      <c r="H236" s="16" t="s">
        <v>1042</v>
      </c>
      <c r="I236" s="27">
        <v>143.77000000000001</v>
      </c>
      <c r="J236" s="149"/>
      <c r="K236" s="27">
        <f>I236*AO236</f>
        <v>0</v>
      </c>
      <c r="L236" s="27">
        <f>I236*AP236</f>
        <v>0</v>
      </c>
      <c r="M236" s="27">
        <f>I236*J236</f>
        <v>0</v>
      </c>
      <c r="N236" s="56">
        <f>IF(M623=0,0,M236/M623)</f>
        <v>0</v>
      </c>
      <c r="O236" s="39" t="s">
        <v>1068</v>
      </c>
      <c r="P236" s="6"/>
      <c r="Z236" s="45">
        <f>IF(AQ236="5",BJ236,0)</f>
        <v>0</v>
      </c>
      <c r="AB236" s="45">
        <f>IF(AQ236="1",BH236,0)</f>
        <v>0</v>
      </c>
      <c r="AC236" s="45">
        <f>IF(AQ236="1",BI236,0)</f>
        <v>0</v>
      </c>
      <c r="AD236" s="45">
        <f>IF(AQ236="7",BH236,0)</f>
        <v>0</v>
      </c>
      <c r="AE236" s="45">
        <f>IF(AQ236="7",BI236,0)</f>
        <v>0</v>
      </c>
      <c r="AF236" s="45">
        <f>IF(AQ236="2",BH236,0)</f>
        <v>0</v>
      </c>
      <c r="AG236" s="45">
        <f>IF(AQ236="2",BI236,0)</f>
        <v>0</v>
      </c>
      <c r="AH236" s="45">
        <f>IF(AQ236="0",BJ236,0)</f>
        <v>0</v>
      </c>
      <c r="AI236" s="44" t="s">
        <v>305</v>
      </c>
      <c r="AJ236" s="27">
        <f>IF(AN236=0,M236,0)</f>
        <v>0</v>
      </c>
      <c r="AK236" s="27">
        <f>IF(AN236=15,M236,0)</f>
        <v>0</v>
      </c>
      <c r="AL236" s="27">
        <f>IF(AN236=21,M236,0)</f>
        <v>0</v>
      </c>
      <c r="AN236" s="45">
        <v>15</v>
      </c>
      <c r="AO236" s="45">
        <f>J236*0.665378329975853</f>
        <v>0</v>
      </c>
      <c r="AP236" s="45">
        <f>J236*(1-0.665378329975853)</f>
        <v>0</v>
      </c>
      <c r="AQ236" s="46" t="s">
        <v>13</v>
      </c>
      <c r="AV236" s="45">
        <f>AW236+AX236</f>
        <v>0</v>
      </c>
      <c r="AW236" s="45">
        <f>I236*AO236</f>
        <v>0</v>
      </c>
      <c r="AX236" s="45">
        <f>I236*AP236</f>
        <v>0</v>
      </c>
      <c r="AY236" s="48" t="s">
        <v>1093</v>
      </c>
      <c r="AZ236" s="48" t="s">
        <v>1123</v>
      </c>
      <c r="BA236" s="44" t="s">
        <v>1139</v>
      </c>
      <c r="BC236" s="45">
        <f>AW236+AX236</f>
        <v>0</v>
      </c>
      <c r="BD236" s="45">
        <f>J236/(100-BE236)*100</f>
        <v>0</v>
      </c>
      <c r="BE236" s="45">
        <v>0</v>
      </c>
      <c r="BF236" s="45">
        <f>236</f>
        <v>236</v>
      </c>
      <c r="BH236" s="27">
        <f>I236*AO236</f>
        <v>0</v>
      </c>
      <c r="BI236" s="27">
        <f>I236*AP236</f>
        <v>0</v>
      </c>
      <c r="BJ236" s="27">
        <f>I236*J236</f>
        <v>0</v>
      </c>
      <c r="BK236" s="27" t="s">
        <v>1146</v>
      </c>
      <c r="BL236" s="45">
        <v>711</v>
      </c>
    </row>
    <row r="237" spans="1:64" x14ac:dyDescent="0.2">
      <c r="A237" s="6"/>
      <c r="D237" s="251" t="s">
        <v>783</v>
      </c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3"/>
      <c r="P237" s="6"/>
    </row>
    <row r="238" spans="1:64" x14ac:dyDescent="0.2">
      <c r="A238" s="6"/>
      <c r="C238" s="21" t="s">
        <v>310</v>
      </c>
      <c r="D238" s="245" t="s">
        <v>647</v>
      </c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7"/>
      <c r="P238" s="6"/>
    </row>
    <row r="239" spans="1:64" x14ac:dyDescent="0.2">
      <c r="A239" s="5" t="s">
        <v>115</v>
      </c>
      <c r="B239" s="16" t="s">
        <v>305</v>
      </c>
      <c r="C239" s="16" t="s">
        <v>419</v>
      </c>
      <c r="D239" s="243" t="s">
        <v>784</v>
      </c>
      <c r="E239" s="244"/>
      <c r="F239" s="244"/>
      <c r="G239" s="244"/>
      <c r="H239" s="16" t="s">
        <v>1042</v>
      </c>
      <c r="I239" s="27">
        <v>384.6</v>
      </c>
      <c r="J239" s="149"/>
      <c r="K239" s="27">
        <f>I239*AO239</f>
        <v>0</v>
      </c>
      <c r="L239" s="27">
        <f>I239*AP239</f>
        <v>0</v>
      </c>
      <c r="M239" s="27">
        <f>I239*J239</f>
        <v>0</v>
      </c>
      <c r="N239" s="56">
        <f>IF(M623=0,0,M239/M623)</f>
        <v>0</v>
      </c>
      <c r="O239" s="39" t="s">
        <v>1068</v>
      </c>
      <c r="P239" s="6"/>
      <c r="Z239" s="45">
        <f>IF(AQ239="5",BJ239,0)</f>
        <v>0</v>
      </c>
      <c r="AB239" s="45">
        <f>IF(AQ239="1",BH239,0)</f>
        <v>0</v>
      </c>
      <c r="AC239" s="45">
        <f>IF(AQ239="1",BI239,0)</f>
        <v>0</v>
      </c>
      <c r="AD239" s="45">
        <f>IF(AQ239="7",BH239,0)</f>
        <v>0</v>
      </c>
      <c r="AE239" s="45">
        <f>IF(AQ239="7",BI239,0)</f>
        <v>0</v>
      </c>
      <c r="AF239" s="45">
        <f>IF(AQ239="2",BH239,0)</f>
        <v>0</v>
      </c>
      <c r="AG239" s="45">
        <f>IF(AQ239="2",BI239,0)</f>
        <v>0</v>
      </c>
      <c r="AH239" s="45">
        <f>IF(AQ239="0",BJ239,0)</f>
        <v>0</v>
      </c>
      <c r="AI239" s="44" t="s">
        <v>305</v>
      </c>
      <c r="AJ239" s="27">
        <f>IF(AN239=0,M239,0)</f>
        <v>0</v>
      </c>
      <c r="AK239" s="27">
        <f>IF(AN239=15,M239,0)</f>
        <v>0</v>
      </c>
      <c r="AL239" s="27">
        <f>IF(AN239=21,M239,0)</f>
        <v>0</v>
      </c>
      <c r="AN239" s="45">
        <v>15</v>
      </c>
      <c r="AO239" s="45">
        <f>J239*0.646844319775596</f>
        <v>0</v>
      </c>
      <c r="AP239" s="45">
        <f>J239*(1-0.646844319775596)</f>
        <v>0</v>
      </c>
      <c r="AQ239" s="46" t="s">
        <v>13</v>
      </c>
      <c r="AV239" s="45">
        <f>AW239+AX239</f>
        <v>0</v>
      </c>
      <c r="AW239" s="45">
        <f>I239*AO239</f>
        <v>0</v>
      </c>
      <c r="AX239" s="45">
        <f>I239*AP239</f>
        <v>0</v>
      </c>
      <c r="AY239" s="48" t="s">
        <v>1093</v>
      </c>
      <c r="AZ239" s="48" t="s">
        <v>1123</v>
      </c>
      <c r="BA239" s="44" t="s">
        <v>1139</v>
      </c>
      <c r="BC239" s="45">
        <f>AW239+AX239</f>
        <v>0</v>
      </c>
      <c r="BD239" s="45">
        <f>J239/(100-BE239)*100</f>
        <v>0</v>
      </c>
      <c r="BE239" s="45">
        <v>0</v>
      </c>
      <c r="BF239" s="45">
        <f>239</f>
        <v>239</v>
      </c>
      <c r="BH239" s="27">
        <f>I239*AO239</f>
        <v>0</v>
      </c>
      <c r="BI239" s="27">
        <f>I239*AP239</f>
        <v>0</v>
      </c>
      <c r="BJ239" s="27">
        <f>I239*J239</f>
        <v>0</v>
      </c>
      <c r="BK239" s="27" t="s">
        <v>1146</v>
      </c>
      <c r="BL239" s="45">
        <v>711</v>
      </c>
    </row>
    <row r="240" spans="1:64" x14ac:dyDescent="0.2">
      <c r="A240" s="6"/>
      <c r="D240" s="251" t="s">
        <v>783</v>
      </c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3"/>
      <c r="P240" s="6"/>
    </row>
    <row r="241" spans="1:64" x14ac:dyDescent="0.2">
      <c r="A241" s="6"/>
      <c r="C241" s="21" t="s">
        <v>310</v>
      </c>
      <c r="D241" s="245" t="s">
        <v>781</v>
      </c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7"/>
      <c r="P241" s="6"/>
    </row>
    <row r="242" spans="1:64" x14ac:dyDescent="0.2">
      <c r="A242" s="5" t="s">
        <v>116</v>
      </c>
      <c r="B242" s="16" t="s">
        <v>305</v>
      </c>
      <c r="C242" s="16" t="s">
        <v>420</v>
      </c>
      <c r="D242" s="243" t="s">
        <v>785</v>
      </c>
      <c r="E242" s="244"/>
      <c r="F242" s="244"/>
      <c r="G242" s="244"/>
      <c r="H242" s="16" t="s">
        <v>1042</v>
      </c>
      <c r="I242" s="27">
        <v>177.36</v>
      </c>
      <c r="J242" s="149"/>
      <c r="K242" s="27">
        <f>I242*AO242</f>
        <v>0</v>
      </c>
      <c r="L242" s="27">
        <f>I242*AP242</f>
        <v>0</v>
      </c>
      <c r="M242" s="27">
        <f>I242*J242</f>
        <v>0</v>
      </c>
      <c r="N242" s="56">
        <f>IF(M623=0,0,M242/M623)</f>
        <v>0</v>
      </c>
      <c r="O242" s="39" t="s">
        <v>1068</v>
      </c>
      <c r="P242" s="6"/>
      <c r="Z242" s="45">
        <f>IF(AQ242="5",BJ242,0)</f>
        <v>0</v>
      </c>
      <c r="AB242" s="45">
        <f>IF(AQ242="1",BH242,0)</f>
        <v>0</v>
      </c>
      <c r="AC242" s="45">
        <f>IF(AQ242="1",BI242,0)</f>
        <v>0</v>
      </c>
      <c r="AD242" s="45">
        <f>IF(AQ242="7",BH242,0)</f>
        <v>0</v>
      </c>
      <c r="AE242" s="45">
        <f>IF(AQ242="7",BI242,0)</f>
        <v>0</v>
      </c>
      <c r="AF242" s="45">
        <f>IF(AQ242="2",BH242,0)</f>
        <v>0</v>
      </c>
      <c r="AG242" s="45">
        <f>IF(AQ242="2",BI242,0)</f>
        <v>0</v>
      </c>
      <c r="AH242" s="45">
        <f>IF(AQ242="0",BJ242,0)</f>
        <v>0</v>
      </c>
      <c r="AI242" s="44" t="s">
        <v>305</v>
      </c>
      <c r="AJ242" s="27">
        <f>IF(AN242=0,M242,0)</f>
        <v>0</v>
      </c>
      <c r="AK242" s="27">
        <f>IF(AN242=15,M242,0)</f>
        <v>0</v>
      </c>
      <c r="AL242" s="27">
        <f>IF(AN242=21,M242,0)</f>
        <v>0</v>
      </c>
      <c r="AN242" s="45">
        <v>15</v>
      </c>
      <c r="AO242" s="45">
        <f>J242*0.435170068027211</f>
        <v>0</v>
      </c>
      <c r="AP242" s="45">
        <f>J242*(1-0.435170068027211)</f>
        <v>0</v>
      </c>
      <c r="AQ242" s="46" t="s">
        <v>13</v>
      </c>
      <c r="AV242" s="45">
        <f>AW242+AX242</f>
        <v>0</v>
      </c>
      <c r="AW242" s="45">
        <f>I242*AO242</f>
        <v>0</v>
      </c>
      <c r="AX242" s="45">
        <f>I242*AP242</f>
        <v>0</v>
      </c>
      <c r="AY242" s="48" t="s">
        <v>1093</v>
      </c>
      <c r="AZ242" s="48" t="s">
        <v>1123</v>
      </c>
      <c r="BA242" s="44" t="s">
        <v>1139</v>
      </c>
      <c r="BC242" s="45">
        <f>AW242+AX242</f>
        <v>0</v>
      </c>
      <c r="BD242" s="45">
        <f>J242/(100-BE242)*100</f>
        <v>0</v>
      </c>
      <c r="BE242" s="45">
        <v>0</v>
      </c>
      <c r="BF242" s="45">
        <f>242</f>
        <v>242</v>
      </c>
      <c r="BH242" s="27">
        <f>I242*AO242</f>
        <v>0</v>
      </c>
      <c r="BI242" s="27">
        <f>I242*AP242</f>
        <v>0</v>
      </c>
      <c r="BJ242" s="27">
        <f>I242*J242</f>
        <v>0</v>
      </c>
      <c r="BK242" s="27" t="s">
        <v>1146</v>
      </c>
      <c r="BL242" s="45">
        <v>711</v>
      </c>
    </row>
    <row r="243" spans="1:64" x14ac:dyDescent="0.2">
      <c r="A243" s="6"/>
      <c r="D243" s="251" t="s">
        <v>786</v>
      </c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3"/>
      <c r="P243" s="6"/>
    </row>
    <row r="244" spans="1:64" x14ac:dyDescent="0.2">
      <c r="A244" s="6"/>
      <c r="C244" s="21" t="s">
        <v>310</v>
      </c>
      <c r="D244" s="245" t="s">
        <v>781</v>
      </c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7"/>
      <c r="P244" s="6"/>
    </row>
    <row r="245" spans="1:64" x14ac:dyDescent="0.2">
      <c r="A245" s="5" t="s">
        <v>117</v>
      </c>
      <c r="B245" s="16" t="s">
        <v>305</v>
      </c>
      <c r="C245" s="16" t="s">
        <v>421</v>
      </c>
      <c r="D245" s="243" t="s">
        <v>787</v>
      </c>
      <c r="E245" s="244"/>
      <c r="F245" s="244"/>
      <c r="G245" s="244"/>
      <c r="H245" s="16" t="s">
        <v>1042</v>
      </c>
      <c r="I245" s="27">
        <v>177.36</v>
      </c>
      <c r="J245" s="149"/>
      <c r="K245" s="27">
        <f>I245*AO245</f>
        <v>0</v>
      </c>
      <c r="L245" s="27">
        <f>I245*AP245</f>
        <v>0</v>
      </c>
      <c r="M245" s="27">
        <f>I245*J245</f>
        <v>0</v>
      </c>
      <c r="N245" s="56">
        <f>IF(M623=0,0,M245/M623)</f>
        <v>0</v>
      </c>
      <c r="O245" s="39" t="s">
        <v>1068</v>
      </c>
      <c r="P245" s="6"/>
      <c r="Z245" s="45">
        <f>IF(AQ245="5",BJ245,0)</f>
        <v>0</v>
      </c>
      <c r="AB245" s="45">
        <f>IF(AQ245="1",BH245,0)</f>
        <v>0</v>
      </c>
      <c r="AC245" s="45">
        <f>IF(AQ245="1",BI245,0)</f>
        <v>0</v>
      </c>
      <c r="AD245" s="45">
        <f>IF(AQ245="7",BH245,0)</f>
        <v>0</v>
      </c>
      <c r="AE245" s="45">
        <f>IF(AQ245="7",BI245,0)</f>
        <v>0</v>
      </c>
      <c r="AF245" s="45">
        <f>IF(AQ245="2",BH245,0)</f>
        <v>0</v>
      </c>
      <c r="AG245" s="45">
        <f>IF(AQ245="2",BI245,0)</f>
        <v>0</v>
      </c>
      <c r="AH245" s="45">
        <f>IF(AQ245="0",BJ245,0)</f>
        <v>0</v>
      </c>
      <c r="AI245" s="44" t="s">
        <v>305</v>
      </c>
      <c r="AJ245" s="27">
        <f>IF(AN245=0,M245,0)</f>
        <v>0</v>
      </c>
      <c r="AK245" s="27">
        <f>IF(AN245=15,M245,0)</f>
        <v>0</v>
      </c>
      <c r="AL245" s="27">
        <f>IF(AN245=21,M245,0)</f>
        <v>0</v>
      </c>
      <c r="AN245" s="45">
        <v>15</v>
      </c>
      <c r="AO245" s="45">
        <f>J245*0.378890190915237</f>
        <v>0</v>
      </c>
      <c r="AP245" s="45">
        <f>J245*(1-0.378890190915237)</f>
        <v>0</v>
      </c>
      <c r="AQ245" s="46" t="s">
        <v>13</v>
      </c>
      <c r="AV245" s="45">
        <f>AW245+AX245</f>
        <v>0</v>
      </c>
      <c r="AW245" s="45">
        <f>I245*AO245</f>
        <v>0</v>
      </c>
      <c r="AX245" s="45">
        <f>I245*AP245</f>
        <v>0</v>
      </c>
      <c r="AY245" s="48" t="s">
        <v>1093</v>
      </c>
      <c r="AZ245" s="48" t="s">
        <v>1123</v>
      </c>
      <c r="BA245" s="44" t="s">
        <v>1139</v>
      </c>
      <c r="BC245" s="45">
        <f>AW245+AX245</f>
        <v>0</v>
      </c>
      <c r="BD245" s="45">
        <f>J245/(100-BE245)*100</f>
        <v>0</v>
      </c>
      <c r="BE245" s="45">
        <v>0</v>
      </c>
      <c r="BF245" s="45">
        <f>245</f>
        <v>245</v>
      </c>
      <c r="BH245" s="27">
        <f>I245*AO245</f>
        <v>0</v>
      </c>
      <c r="BI245" s="27">
        <f>I245*AP245</f>
        <v>0</v>
      </c>
      <c r="BJ245" s="27">
        <f>I245*J245</f>
        <v>0</v>
      </c>
      <c r="BK245" s="27" t="s">
        <v>1146</v>
      </c>
      <c r="BL245" s="45">
        <v>711</v>
      </c>
    </row>
    <row r="246" spans="1:64" x14ac:dyDescent="0.2">
      <c r="A246" s="6"/>
      <c r="D246" s="251" t="s">
        <v>788</v>
      </c>
      <c r="E246" s="252"/>
      <c r="F246" s="252"/>
      <c r="G246" s="252"/>
      <c r="H246" s="252"/>
      <c r="I246" s="252"/>
      <c r="J246" s="252"/>
      <c r="K246" s="252"/>
      <c r="L246" s="252"/>
      <c r="M246" s="252"/>
      <c r="N246" s="252"/>
      <c r="O246" s="253"/>
      <c r="P246" s="6"/>
    </row>
    <row r="247" spans="1:64" x14ac:dyDescent="0.2">
      <c r="A247" s="6"/>
      <c r="C247" s="21" t="s">
        <v>310</v>
      </c>
      <c r="D247" s="245" t="s">
        <v>781</v>
      </c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7"/>
      <c r="P247" s="6"/>
    </row>
    <row r="248" spans="1:64" x14ac:dyDescent="0.2">
      <c r="A248" s="5" t="s">
        <v>118</v>
      </c>
      <c r="B248" s="16" t="s">
        <v>305</v>
      </c>
      <c r="C248" s="16" t="s">
        <v>422</v>
      </c>
      <c r="D248" s="243" t="s">
        <v>789</v>
      </c>
      <c r="E248" s="244"/>
      <c r="F248" s="244"/>
      <c r="G248" s="244"/>
      <c r="H248" s="16" t="s">
        <v>1042</v>
      </c>
      <c r="I248" s="27">
        <v>69.989999999999995</v>
      </c>
      <c r="J248" s="149"/>
      <c r="K248" s="27">
        <f>I248*AO248</f>
        <v>0</v>
      </c>
      <c r="L248" s="27">
        <f>I248*AP248</f>
        <v>0</v>
      </c>
      <c r="M248" s="27">
        <f>I248*J248</f>
        <v>0</v>
      </c>
      <c r="N248" s="56">
        <f>IF(M623=0,0,M248/M623)</f>
        <v>0</v>
      </c>
      <c r="O248" s="39" t="s">
        <v>1068</v>
      </c>
      <c r="P248" s="6"/>
      <c r="Z248" s="45">
        <f>IF(AQ248="5",BJ248,0)</f>
        <v>0</v>
      </c>
      <c r="AB248" s="45">
        <f>IF(AQ248="1",BH248,0)</f>
        <v>0</v>
      </c>
      <c r="AC248" s="45">
        <f>IF(AQ248="1",BI248,0)</f>
        <v>0</v>
      </c>
      <c r="AD248" s="45">
        <f>IF(AQ248="7",BH248,0)</f>
        <v>0</v>
      </c>
      <c r="AE248" s="45">
        <f>IF(AQ248="7",BI248,0)</f>
        <v>0</v>
      </c>
      <c r="AF248" s="45">
        <f>IF(AQ248="2",BH248,0)</f>
        <v>0</v>
      </c>
      <c r="AG248" s="45">
        <f>IF(AQ248="2",BI248,0)</f>
        <v>0</v>
      </c>
      <c r="AH248" s="45">
        <f>IF(AQ248="0",BJ248,0)</f>
        <v>0</v>
      </c>
      <c r="AI248" s="44" t="s">
        <v>305</v>
      </c>
      <c r="AJ248" s="27">
        <f>IF(AN248=0,M248,0)</f>
        <v>0</v>
      </c>
      <c r="AK248" s="27">
        <f>IF(AN248=15,M248,0)</f>
        <v>0</v>
      </c>
      <c r="AL248" s="27">
        <f>IF(AN248=21,M248,0)</f>
        <v>0</v>
      </c>
      <c r="AN248" s="45">
        <v>15</v>
      </c>
      <c r="AO248" s="45">
        <f>J248*0</f>
        <v>0</v>
      </c>
      <c r="AP248" s="45">
        <f>J248*(1-0)</f>
        <v>0</v>
      </c>
      <c r="AQ248" s="46" t="s">
        <v>13</v>
      </c>
      <c r="AV248" s="45">
        <f>AW248+AX248</f>
        <v>0</v>
      </c>
      <c r="AW248" s="45">
        <f>I248*AO248</f>
        <v>0</v>
      </c>
      <c r="AX248" s="45">
        <f>I248*AP248</f>
        <v>0</v>
      </c>
      <c r="AY248" s="48" t="s">
        <v>1093</v>
      </c>
      <c r="AZ248" s="48" t="s">
        <v>1123</v>
      </c>
      <c r="BA248" s="44" t="s">
        <v>1139</v>
      </c>
      <c r="BC248" s="45">
        <f>AW248+AX248</f>
        <v>0</v>
      </c>
      <c r="BD248" s="45">
        <f>J248/(100-BE248)*100</f>
        <v>0</v>
      </c>
      <c r="BE248" s="45">
        <v>0</v>
      </c>
      <c r="BF248" s="45">
        <f>248</f>
        <v>248</v>
      </c>
      <c r="BH248" s="27">
        <f>I248*AO248</f>
        <v>0</v>
      </c>
      <c r="BI248" s="27">
        <f>I248*AP248</f>
        <v>0</v>
      </c>
      <c r="BJ248" s="27">
        <f>I248*J248</f>
        <v>0</v>
      </c>
      <c r="BK248" s="27" t="s">
        <v>1146</v>
      </c>
      <c r="BL248" s="45">
        <v>711</v>
      </c>
    </row>
    <row r="249" spans="1:64" x14ac:dyDescent="0.2">
      <c r="A249" s="6"/>
      <c r="C249" s="21" t="s">
        <v>310</v>
      </c>
      <c r="D249" s="245" t="s">
        <v>790</v>
      </c>
      <c r="E249" s="246"/>
      <c r="F249" s="246"/>
      <c r="G249" s="246"/>
      <c r="H249" s="246"/>
      <c r="I249" s="246"/>
      <c r="J249" s="246"/>
      <c r="K249" s="246"/>
      <c r="L249" s="246"/>
      <c r="M249" s="246"/>
      <c r="N249" s="246"/>
      <c r="O249" s="247"/>
      <c r="P249" s="6"/>
    </row>
    <row r="250" spans="1:64" x14ac:dyDescent="0.2">
      <c r="A250" s="7" t="s">
        <v>119</v>
      </c>
      <c r="B250" s="17" t="s">
        <v>305</v>
      </c>
      <c r="C250" s="17" t="s">
        <v>423</v>
      </c>
      <c r="D250" s="241" t="s">
        <v>791</v>
      </c>
      <c r="E250" s="242"/>
      <c r="F250" s="242"/>
      <c r="G250" s="242"/>
      <c r="H250" s="17" t="s">
        <v>1042</v>
      </c>
      <c r="I250" s="28">
        <v>72.44</v>
      </c>
      <c r="J250" s="154"/>
      <c r="K250" s="28">
        <f>I250*AO250</f>
        <v>0</v>
      </c>
      <c r="L250" s="28">
        <f>I250*AP250</f>
        <v>0</v>
      </c>
      <c r="M250" s="28">
        <f>I250*J250</f>
        <v>0</v>
      </c>
      <c r="N250" s="57">
        <f>IF(M623=0,0,M250/M623)</f>
        <v>0</v>
      </c>
      <c r="O250" s="40" t="s">
        <v>1068</v>
      </c>
      <c r="P250" s="6"/>
      <c r="Z250" s="45">
        <f>IF(AQ250="5",BJ250,0)</f>
        <v>0</v>
      </c>
      <c r="AB250" s="45">
        <f>IF(AQ250="1",BH250,0)</f>
        <v>0</v>
      </c>
      <c r="AC250" s="45">
        <f>IF(AQ250="1",BI250,0)</f>
        <v>0</v>
      </c>
      <c r="AD250" s="45">
        <f>IF(AQ250="7",BH250,0)</f>
        <v>0</v>
      </c>
      <c r="AE250" s="45">
        <f>IF(AQ250="7",BI250,0)</f>
        <v>0</v>
      </c>
      <c r="AF250" s="45">
        <f>IF(AQ250="2",BH250,0)</f>
        <v>0</v>
      </c>
      <c r="AG250" s="45">
        <f>IF(AQ250="2",BI250,0)</f>
        <v>0</v>
      </c>
      <c r="AH250" s="45">
        <f>IF(AQ250="0",BJ250,0)</f>
        <v>0</v>
      </c>
      <c r="AI250" s="44" t="s">
        <v>305</v>
      </c>
      <c r="AJ250" s="28">
        <f>IF(AN250=0,M250,0)</f>
        <v>0</v>
      </c>
      <c r="AK250" s="28">
        <f>IF(AN250=15,M250,0)</f>
        <v>0</v>
      </c>
      <c r="AL250" s="28">
        <f>IF(AN250=21,M250,0)</f>
        <v>0</v>
      </c>
      <c r="AN250" s="45">
        <v>15</v>
      </c>
      <c r="AO250" s="45">
        <f>J250*1</f>
        <v>0</v>
      </c>
      <c r="AP250" s="45">
        <f>J250*(1-1)</f>
        <v>0</v>
      </c>
      <c r="AQ250" s="47" t="s">
        <v>13</v>
      </c>
      <c r="AV250" s="45">
        <f>AW250+AX250</f>
        <v>0</v>
      </c>
      <c r="AW250" s="45">
        <f>I250*AO250</f>
        <v>0</v>
      </c>
      <c r="AX250" s="45">
        <f>I250*AP250</f>
        <v>0</v>
      </c>
      <c r="AY250" s="48" t="s">
        <v>1093</v>
      </c>
      <c r="AZ250" s="48" t="s">
        <v>1123</v>
      </c>
      <c r="BA250" s="44" t="s">
        <v>1139</v>
      </c>
      <c r="BC250" s="45">
        <f>AW250+AX250</f>
        <v>0</v>
      </c>
      <c r="BD250" s="45">
        <f>J250/(100-BE250)*100</f>
        <v>0</v>
      </c>
      <c r="BE250" s="45">
        <v>0</v>
      </c>
      <c r="BF250" s="45">
        <f>250</f>
        <v>250</v>
      </c>
      <c r="BH250" s="28">
        <f>I250*AO250</f>
        <v>0</v>
      </c>
      <c r="BI250" s="28">
        <f>I250*AP250</f>
        <v>0</v>
      </c>
      <c r="BJ250" s="28">
        <f>I250*J250</f>
        <v>0</v>
      </c>
      <c r="BK250" s="28" t="s">
        <v>1147</v>
      </c>
      <c r="BL250" s="45">
        <v>711</v>
      </c>
    </row>
    <row r="251" spans="1:64" x14ac:dyDescent="0.2">
      <c r="A251" s="5" t="s">
        <v>120</v>
      </c>
      <c r="B251" s="16" t="s">
        <v>305</v>
      </c>
      <c r="C251" s="16" t="s">
        <v>424</v>
      </c>
      <c r="D251" s="243" t="s">
        <v>792</v>
      </c>
      <c r="E251" s="244"/>
      <c r="F251" s="244"/>
      <c r="G251" s="244"/>
      <c r="H251" s="16" t="s">
        <v>1042</v>
      </c>
      <c r="I251" s="27">
        <v>105.38</v>
      </c>
      <c r="J251" s="149"/>
      <c r="K251" s="27">
        <f>I251*AO251</f>
        <v>0</v>
      </c>
      <c r="L251" s="27">
        <f>I251*AP251</f>
        <v>0</v>
      </c>
      <c r="M251" s="27">
        <f>I251*J251</f>
        <v>0</v>
      </c>
      <c r="N251" s="56">
        <f>IF(M623=0,0,M251/M623)</f>
        <v>0</v>
      </c>
      <c r="O251" s="39" t="s">
        <v>1068</v>
      </c>
      <c r="P251" s="6"/>
      <c r="Z251" s="45">
        <f>IF(AQ251="5",BJ251,0)</f>
        <v>0</v>
      </c>
      <c r="AB251" s="45">
        <f>IF(AQ251="1",BH251,0)</f>
        <v>0</v>
      </c>
      <c r="AC251" s="45">
        <f>IF(AQ251="1",BI251,0)</f>
        <v>0</v>
      </c>
      <c r="AD251" s="45">
        <f>IF(AQ251="7",BH251,0)</f>
        <v>0</v>
      </c>
      <c r="AE251" s="45">
        <f>IF(AQ251="7",BI251,0)</f>
        <v>0</v>
      </c>
      <c r="AF251" s="45">
        <f>IF(AQ251="2",BH251,0)</f>
        <v>0</v>
      </c>
      <c r="AG251" s="45">
        <f>IF(AQ251="2",BI251,0)</f>
        <v>0</v>
      </c>
      <c r="AH251" s="45">
        <f>IF(AQ251="0",BJ251,0)</f>
        <v>0</v>
      </c>
      <c r="AI251" s="44" t="s">
        <v>305</v>
      </c>
      <c r="AJ251" s="27">
        <f>IF(AN251=0,M251,0)</f>
        <v>0</v>
      </c>
      <c r="AK251" s="27">
        <f>IF(AN251=15,M251,0)</f>
        <v>0</v>
      </c>
      <c r="AL251" s="27">
        <f>IF(AN251=21,M251,0)</f>
        <v>0</v>
      </c>
      <c r="AN251" s="45">
        <v>15</v>
      </c>
      <c r="AO251" s="45">
        <f>J251*0.610140845070423</f>
        <v>0</v>
      </c>
      <c r="AP251" s="45">
        <f>J251*(1-0.610140845070423)</f>
        <v>0</v>
      </c>
      <c r="AQ251" s="46" t="s">
        <v>13</v>
      </c>
      <c r="AV251" s="45">
        <f>AW251+AX251</f>
        <v>0</v>
      </c>
      <c r="AW251" s="45">
        <f>I251*AO251</f>
        <v>0</v>
      </c>
      <c r="AX251" s="45">
        <f>I251*AP251</f>
        <v>0</v>
      </c>
      <c r="AY251" s="48" t="s">
        <v>1093</v>
      </c>
      <c r="AZ251" s="48" t="s">
        <v>1123</v>
      </c>
      <c r="BA251" s="44" t="s">
        <v>1139</v>
      </c>
      <c r="BC251" s="45">
        <f>AW251+AX251</f>
        <v>0</v>
      </c>
      <c r="BD251" s="45">
        <f>J251/(100-BE251)*100</f>
        <v>0</v>
      </c>
      <c r="BE251" s="45">
        <v>0</v>
      </c>
      <c r="BF251" s="45">
        <f>251</f>
        <v>251</v>
      </c>
      <c r="BH251" s="27">
        <f>I251*AO251</f>
        <v>0</v>
      </c>
      <c r="BI251" s="27">
        <f>I251*AP251</f>
        <v>0</v>
      </c>
      <c r="BJ251" s="27">
        <f>I251*J251</f>
        <v>0</v>
      </c>
      <c r="BK251" s="27" t="s">
        <v>1146</v>
      </c>
      <c r="BL251" s="45">
        <v>711</v>
      </c>
    </row>
    <row r="252" spans="1:64" x14ac:dyDescent="0.2">
      <c r="A252" s="6"/>
      <c r="D252" s="251" t="s">
        <v>793</v>
      </c>
      <c r="E252" s="252"/>
      <c r="F252" s="252"/>
      <c r="G252" s="252"/>
      <c r="H252" s="252"/>
      <c r="I252" s="252"/>
      <c r="J252" s="252"/>
      <c r="K252" s="252"/>
      <c r="L252" s="252"/>
      <c r="M252" s="252"/>
      <c r="N252" s="252"/>
      <c r="O252" s="253"/>
      <c r="P252" s="6"/>
    </row>
    <row r="253" spans="1:64" x14ac:dyDescent="0.2">
      <c r="A253" s="6"/>
      <c r="C253" s="21" t="s">
        <v>310</v>
      </c>
      <c r="D253" s="245" t="s">
        <v>753</v>
      </c>
      <c r="E253" s="246"/>
      <c r="F253" s="246"/>
      <c r="G253" s="246"/>
      <c r="H253" s="246"/>
      <c r="I253" s="246"/>
      <c r="J253" s="246"/>
      <c r="K253" s="246"/>
      <c r="L253" s="246"/>
      <c r="M253" s="246"/>
      <c r="N253" s="246"/>
      <c r="O253" s="247"/>
      <c r="P253" s="6"/>
    </row>
    <row r="254" spans="1:64" x14ac:dyDescent="0.2">
      <c r="A254" s="5" t="s">
        <v>121</v>
      </c>
      <c r="B254" s="16" t="s">
        <v>305</v>
      </c>
      <c r="C254" s="16" t="s">
        <v>425</v>
      </c>
      <c r="D254" s="243" t="s">
        <v>794</v>
      </c>
      <c r="E254" s="244"/>
      <c r="F254" s="244"/>
      <c r="G254" s="244"/>
      <c r="H254" s="16" t="s">
        <v>1043</v>
      </c>
      <c r="I254" s="27">
        <v>4</v>
      </c>
      <c r="J254" s="149"/>
      <c r="K254" s="27">
        <f>I254*AO254</f>
        <v>0</v>
      </c>
      <c r="L254" s="27">
        <f>I254*AP254</f>
        <v>0</v>
      </c>
      <c r="M254" s="27">
        <f>I254*J254</f>
        <v>0</v>
      </c>
      <c r="N254" s="56">
        <f>IF(M623=0,0,M254/M623)</f>
        <v>0</v>
      </c>
      <c r="O254" s="39" t="s">
        <v>1068</v>
      </c>
      <c r="P254" s="6"/>
      <c r="Z254" s="45">
        <f>IF(AQ254="5",BJ254,0)</f>
        <v>0</v>
      </c>
      <c r="AB254" s="45">
        <f>IF(AQ254="1",BH254,0)</f>
        <v>0</v>
      </c>
      <c r="AC254" s="45">
        <f>IF(AQ254="1",BI254,0)</f>
        <v>0</v>
      </c>
      <c r="AD254" s="45">
        <f>IF(AQ254="7",BH254,0)</f>
        <v>0</v>
      </c>
      <c r="AE254" s="45">
        <f>IF(AQ254="7",BI254,0)</f>
        <v>0</v>
      </c>
      <c r="AF254" s="45">
        <f>IF(AQ254="2",BH254,0)</f>
        <v>0</v>
      </c>
      <c r="AG254" s="45">
        <f>IF(AQ254="2",BI254,0)</f>
        <v>0</v>
      </c>
      <c r="AH254" s="45">
        <f>IF(AQ254="0",BJ254,0)</f>
        <v>0</v>
      </c>
      <c r="AI254" s="44" t="s">
        <v>305</v>
      </c>
      <c r="AJ254" s="27">
        <f>IF(AN254=0,M254,0)</f>
        <v>0</v>
      </c>
      <c r="AK254" s="27">
        <f>IF(AN254=15,M254,0)</f>
        <v>0</v>
      </c>
      <c r="AL254" s="27">
        <f>IF(AN254=21,M254,0)</f>
        <v>0</v>
      </c>
      <c r="AN254" s="45">
        <v>15</v>
      </c>
      <c r="AO254" s="45">
        <f>J254*0</f>
        <v>0</v>
      </c>
      <c r="AP254" s="45">
        <f>J254*(1-0)</f>
        <v>0</v>
      </c>
      <c r="AQ254" s="46" t="s">
        <v>11</v>
      </c>
      <c r="AV254" s="45">
        <f>AW254+AX254</f>
        <v>0</v>
      </c>
      <c r="AW254" s="45">
        <f>I254*AO254</f>
        <v>0</v>
      </c>
      <c r="AX254" s="45">
        <f>I254*AP254</f>
        <v>0</v>
      </c>
      <c r="AY254" s="48" t="s">
        <v>1093</v>
      </c>
      <c r="AZ254" s="48" t="s">
        <v>1123</v>
      </c>
      <c r="BA254" s="44" t="s">
        <v>1139</v>
      </c>
      <c r="BC254" s="45">
        <f>AW254+AX254</f>
        <v>0</v>
      </c>
      <c r="BD254" s="45">
        <f>J254/(100-BE254)*100</f>
        <v>0</v>
      </c>
      <c r="BE254" s="45">
        <v>0</v>
      </c>
      <c r="BF254" s="45">
        <f>254</f>
        <v>254</v>
      </c>
      <c r="BH254" s="27">
        <f>I254*AO254</f>
        <v>0</v>
      </c>
      <c r="BI254" s="27">
        <f>I254*AP254</f>
        <v>0</v>
      </c>
      <c r="BJ254" s="27">
        <f>I254*J254</f>
        <v>0</v>
      </c>
      <c r="BK254" s="27" t="s">
        <v>1146</v>
      </c>
      <c r="BL254" s="45">
        <v>711</v>
      </c>
    </row>
    <row r="255" spans="1:64" x14ac:dyDescent="0.2">
      <c r="A255" s="4"/>
      <c r="B255" s="15" t="s">
        <v>305</v>
      </c>
      <c r="C255" s="15" t="s">
        <v>426</v>
      </c>
      <c r="D255" s="237" t="s">
        <v>795</v>
      </c>
      <c r="E255" s="238"/>
      <c r="F255" s="238"/>
      <c r="G255" s="238"/>
      <c r="H255" s="24" t="s">
        <v>6</v>
      </c>
      <c r="I255" s="24" t="s">
        <v>6</v>
      </c>
      <c r="J255" s="24" t="s">
        <v>6</v>
      </c>
      <c r="K255" s="51">
        <f>SUM(K256:K295)</f>
        <v>0</v>
      </c>
      <c r="L255" s="51">
        <f>SUM(L256:L295)</f>
        <v>0</v>
      </c>
      <c r="M255" s="51">
        <f>SUM(M256:M295)</f>
        <v>0</v>
      </c>
      <c r="N255" s="55">
        <f>IF(M623=0,0,M255/M623)</f>
        <v>0</v>
      </c>
      <c r="O255" s="38"/>
      <c r="P255" s="6"/>
      <c r="AI255" s="44" t="s">
        <v>305</v>
      </c>
      <c r="AS255" s="51">
        <f>SUM(AJ256:AJ295)</f>
        <v>0</v>
      </c>
      <c r="AT255" s="51">
        <f>SUM(AK256:AK295)</f>
        <v>0</v>
      </c>
      <c r="AU255" s="51">
        <f>SUM(AL256:AL295)</f>
        <v>0</v>
      </c>
    </row>
    <row r="256" spans="1:64" x14ac:dyDescent="0.2">
      <c r="A256" s="5" t="s">
        <v>122</v>
      </c>
      <c r="B256" s="16" t="s">
        <v>305</v>
      </c>
      <c r="C256" s="16" t="s">
        <v>427</v>
      </c>
      <c r="D256" s="243" t="s">
        <v>796</v>
      </c>
      <c r="E256" s="244"/>
      <c r="F256" s="244"/>
      <c r="G256" s="244"/>
      <c r="H256" s="16" t="s">
        <v>1042</v>
      </c>
      <c r="I256" s="27">
        <v>117.06</v>
      </c>
      <c r="J256" s="149"/>
      <c r="K256" s="27">
        <f>I256*AO256</f>
        <v>0</v>
      </c>
      <c r="L256" s="27">
        <f>I256*AP256</f>
        <v>0</v>
      </c>
      <c r="M256" s="27">
        <f>I256*J256</f>
        <v>0</v>
      </c>
      <c r="N256" s="56">
        <f>IF(M623=0,0,M256/M623)</f>
        <v>0</v>
      </c>
      <c r="O256" s="39" t="s">
        <v>1068</v>
      </c>
      <c r="P256" s="6"/>
      <c r="Z256" s="45">
        <f>IF(AQ256="5",BJ256,0)</f>
        <v>0</v>
      </c>
      <c r="AB256" s="45">
        <f>IF(AQ256="1",BH256,0)</f>
        <v>0</v>
      </c>
      <c r="AC256" s="45">
        <f>IF(AQ256="1",BI256,0)</f>
        <v>0</v>
      </c>
      <c r="AD256" s="45">
        <f>IF(AQ256="7",BH256,0)</f>
        <v>0</v>
      </c>
      <c r="AE256" s="45">
        <f>IF(AQ256="7",BI256,0)</f>
        <v>0</v>
      </c>
      <c r="AF256" s="45">
        <f>IF(AQ256="2",BH256,0)</f>
        <v>0</v>
      </c>
      <c r="AG256" s="45">
        <f>IF(AQ256="2",BI256,0)</f>
        <v>0</v>
      </c>
      <c r="AH256" s="45">
        <f>IF(AQ256="0",BJ256,0)</f>
        <v>0</v>
      </c>
      <c r="AI256" s="44" t="s">
        <v>305</v>
      </c>
      <c r="AJ256" s="27">
        <f>IF(AN256=0,M256,0)</f>
        <v>0</v>
      </c>
      <c r="AK256" s="27">
        <f>IF(AN256=15,M256,0)</f>
        <v>0</v>
      </c>
      <c r="AL256" s="27">
        <f>IF(AN256=21,M256,0)</f>
        <v>0</v>
      </c>
      <c r="AN256" s="45">
        <v>15</v>
      </c>
      <c r="AO256" s="45">
        <f>J256*0.604545454545454</f>
        <v>0</v>
      </c>
      <c r="AP256" s="45">
        <f>J256*(1-0.604545454545454)</f>
        <v>0</v>
      </c>
      <c r="AQ256" s="46" t="s">
        <v>13</v>
      </c>
      <c r="AV256" s="45">
        <f>AW256+AX256</f>
        <v>0</v>
      </c>
      <c r="AW256" s="45">
        <f>I256*AO256</f>
        <v>0</v>
      </c>
      <c r="AX256" s="45">
        <f>I256*AP256</f>
        <v>0</v>
      </c>
      <c r="AY256" s="48" t="s">
        <v>1094</v>
      </c>
      <c r="AZ256" s="48" t="s">
        <v>1123</v>
      </c>
      <c r="BA256" s="44" t="s">
        <v>1139</v>
      </c>
      <c r="BC256" s="45">
        <f>AW256+AX256</f>
        <v>0</v>
      </c>
      <c r="BD256" s="45">
        <f>J256/(100-BE256)*100</f>
        <v>0</v>
      </c>
      <c r="BE256" s="45">
        <v>0</v>
      </c>
      <c r="BF256" s="45">
        <f>256</f>
        <v>256</v>
      </c>
      <c r="BH256" s="27">
        <f>I256*AO256</f>
        <v>0</v>
      </c>
      <c r="BI256" s="27">
        <f>I256*AP256</f>
        <v>0</v>
      </c>
      <c r="BJ256" s="27">
        <f>I256*J256</f>
        <v>0</v>
      </c>
      <c r="BK256" s="27" t="s">
        <v>1146</v>
      </c>
      <c r="BL256" s="45">
        <v>712</v>
      </c>
    </row>
    <row r="257" spans="1:64" x14ac:dyDescent="0.2">
      <c r="A257" s="6"/>
      <c r="D257" s="251" t="s">
        <v>779</v>
      </c>
      <c r="E257" s="252"/>
      <c r="F257" s="252"/>
      <c r="G257" s="252"/>
      <c r="H257" s="252"/>
      <c r="I257" s="252"/>
      <c r="J257" s="252"/>
      <c r="K257" s="252"/>
      <c r="L257" s="252"/>
      <c r="M257" s="252"/>
      <c r="N257" s="252"/>
      <c r="O257" s="253"/>
      <c r="P257" s="6"/>
    </row>
    <row r="258" spans="1:64" x14ac:dyDescent="0.2">
      <c r="A258" s="6"/>
      <c r="C258" s="21" t="s">
        <v>310</v>
      </c>
      <c r="D258" s="245" t="s">
        <v>790</v>
      </c>
      <c r="E258" s="246"/>
      <c r="F258" s="246"/>
      <c r="G258" s="246"/>
      <c r="H258" s="246"/>
      <c r="I258" s="246"/>
      <c r="J258" s="246"/>
      <c r="K258" s="246"/>
      <c r="L258" s="246"/>
      <c r="M258" s="246"/>
      <c r="N258" s="246"/>
      <c r="O258" s="247"/>
      <c r="P258" s="6"/>
    </row>
    <row r="259" spans="1:64" x14ac:dyDescent="0.2">
      <c r="A259" s="5" t="s">
        <v>123</v>
      </c>
      <c r="B259" s="16" t="s">
        <v>305</v>
      </c>
      <c r="C259" s="16" t="s">
        <v>428</v>
      </c>
      <c r="D259" s="243" t="s">
        <v>797</v>
      </c>
      <c r="E259" s="244"/>
      <c r="F259" s="244"/>
      <c r="G259" s="244"/>
      <c r="H259" s="16" t="s">
        <v>1042</v>
      </c>
      <c r="I259" s="27">
        <v>64.930000000000007</v>
      </c>
      <c r="J259" s="149"/>
      <c r="K259" s="27">
        <f>I259*AO259</f>
        <v>0</v>
      </c>
      <c r="L259" s="27">
        <f>I259*AP259</f>
        <v>0</v>
      </c>
      <c r="M259" s="27">
        <f>I259*J259</f>
        <v>0</v>
      </c>
      <c r="N259" s="56">
        <f>IF(M623=0,0,M259/M623)</f>
        <v>0</v>
      </c>
      <c r="O259" s="39" t="s">
        <v>1068</v>
      </c>
      <c r="P259" s="6"/>
      <c r="Z259" s="45">
        <f>IF(AQ259="5",BJ259,0)</f>
        <v>0</v>
      </c>
      <c r="AB259" s="45">
        <f>IF(AQ259="1",BH259,0)</f>
        <v>0</v>
      </c>
      <c r="AC259" s="45">
        <f>IF(AQ259="1",BI259,0)</f>
        <v>0</v>
      </c>
      <c r="AD259" s="45">
        <f>IF(AQ259="7",BH259,0)</f>
        <v>0</v>
      </c>
      <c r="AE259" s="45">
        <f>IF(AQ259="7",BI259,0)</f>
        <v>0</v>
      </c>
      <c r="AF259" s="45">
        <f>IF(AQ259="2",BH259,0)</f>
        <v>0</v>
      </c>
      <c r="AG259" s="45">
        <f>IF(AQ259="2",BI259,0)</f>
        <v>0</v>
      </c>
      <c r="AH259" s="45">
        <f>IF(AQ259="0",BJ259,0)</f>
        <v>0</v>
      </c>
      <c r="AI259" s="44" t="s">
        <v>305</v>
      </c>
      <c r="AJ259" s="27">
        <f>IF(AN259=0,M259,0)</f>
        <v>0</v>
      </c>
      <c r="AK259" s="27">
        <f>IF(AN259=15,M259,0)</f>
        <v>0</v>
      </c>
      <c r="AL259" s="27">
        <f>IF(AN259=21,M259,0)</f>
        <v>0</v>
      </c>
      <c r="AN259" s="45">
        <v>15</v>
      </c>
      <c r="AO259" s="45">
        <f>J259*0.534737012817549</f>
        <v>0</v>
      </c>
      <c r="AP259" s="45">
        <f>J259*(1-0.534737012817549)</f>
        <v>0</v>
      </c>
      <c r="AQ259" s="46" t="s">
        <v>13</v>
      </c>
      <c r="AV259" s="45">
        <f>AW259+AX259</f>
        <v>0</v>
      </c>
      <c r="AW259" s="45">
        <f>I259*AO259</f>
        <v>0</v>
      </c>
      <c r="AX259" s="45">
        <f>I259*AP259</f>
        <v>0</v>
      </c>
      <c r="AY259" s="48" t="s">
        <v>1094</v>
      </c>
      <c r="AZ259" s="48" t="s">
        <v>1123</v>
      </c>
      <c r="BA259" s="44" t="s">
        <v>1139</v>
      </c>
      <c r="BC259" s="45">
        <f>AW259+AX259</f>
        <v>0</v>
      </c>
      <c r="BD259" s="45">
        <f>J259/(100-BE259)*100</f>
        <v>0</v>
      </c>
      <c r="BE259" s="45">
        <v>0</v>
      </c>
      <c r="BF259" s="45">
        <f>259</f>
        <v>259</v>
      </c>
      <c r="BH259" s="27">
        <f>I259*AO259</f>
        <v>0</v>
      </c>
      <c r="BI259" s="27">
        <f>I259*AP259</f>
        <v>0</v>
      </c>
      <c r="BJ259" s="27">
        <f>I259*J259</f>
        <v>0</v>
      </c>
      <c r="BK259" s="27" t="s">
        <v>1146</v>
      </c>
      <c r="BL259" s="45">
        <v>712</v>
      </c>
    </row>
    <row r="260" spans="1:64" x14ac:dyDescent="0.2">
      <c r="A260" s="6"/>
      <c r="D260" s="251" t="s">
        <v>798</v>
      </c>
      <c r="E260" s="252"/>
      <c r="F260" s="252"/>
      <c r="G260" s="252"/>
      <c r="H260" s="252"/>
      <c r="I260" s="252"/>
      <c r="J260" s="252"/>
      <c r="K260" s="252"/>
      <c r="L260" s="252"/>
      <c r="M260" s="252"/>
      <c r="N260" s="252"/>
      <c r="O260" s="253"/>
      <c r="P260" s="6"/>
    </row>
    <row r="261" spans="1:64" x14ac:dyDescent="0.2">
      <c r="A261" s="6"/>
      <c r="C261" s="21" t="s">
        <v>310</v>
      </c>
      <c r="D261" s="245" t="s">
        <v>790</v>
      </c>
      <c r="E261" s="246"/>
      <c r="F261" s="246"/>
      <c r="G261" s="246"/>
      <c r="H261" s="246"/>
      <c r="I261" s="246"/>
      <c r="J261" s="246"/>
      <c r="K261" s="246"/>
      <c r="L261" s="246"/>
      <c r="M261" s="246"/>
      <c r="N261" s="246"/>
      <c r="O261" s="247"/>
      <c r="P261" s="6"/>
    </row>
    <row r="262" spans="1:64" x14ac:dyDescent="0.2">
      <c r="A262" s="5" t="s">
        <v>124</v>
      </c>
      <c r="B262" s="16" t="s">
        <v>305</v>
      </c>
      <c r="C262" s="16" t="s">
        <v>429</v>
      </c>
      <c r="D262" s="243" t="s">
        <v>799</v>
      </c>
      <c r="E262" s="244"/>
      <c r="F262" s="244"/>
      <c r="G262" s="244"/>
      <c r="H262" s="16" t="s">
        <v>1042</v>
      </c>
      <c r="I262" s="27">
        <v>117.06</v>
      </c>
      <c r="J262" s="149"/>
      <c r="K262" s="27">
        <f>I262*AO262</f>
        <v>0</v>
      </c>
      <c r="L262" s="27">
        <f>I262*AP262</f>
        <v>0</v>
      </c>
      <c r="M262" s="27">
        <f>I262*J262</f>
        <v>0</v>
      </c>
      <c r="N262" s="56">
        <f>IF(M623=0,0,M262/M623)</f>
        <v>0</v>
      </c>
      <c r="O262" s="39" t="s">
        <v>1068</v>
      </c>
      <c r="P262" s="6"/>
      <c r="Z262" s="45">
        <f>IF(AQ262="5",BJ262,0)</f>
        <v>0</v>
      </c>
      <c r="AB262" s="45">
        <f>IF(AQ262="1",BH262,0)</f>
        <v>0</v>
      </c>
      <c r="AC262" s="45">
        <f>IF(AQ262="1",BI262,0)</f>
        <v>0</v>
      </c>
      <c r="AD262" s="45">
        <f>IF(AQ262="7",BH262,0)</f>
        <v>0</v>
      </c>
      <c r="AE262" s="45">
        <f>IF(AQ262="7",BI262,0)</f>
        <v>0</v>
      </c>
      <c r="AF262" s="45">
        <f>IF(AQ262="2",BH262,0)</f>
        <v>0</v>
      </c>
      <c r="AG262" s="45">
        <f>IF(AQ262="2",BI262,0)</f>
        <v>0</v>
      </c>
      <c r="AH262" s="45">
        <f>IF(AQ262="0",BJ262,0)</f>
        <v>0</v>
      </c>
      <c r="AI262" s="44" t="s">
        <v>305</v>
      </c>
      <c r="AJ262" s="27">
        <f>IF(AN262=0,M262,0)</f>
        <v>0</v>
      </c>
      <c r="AK262" s="27">
        <f>IF(AN262=15,M262,0)</f>
        <v>0</v>
      </c>
      <c r="AL262" s="27">
        <f>IF(AN262=21,M262,0)</f>
        <v>0</v>
      </c>
      <c r="AN262" s="45">
        <v>15</v>
      </c>
      <c r="AO262" s="45">
        <f>J262*0.121779661016949</f>
        <v>0</v>
      </c>
      <c r="AP262" s="45">
        <f>J262*(1-0.121779661016949)</f>
        <v>0</v>
      </c>
      <c r="AQ262" s="46" t="s">
        <v>13</v>
      </c>
      <c r="AV262" s="45">
        <f>AW262+AX262</f>
        <v>0</v>
      </c>
      <c r="AW262" s="45">
        <f>I262*AO262</f>
        <v>0</v>
      </c>
      <c r="AX262" s="45">
        <f>I262*AP262</f>
        <v>0</v>
      </c>
      <c r="AY262" s="48" t="s">
        <v>1094</v>
      </c>
      <c r="AZ262" s="48" t="s">
        <v>1123</v>
      </c>
      <c r="BA262" s="44" t="s">
        <v>1139</v>
      </c>
      <c r="BC262" s="45">
        <f>AW262+AX262</f>
        <v>0</v>
      </c>
      <c r="BD262" s="45">
        <f>J262/(100-BE262)*100</f>
        <v>0</v>
      </c>
      <c r="BE262" s="45">
        <v>0</v>
      </c>
      <c r="BF262" s="45">
        <f>262</f>
        <v>262</v>
      </c>
      <c r="BH262" s="27">
        <f>I262*AO262</f>
        <v>0</v>
      </c>
      <c r="BI262" s="27">
        <f>I262*AP262</f>
        <v>0</v>
      </c>
      <c r="BJ262" s="27">
        <f>I262*J262</f>
        <v>0</v>
      </c>
      <c r="BK262" s="27" t="s">
        <v>1146</v>
      </c>
      <c r="BL262" s="45">
        <v>712</v>
      </c>
    </row>
    <row r="263" spans="1:64" x14ac:dyDescent="0.2">
      <c r="A263" s="6"/>
      <c r="D263" s="251" t="s">
        <v>800</v>
      </c>
      <c r="E263" s="252"/>
      <c r="F263" s="252"/>
      <c r="G263" s="252"/>
      <c r="H263" s="252"/>
      <c r="I263" s="252"/>
      <c r="J263" s="252"/>
      <c r="K263" s="252"/>
      <c r="L263" s="252"/>
      <c r="M263" s="252"/>
      <c r="N263" s="252"/>
      <c r="O263" s="253"/>
      <c r="P263" s="6"/>
    </row>
    <row r="264" spans="1:64" x14ac:dyDescent="0.2">
      <c r="A264" s="6"/>
      <c r="C264" s="21" t="s">
        <v>310</v>
      </c>
      <c r="D264" s="245" t="s">
        <v>790</v>
      </c>
      <c r="E264" s="246"/>
      <c r="F264" s="246"/>
      <c r="G264" s="246"/>
      <c r="H264" s="246"/>
      <c r="I264" s="246"/>
      <c r="J264" s="246"/>
      <c r="K264" s="246"/>
      <c r="L264" s="246"/>
      <c r="M264" s="246"/>
      <c r="N264" s="246"/>
      <c r="O264" s="247"/>
      <c r="P264" s="6"/>
    </row>
    <row r="265" spans="1:64" x14ac:dyDescent="0.2">
      <c r="A265" s="5" t="s">
        <v>125</v>
      </c>
      <c r="B265" s="16" t="s">
        <v>305</v>
      </c>
      <c r="C265" s="16" t="s">
        <v>430</v>
      </c>
      <c r="D265" s="243" t="s">
        <v>801</v>
      </c>
      <c r="E265" s="244"/>
      <c r="F265" s="244"/>
      <c r="G265" s="244"/>
      <c r="H265" s="16" t="s">
        <v>1042</v>
      </c>
      <c r="I265" s="27">
        <v>64.930000000000007</v>
      </c>
      <c r="J265" s="149"/>
      <c r="K265" s="27">
        <f>I265*AO265</f>
        <v>0</v>
      </c>
      <c r="L265" s="27">
        <f>I265*AP265</f>
        <v>0</v>
      </c>
      <c r="M265" s="27">
        <f>I265*J265</f>
        <v>0</v>
      </c>
      <c r="N265" s="56">
        <f>IF(M623=0,0,M265/M623)</f>
        <v>0</v>
      </c>
      <c r="O265" s="39" t="s">
        <v>1068</v>
      </c>
      <c r="P265" s="6"/>
      <c r="Z265" s="45">
        <f>IF(AQ265="5",BJ265,0)</f>
        <v>0</v>
      </c>
      <c r="AB265" s="45">
        <f>IF(AQ265="1",BH265,0)</f>
        <v>0</v>
      </c>
      <c r="AC265" s="45">
        <f>IF(AQ265="1",BI265,0)</f>
        <v>0</v>
      </c>
      <c r="AD265" s="45">
        <f>IF(AQ265="7",BH265,0)</f>
        <v>0</v>
      </c>
      <c r="AE265" s="45">
        <f>IF(AQ265="7",BI265,0)</f>
        <v>0</v>
      </c>
      <c r="AF265" s="45">
        <f>IF(AQ265="2",BH265,0)</f>
        <v>0</v>
      </c>
      <c r="AG265" s="45">
        <f>IF(AQ265="2",BI265,0)</f>
        <v>0</v>
      </c>
      <c r="AH265" s="45">
        <f>IF(AQ265="0",BJ265,0)</f>
        <v>0</v>
      </c>
      <c r="AI265" s="44" t="s">
        <v>305</v>
      </c>
      <c r="AJ265" s="27">
        <f>IF(AN265=0,M265,0)</f>
        <v>0</v>
      </c>
      <c r="AK265" s="27">
        <f>IF(AN265=15,M265,0)</f>
        <v>0</v>
      </c>
      <c r="AL265" s="27">
        <f>IF(AN265=21,M265,0)</f>
        <v>0</v>
      </c>
      <c r="AN265" s="45">
        <v>15</v>
      </c>
      <c r="AO265" s="45">
        <f>J265*0.0610006602294297</f>
        <v>0</v>
      </c>
      <c r="AP265" s="45">
        <f>J265*(1-0.0610006602294297)</f>
        <v>0</v>
      </c>
      <c r="AQ265" s="46" t="s">
        <v>13</v>
      </c>
      <c r="AV265" s="45">
        <f>AW265+AX265</f>
        <v>0</v>
      </c>
      <c r="AW265" s="45">
        <f>I265*AO265</f>
        <v>0</v>
      </c>
      <c r="AX265" s="45">
        <f>I265*AP265</f>
        <v>0</v>
      </c>
      <c r="AY265" s="48" t="s">
        <v>1094</v>
      </c>
      <c r="AZ265" s="48" t="s">
        <v>1123</v>
      </c>
      <c r="BA265" s="44" t="s">
        <v>1139</v>
      </c>
      <c r="BC265" s="45">
        <f>AW265+AX265</f>
        <v>0</v>
      </c>
      <c r="BD265" s="45">
        <f>J265/(100-BE265)*100</f>
        <v>0</v>
      </c>
      <c r="BE265" s="45">
        <v>0</v>
      </c>
      <c r="BF265" s="45">
        <f>265</f>
        <v>265</v>
      </c>
      <c r="BH265" s="27">
        <f>I265*AO265</f>
        <v>0</v>
      </c>
      <c r="BI265" s="27">
        <f>I265*AP265</f>
        <v>0</v>
      </c>
      <c r="BJ265" s="27">
        <f>I265*J265</f>
        <v>0</v>
      </c>
      <c r="BK265" s="27" t="s">
        <v>1146</v>
      </c>
      <c r="BL265" s="45">
        <v>712</v>
      </c>
    </row>
    <row r="266" spans="1:64" x14ac:dyDescent="0.2">
      <c r="A266" s="6"/>
      <c r="D266" s="251" t="s">
        <v>802</v>
      </c>
      <c r="E266" s="252"/>
      <c r="F266" s="252"/>
      <c r="G266" s="252"/>
      <c r="H266" s="252"/>
      <c r="I266" s="252"/>
      <c r="J266" s="252"/>
      <c r="K266" s="252"/>
      <c r="L266" s="252"/>
      <c r="M266" s="252"/>
      <c r="N266" s="252"/>
      <c r="O266" s="253"/>
      <c r="P266" s="6"/>
    </row>
    <row r="267" spans="1:64" x14ac:dyDescent="0.2">
      <c r="A267" s="7" t="s">
        <v>126</v>
      </c>
      <c r="B267" s="17" t="s">
        <v>305</v>
      </c>
      <c r="C267" s="17" t="s">
        <v>431</v>
      </c>
      <c r="D267" s="241" t="s">
        <v>803</v>
      </c>
      <c r="E267" s="242"/>
      <c r="F267" s="242"/>
      <c r="G267" s="242"/>
      <c r="H267" s="17" t="s">
        <v>1042</v>
      </c>
      <c r="I267" s="28">
        <v>212.53</v>
      </c>
      <c r="J267" s="154"/>
      <c r="K267" s="28">
        <f>I267*AO267</f>
        <v>0</v>
      </c>
      <c r="L267" s="28">
        <f>I267*AP267</f>
        <v>0</v>
      </c>
      <c r="M267" s="28">
        <f>I267*J267</f>
        <v>0</v>
      </c>
      <c r="N267" s="57">
        <f>IF(M623=0,0,M267/M623)</f>
        <v>0</v>
      </c>
      <c r="O267" s="40" t="s">
        <v>1068</v>
      </c>
      <c r="P267" s="6"/>
      <c r="Z267" s="45">
        <f>IF(AQ267="5",BJ267,0)</f>
        <v>0</v>
      </c>
      <c r="AB267" s="45">
        <f>IF(AQ267="1",BH267,0)</f>
        <v>0</v>
      </c>
      <c r="AC267" s="45">
        <f>IF(AQ267="1",BI267,0)</f>
        <v>0</v>
      </c>
      <c r="AD267" s="45">
        <f>IF(AQ267="7",BH267,0)</f>
        <v>0</v>
      </c>
      <c r="AE267" s="45">
        <f>IF(AQ267="7",BI267,0)</f>
        <v>0</v>
      </c>
      <c r="AF267" s="45">
        <f>IF(AQ267="2",BH267,0)</f>
        <v>0</v>
      </c>
      <c r="AG267" s="45">
        <f>IF(AQ267="2",BI267,0)</f>
        <v>0</v>
      </c>
      <c r="AH267" s="45">
        <f>IF(AQ267="0",BJ267,0)</f>
        <v>0</v>
      </c>
      <c r="AI267" s="44" t="s">
        <v>305</v>
      </c>
      <c r="AJ267" s="28">
        <f>IF(AN267=0,M267,0)</f>
        <v>0</v>
      </c>
      <c r="AK267" s="28">
        <f>IF(AN267=15,M267,0)</f>
        <v>0</v>
      </c>
      <c r="AL267" s="28">
        <f>IF(AN267=21,M267,0)</f>
        <v>0</v>
      </c>
      <c r="AN267" s="45">
        <v>15</v>
      </c>
      <c r="AO267" s="45">
        <f>J267*1</f>
        <v>0</v>
      </c>
      <c r="AP267" s="45">
        <f>J267*(1-1)</f>
        <v>0</v>
      </c>
      <c r="AQ267" s="47" t="s">
        <v>13</v>
      </c>
      <c r="AV267" s="45">
        <f>AW267+AX267</f>
        <v>0</v>
      </c>
      <c r="AW267" s="45">
        <f>I267*AO267</f>
        <v>0</v>
      </c>
      <c r="AX267" s="45">
        <f>I267*AP267</f>
        <v>0</v>
      </c>
      <c r="AY267" s="48" t="s">
        <v>1094</v>
      </c>
      <c r="AZ267" s="48" t="s">
        <v>1123</v>
      </c>
      <c r="BA267" s="44" t="s">
        <v>1139</v>
      </c>
      <c r="BC267" s="45">
        <f>AW267+AX267</f>
        <v>0</v>
      </c>
      <c r="BD267" s="45">
        <f>J267/(100-BE267)*100</f>
        <v>0</v>
      </c>
      <c r="BE267" s="45">
        <v>0</v>
      </c>
      <c r="BF267" s="45">
        <f>267</f>
        <v>267</v>
      </c>
      <c r="BH267" s="28">
        <f>I267*AO267</f>
        <v>0</v>
      </c>
      <c r="BI267" s="28">
        <f>I267*AP267</f>
        <v>0</v>
      </c>
      <c r="BJ267" s="28">
        <f>I267*J267</f>
        <v>0</v>
      </c>
      <c r="BK267" s="28" t="s">
        <v>1147</v>
      </c>
      <c r="BL267" s="45">
        <v>712</v>
      </c>
    </row>
    <row r="268" spans="1:64" x14ac:dyDescent="0.2">
      <c r="A268" s="5" t="s">
        <v>127</v>
      </c>
      <c r="B268" s="16" t="s">
        <v>305</v>
      </c>
      <c r="C268" s="16" t="s">
        <v>432</v>
      </c>
      <c r="D268" s="243" t="s">
        <v>799</v>
      </c>
      <c r="E268" s="244"/>
      <c r="F268" s="244"/>
      <c r="G268" s="244"/>
      <c r="H268" s="16" t="s">
        <v>1042</v>
      </c>
      <c r="I268" s="27">
        <v>52.76</v>
      </c>
      <c r="J268" s="149"/>
      <c r="K268" s="27">
        <f>I268*AO268</f>
        <v>0</v>
      </c>
      <c r="L268" s="27">
        <f>I268*AP268</f>
        <v>0</v>
      </c>
      <c r="M268" s="27">
        <f>I268*J268</f>
        <v>0</v>
      </c>
      <c r="N268" s="56">
        <f>IF(M623=0,0,M268/M623)</f>
        <v>0</v>
      </c>
      <c r="O268" s="39" t="s">
        <v>1068</v>
      </c>
      <c r="P268" s="6"/>
      <c r="Z268" s="45">
        <f>IF(AQ268="5",BJ268,0)</f>
        <v>0</v>
      </c>
      <c r="AB268" s="45">
        <f>IF(AQ268="1",BH268,0)</f>
        <v>0</v>
      </c>
      <c r="AC268" s="45">
        <f>IF(AQ268="1",BI268,0)</f>
        <v>0</v>
      </c>
      <c r="AD268" s="45">
        <f>IF(AQ268="7",BH268,0)</f>
        <v>0</v>
      </c>
      <c r="AE268" s="45">
        <f>IF(AQ268="7",BI268,0)</f>
        <v>0</v>
      </c>
      <c r="AF268" s="45">
        <f>IF(AQ268="2",BH268,0)</f>
        <v>0</v>
      </c>
      <c r="AG268" s="45">
        <f>IF(AQ268="2",BI268,0)</f>
        <v>0</v>
      </c>
      <c r="AH268" s="45">
        <f>IF(AQ268="0",BJ268,0)</f>
        <v>0</v>
      </c>
      <c r="AI268" s="44" t="s">
        <v>305</v>
      </c>
      <c r="AJ268" s="27">
        <f>IF(AN268=0,M268,0)</f>
        <v>0</v>
      </c>
      <c r="AK268" s="27">
        <f>IF(AN268=15,M268,0)</f>
        <v>0</v>
      </c>
      <c r="AL268" s="27">
        <f>IF(AN268=21,M268,0)</f>
        <v>0</v>
      </c>
      <c r="AN268" s="45">
        <v>15</v>
      </c>
      <c r="AO268" s="45">
        <f>J268*0.121437632135307</f>
        <v>0</v>
      </c>
      <c r="AP268" s="45">
        <f>J268*(1-0.121437632135307)</f>
        <v>0</v>
      </c>
      <c r="AQ268" s="46" t="s">
        <v>13</v>
      </c>
      <c r="AV268" s="45">
        <f>AW268+AX268</f>
        <v>0</v>
      </c>
      <c r="AW268" s="45">
        <f>I268*AO268</f>
        <v>0</v>
      </c>
      <c r="AX268" s="45">
        <f>I268*AP268</f>
        <v>0</v>
      </c>
      <c r="AY268" s="48" t="s">
        <v>1094</v>
      </c>
      <c r="AZ268" s="48" t="s">
        <v>1123</v>
      </c>
      <c r="BA268" s="44" t="s">
        <v>1139</v>
      </c>
      <c r="BC268" s="45">
        <f>AW268+AX268</f>
        <v>0</v>
      </c>
      <c r="BD268" s="45">
        <f>J268/(100-BE268)*100</f>
        <v>0</v>
      </c>
      <c r="BE268" s="45">
        <v>0</v>
      </c>
      <c r="BF268" s="45">
        <f>268</f>
        <v>268</v>
      </c>
      <c r="BH268" s="27">
        <f>I268*AO268</f>
        <v>0</v>
      </c>
      <c r="BI268" s="27">
        <f>I268*AP268</f>
        <v>0</v>
      </c>
      <c r="BJ268" s="27">
        <f>I268*J268</f>
        <v>0</v>
      </c>
      <c r="BK268" s="27" t="s">
        <v>1146</v>
      </c>
      <c r="BL268" s="45">
        <v>712</v>
      </c>
    </row>
    <row r="269" spans="1:64" x14ac:dyDescent="0.2">
      <c r="A269" s="6"/>
      <c r="D269" s="251" t="s">
        <v>804</v>
      </c>
      <c r="E269" s="252"/>
      <c r="F269" s="252"/>
      <c r="G269" s="252"/>
      <c r="H269" s="252"/>
      <c r="I269" s="252"/>
      <c r="J269" s="252"/>
      <c r="K269" s="252"/>
      <c r="L269" s="252"/>
      <c r="M269" s="252"/>
      <c r="N269" s="252"/>
      <c r="O269" s="253"/>
      <c r="P269" s="6"/>
    </row>
    <row r="270" spans="1:64" x14ac:dyDescent="0.2">
      <c r="A270" s="6"/>
      <c r="C270" s="21" t="s">
        <v>310</v>
      </c>
      <c r="D270" s="245" t="s">
        <v>790</v>
      </c>
      <c r="E270" s="246"/>
      <c r="F270" s="246"/>
      <c r="G270" s="246"/>
      <c r="H270" s="246"/>
      <c r="I270" s="246"/>
      <c r="J270" s="246"/>
      <c r="K270" s="246"/>
      <c r="L270" s="246"/>
      <c r="M270" s="246"/>
      <c r="N270" s="246"/>
      <c r="O270" s="247"/>
      <c r="P270" s="6"/>
    </row>
    <row r="271" spans="1:64" x14ac:dyDescent="0.2">
      <c r="A271" s="5" t="s">
        <v>128</v>
      </c>
      <c r="B271" s="16" t="s">
        <v>305</v>
      </c>
      <c r="C271" s="16" t="s">
        <v>433</v>
      </c>
      <c r="D271" s="243" t="s">
        <v>801</v>
      </c>
      <c r="E271" s="244"/>
      <c r="F271" s="244"/>
      <c r="G271" s="244"/>
      <c r="H271" s="16" t="s">
        <v>1042</v>
      </c>
      <c r="I271" s="27">
        <v>17.23</v>
      </c>
      <c r="J271" s="149"/>
      <c r="K271" s="27">
        <f>I271*AO271</f>
        <v>0</v>
      </c>
      <c r="L271" s="27">
        <f>I271*AP271</f>
        <v>0</v>
      </c>
      <c r="M271" s="27">
        <f>I271*J271</f>
        <v>0</v>
      </c>
      <c r="N271" s="56">
        <f>IF(M623=0,0,M271/M623)</f>
        <v>0</v>
      </c>
      <c r="O271" s="39" t="s">
        <v>1068</v>
      </c>
      <c r="P271" s="6"/>
      <c r="Z271" s="45">
        <f>IF(AQ271="5",BJ271,0)</f>
        <v>0</v>
      </c>
      <c r="AB271" s="45">
        <f>IF(AQ271="1",BH271,0)</f>
        <v>0</v>
      </c>
      <c r="AC271" s="45">
        <f>IF(AQ271="1",BI271,0)</f>
        <v>0</v>
      </c>
      <c r="AD271" s="45">
        <f>IF(AQ271="7",BH271,0)</f>
        <v>0</v>
      </c>
      <c r="AE271" s="45">
        <f>IF(AQ271="7",BI271,0)</f>
        <v>0</v>
      </c>
      <c r="AF271" s="45">
        <f>IF(AQ271="2",BH271,0)</f>
        <v>0</v>
      </c>
      <c r="AG271" s="45">
        <f>IF(AQ271="2",BI271,0)</f>
        <v>0</v>
      </c>
      <c r="AH271" s="45">
        <f>IF(AQ271="0",BJ271,0)</f>
        <v>0</v>
      </c>
      <c r="AI271" s="44" t="s">
        <v>305</v>
      </c>
      <c r="AJ271" s="27">
        <f>IF(AN271=0,M271,0)</f>
        <v>0</v>
      </c>
      <c r="AK271" s="27">
        <f>IF(AN271=15,M271,0)</f>
        <v>0</v>
      </c>
      <c r="AL271" s="27">
        <f>IF(AN271=21,M271,0)</f>
        <v>0</v>
      </c>
      <c r="AN271" s="45">
        <v>15</v>
      </c>
      <c r="AO271" s="45">
        <f>J271*0.0610295859273988</f>
        <v>0</v>
      </c>
      <c r="AP271" s="45">
        <f>J271*(1-0.0610295859273988)</f>
        <v>0</v>
      </c>
      <c r="AQ271" s="46" t="s">
        <v>13</v>
      </c>
      <c r="AV271" s="45">
        <f>AW271+AX271</f>
        <v>0</v>
      </c>
      <c r="AW271" s="45">
        <f>I271*AO271</f>
        <v>0</v>
      </c>
      <c r="AX271" s="45">
        <f>I271*AP271</f>
        <v>0</v>
      </c>
      <c r="AY271" s="48" t="s">
        <v>1094</v>
      </c>
      <c r="AZ271" s="48" t="s">
        <v>1123</v>
      </c>
      <c r="BA271" s="44" t="s">
        <v>1139</v>
      </c>
      <c r="BC271" s="45">
        <f>AW271+AX271</f>
        <v>0</v>
      </c>
      <c r="BD271" s="45">
        <f>J271/(100-BE271)*100</f>
        <v>0</v>
      </c>
      <c r="BE271" s="45">
        <v>0</v>
      </c>
      <c r="BF271" s="45">
        <f>271</f>
        <v>271</v>
      </c>
      <c r="BH271" s="27">
        <f>I271*AO271</f>
        <v>0</v>
      </c>
      <c r="BI271" s="27">
        <f>I271*AP271</f>
        <v>0</v>
      </c>
      <c r="BJ271" s="27">
        <f>I271*J271</f>
        <v>0</v>
      </c>
      <c r="BK271" s="27" t="s">
        <v>1146</v>
      </c>
      <c r="BL271" s="45">
        <v>712</v>
      </c>
    </row>
    <row r="272" spans="1:64" x14ac:dyDescent="0.2">
      <c r="A272" s="6"/>
      <c r="D272" s="251" t="s">
        <v>805</v>
      </c>
      <c r="E272" s="252"/>
      <c r="F272" s="252"/>
      <c r="G272" s="252"/>
      <c r="H272" s="252"/>
      <c r="I272" s="252"/>
      <c r="J272" s="252"/>
      <c r="K272" s="252"/>
      <c r="L272" s="252"/>
      <c r="M272" s="252"/>
      <c r="N272" s="252"/>
      <c r="O272" s="253"/>
      <c r="P272" s="6"/>
    </row>
    <row r="273" spans="1:64" x14ac:dyDescent="0.2">
      <c r="A273" s="6"/>
      <c r="C273" s="21" t="s">
        <v>310</v>
      </c>
      <c r="D273" s="245" t="s">
        <v>790</v>
      </c>
      <c r="E273" s="246"/>
      <c r="F273" s="246"/>
      <c r="G273" s="246"/>
      <c r="H273" s="246"/>
      <c r="I273" s="246"/>
      <c r="J273" s="246"/>
      <c r="K273" s="246"/>
      <c r="L273" s="246"/>
      <c r="M273" s="246"/>
      <c r="N273" s="246"/>
      <c r="O273" s="247"/>
      <c r="P273" s="6"/>
    </row>
    <row r="274" spans="1:64" x14ac:dyDescent="0.2">
      <c r="A274" s="7" t="s">
        <v>129</v>
      </c>
      <c r="B274" s="17" t="s">
        <v>305</v>
      </c>
      <c r="C274" s="17" t="s">
        <v>434</v>
      </c>
      <c r="D274" s="241" t="s">
        <v>806</v>
      </c>
      <c r="E274" s="242"/>
      <c r="F274" s="242"/>
      <c r="G274" s="242"/>
      <c r="H274" s="17" t="s">
        <v>1042</v>
      </c>
      <c r="I274" s="28">
        <v>81.349999999999994</v>
      </c>
      <c r="J274" s="154"/>
      <c r="K274" s="28">
        <f>I274*AO274</f>
        <v>0</v>
      </c>
      <c r="L274" s="28">
        <f>I274*AP274</f>
        <v>0</v>
      </c>
      <c r="M274" s="28">
        <f>I274*J274</f>
        <v>0</v>
      </c>
      <c r="N274" s="57">
        <f>IF(M623=0,0,M274/M623)</f>
        <v>0</v>
      </c>
      <c r="O274" s="40" t="s">
        <v>1068</v>
      </c>
      <c r="P274" s="6"/>
      <c r="Z274" s="45">
        <f>IF(AQ274="5",BJ274,0)</f>
        <v>0</v>
      </c>
      <c r="AB274" s="45">
        <f>IF(AQ274="1",BH274,0)</f>
        <v>0</v>
      </c>
      <c r="AC274" s="45">
        <f>IF(AQ274="1",BI274,0)</f>
        <v>0</v>
      </c>
      <c r="AD274" s="45">
        <f>IF(AQ274="7",BH274,0)</f>
        <v>0</v>
      </c>
      <c r="AE274" s="45">
        <f>IF(AQ274="7",BI274,0)</f>
        <v>0</v>
      </c>
      <c r="AF274" s="45">
        <f>IF(AQ274="2",BH274,0)</f>
        <v>0</v>
      </c>
      <c r="AG274" s="45">
        <f>IF(AQ274="2",BI274,0)</f>
        <v>0</v>
      </c>
      <c r="AH274" s="45">
        <f>IF(AQ274="0",BJ274,0)</f>
        <v>0</v>
      </c>
      <c r="AI274" s="44" t="s">
        <v>305</v>
      </c>
      <c r="AJ274" s="28">
        <f>IF(AN274=0,M274,0)</f>
        <v>0</v>
      </c>
      <c r="AK274" s="28">
        <f>IF(AN274=15,M274,0)</f>
        <v>0</v>
      </c>
      <c r="AL274" s="28">
        <f>IF(AN274=21,M274,0)</f>
        <v>0</v>
      </c>
      <c r="AN274" s="45">
        <v>15</v>
      </c>
      <c r="AO274" s="45">
        <f>J274*1</f>
        <v>0</v>
      </c>
      <c r="AP274" s="45">
        <f>J274*(1-1)</f>
        <v>0</v>
      </c>
      <c r="AQ274" s="47" t="s">
        <v>13</v>
      </c>
      <c r="AV274" s="45">
        <f>AW274+AX274</f>
        <v>0</v>
      </c>
      <c r="AW274" s="45">
        <f>I274*AO274</f>
        <v>0</v>
      </c>
      <c r="AX274" s="45">
        <f>I274*AP274</f>
        <v>0</v>
      </c>
      <c r="AY274" s="48" t="s">
        <v>1094</v>
      </c>
      <c r="AZ274" s="48" t="s">
        <v>1123</v>
      </c>
      <c r="BA274" s="44" t="s">
        <v>1139</v>
      </c>
      <c r="BC274" s="45">
        <f>AW274+AX274</f>
        <v>0</v>
      </c>
      <c r="BD274" s="45">
        <f>J274/(100-BE274)*100</f>
        <v>0</v>
      </c>
      <c r="BE274" s="45">
        <v>0</v>
      </c>
      <c r="BF274" s="45">
        <f>274</f>
        <v>274</v>
      </c>
      <c r="BH274" s="28">
        <f>I274*AO274</f>
        <v>0</v>
      </c>
      <c r="BI274" s="28">
        <f>I274*AP274</f>
        <v>0</v>
      </c>
      <c r="BJ274" s="28">
        <f>I274*J274</f>
        <v>0</v>
      </c>
      <c r="BK274" s="28" t="s">
        <v>1147</v>
      </c>
      <c r="BL274" s="45">
        <v>712</v>
      </c>
    </row>
    <row r="275" spans="1:64" x14ac:dyDescent="0.2">
      <c r="A275" s="7" t="s">
        <v>130</v>
      </c>
      <c r="B275" s="17" t="s">
        <v>305</v>
      </c>
      <c r="C275" s="17" t="s">
        <v>435</v>
      </c>
      <c r="D275" s="241" t="s">
        <v>807</v>
      </c>
      <c r="E275" s="242"/>
      <c r="F275" s="242"/>
      <c r="G275" s="242"/>
      <c r="H275" s="17" t="s">
        <v>1042</v>
      </c>
      <c r="I275" s="28">
        <v>81.349999999999994</v>
      </c>
      <c r="J275" s="154"/>
      <c r="K275" s="28">
        <f>I275*AO275</f>
        <v>0</v>
      </c>
      <c r="L275" s="28">
        <f>I275*AP275</f>
        <v>0</v>
      </c>
      <c r="M275" s="28">
        <f>I275*J275</f>
        <v>0</v>
      </c>
      <c r="N275" s="57">
        <f>IF(M623=0,0,M275/M623)</f>
        <v>0</v>
      </c>
      <c r="O275" s="40" t="s">
        <v>1068</v>
      </c>
      <c r="P275" s="6"/>
      <c r="Z275" s="45">
        <f>IF(AQ275="5",BJ275,0)</f>
        <v>0</v>
      </c>
      <c r="AB275" s="45">
        <f>IF(AQ275="1",BH275,0)</f>
        <v>0</v>
      </c>
      <c r="AC275" s="45">
        <f>IF(AQ275="1",BI275,0)</f>
        <v>0</v>
      </c>
      <c r="AD275" s="45">
        <f>IF(AQ275="7",BH275,0)</f>
        <v>0</v>
      </c>
      <c r="AE275" s="45">
        <f>IF(AQ275="7",BI275,0)</f>
        <v>0</v>
      </c>
      <c r="AF275" s="45">
        <f>IF(AQ275="2",BH275,0)</f>
        <v>0</v>
      </c>
      <c r="AG275" s="45">
        <f>IF(AQ275="2",BI275,0)</f>
        <v>0</v>
      </c>
      <c r="AH275" s="45">
        <f>IF(AQ275="0",BJ275,0)</f>
        <v>0</v>
      </c>
      <c r="AI275" s="44" t="s">
        <v>305</v>
      </c>
      <c r="AJ275" s="28">
        <f>IF(AN275=0,M275,0)</f>
        <v>0</v>
      </c>
      <c r="AK275" s="28">
        <f>IF(AN275=15,M275,0)</f>
        <v>0</v>
      </c>
      <c r="AL275" s="28">
        <f>IF(AN275=21,M275,0)</f>
        <v>0</v>
      </c>
      <c r="AN275" s="45">
        <v>15</v>
      </c>
      <c r="AO275" s="45">
        <f>J275*1</f>
        <v>0</v>
      </c>
      <c r="AP275" s="45">
        <f>J275*(1-1)</f>
        <v>0</v>
      </c>
      <c r="AQ275" s="47" t="s">
        <v>13</v>
      </c>
      <c r="AV275" s="45">
        <f>AW275+AX275</f>
        <v>0</v>
      </c>
      <c r="AW275" s="45">
        <f>I275*AO275</f>
        <v>0</v>
      </c>
      <c r="AX275" s="45">
        <f>I275*AP275</f>
        <v>0</v>
      </c>
      <c r="AY275" s="48" t="s">
        <v>1094</v>
      </c>
      <c r="AZ275" s="48" t="s">
        <v>1123</v>
      </c>
      <c r="BA275" s="44" t="s">
        <v>1139</v>
      </c>
      <c r="BC275" s="45">
        <f>AW275+AX275</f>
        <v>0</v>
      </c>
      <c r="BD275" s="45">
        <f>J275/(100-BE275)*100</f>
        <v>0</v>
      </c>
      <c r="BE275" s="45">
        <v>0</v>
      </c>
      <c r="BF275" s="45">
        <f>275</f>
        <v>275</v>
      </c>
      <c r="BH275" s="28">
        <f>I275*AO275</f>
        <v>0</v>
      </c>
      <c r="BI275" s="28">
        <f>I275*AP275</f>
        <v>0</v>
      </c>
      <c r="BJ275" s="28">
        <f>I275*J275</f>
        <v>0</v>
      </c>
      <c r="BK275" s="28" t="s">
        <v>1147</v>
      </c>
      <c r="BL275" s="45">
        <v>712</v>
      </c>
    </row>
    <row r="276" spans="1:64" x14ac:dyDescent="0.2">
      <c r="A276" s="5" t="s">
        <v>131</v>
      </c>
      <c r="B276" s="16" t="s">
        <v>305</v>
      </c>
      <c r="C276" s="16" t="s">
        <v>436</v>
      </c>
      <c r="D276" s="243" t="s">
        <v>808</v>
      </c>
      <c r="E276" s="244"/>
      <c r="F276" s="244"/>
      <c r="G276" s="244"/>
      <c r="H276" s="16" t="s">
        <v>1042</v>
      </c>
      <c r="I276" s="27">
        <v>139.99</v>
      </c>
      <c r="J276" s="149"/>
      <c r="K276" s="27">
        <f>I276*AO276</f>
        <v>0</v>
      </c>
      <c r="L276" s="27">
        <f>I276*AP276</f>
        <v>0</v>
      </c>
      <c r="M276" s="27">
        <f>I276*J276</f>
        <v>0</v>
      </c>
      <c r="N276" s="56">
        <f>IF(M623=0,0,M276/M623)</f>
        <v>0</v>
      </c>
      <c r="O276" s="39" t="s">
        <v>1068</v>
      </c>
      <c r="P276" s="6"/>
      <c r="Z276" s="45">
        <f>IF(AQ276="5",BJ276,0)</f>
        <v>0</v>
      </c>
      <c r="AB276" s="45">
        <f>IF(AQ276="1",BH276,0)</f>
        <v>0</v>
      </c>
      <c r="AC276" s="45">
        <f>IF(AQ276="1",BI276,0)</f>
        <v>0</v>
      </c>
      <c r="AD276" s="45">
        <f>IF(AQ276="7",BH276,0)</f>
        <v>0</v>
      </c>
      <c r="AE276" s="45">
        <f>IF(AQ276="7",BI276,0)</f>
        <v>0</v>
      </c>
      <c r="AF276" s="45">
        <f>IF(AQ276="2",BH276,0)</f>
        <v>0</v>
      </c>
      <c r="AG276" s="45">
        <f>IF(AQ276="2",BI276,0)</f>
        <v>0</v>
      </c>
      <c r="AH276" s="45">
        <f>IF(AQ276="0",BJ276,0)</f>
        <v>0</v>
      </c>
      <c r="AI276" s="44" t="s">
        <v>305</v>
      </c>
      <c r="AJ276" s="27">
        <f>IF(AN276=0,M276,0)</f>
        <v>0</v>
      </c>
      <c r="AK276" s="27">
        <f>IF(AN276=15,M276,0)</f>
        <v>0</v>
      </c>
      <c r="AL276" s="27">
        <f>IF(AN276=21,M276,0)</f>
        <v>0</v>
      </c>
      <c r="AN276" s="45">
        <v>15</v>
      </c>
      <c r="AO276" s="45">
        <f>J276*0.0718845140880697</f>
        <v>0</v>
      </c>
      <c r="AP276" s="45">
        <f>J276*(1-0.0718845140880697)</f>
        <v>0</v>
      </c>
      <c r="AQ276" s="46" t="s">
        <v>13</v>
      </c>
      <c r="AV276" s="45">
        <f>AW276+AX276</f>
        <v>0</v>
      </c>
      <c r="AW276" s="45">
        <f>I276*AO276</f>
        <v>0</v>
      </c>
      <c r="AX276" s="45">
        <f>I276*AP276</f>
        <v>0</v>
      </c>
      <c r="AY276" s="48" t="s">
        <v>1094</v>
      </c>
      <c r="AZ276" s="48" t="s">
        <v>1123</v>
      </c>
      <c r="BA276" s="44" t="s">
        <v>1139</v>
      </c>
      <c r="BC276" s="45">
        <f>AW276+AX276</f>
        <v>0</v>
      </c>
      <c r="BD276" s="45">
        <f>J276/(100-BE276)*100</f>
        <v>0</v>
      </c>
      <c r="BE276" s="45">
        <v>0</v>
      </c>
      <c r="BF276" s="45">
        <f>276</f>
        <v>276</v>
      </c>
      <c r="BH276" s="27">
        <f>I276*AO276</f>
        <v>0</v>
      </c>
      <c r="BI276" s="27">
        <f>I276*AP276</f>
        <v>0</v>
      </c>
      <c r="BJ276" s="27">
        <f>I276*J276</f>
        <v>0</v>
      </c>
      <c r="BK276" s="27" t="s">
        <v>1146</v>
      </c>
      <c r="BL276" s="45">
        <v>712</v>
      </c>
    </row>
    <row r="277" spans="1:64" x14ac:dyDescent="0.2">
      <c r="A277" s="6"/>
      <c r="D277" s="251" t="s">
        <v>800</v>
      </c>
      <c r="E277" s="252"/>
      <c r="F277" s="252"/>
      <c r="G277" s="252"/>
      <c r="H277" s="252"/>
      <c r="I277" s="252"/>
      <c r="J277" s="252"/>
      <c r="K277" s="252"/>
      <c r="L277" s="252"/>
      <c r="M277" s="252"/>
      <c r="N277" s="252"/>
      <c r="O277" s="253"/>
      <c r="P277" s="6"/>
    </row>
    <row r="278" spans="1:64" x14ac:dyDescent="0.2">
      <c r="A278" s="6"/>
      <c r="C278" s="21" t="s">
        <v>310</v>
      </c>
      <c r="D278" s="245" t="s">
        <v>790</v>
      </c>
      <c r="E278" s="246"/>
      <c r="F278" s="246"/>
      <c r="G278" s="246"/>
      <c r="H278" s="246"/>
      <c r="I278" s="246"/>
      <c r="J278" s="246"/>
      <c r="K278" s="246"/>
      <c r="L278" s="246"/>
      <c r="M278" s="246"/>
      <c r="N278" s="246"/>
      <c r="O278" s="247"/>
      <c r="P278" s="6"/>
    </row>
    <row r="279" spans="1:64" x14ac:dyDescent="0.2">
      <c r="A279" s="7" t="s">
        <v>132</v>
      </c>
      <c r="B279" s="17" t="s">
        <v>305</v>
      </c>
      <c r="C279" s="17" t="s">
        <v>437</v>
      </c>
      <c r="D279" s="241" t="s">
        <v>809</v>
      </c>
      <c r="E279" s="242"/>
      <c r="F279" s="242"/>
      <c r="G279" s="242"/>
      <c r="H279" s="17" t="s">
        <v>1042</v>
      </c>
      <c r="I279" s="28">
        <v>156.43</v>
      </c>
      <c r="J279" s="154"/>
      <c r="K279" s="28">
        <f>I279*AO279</f>
        <v>0</v>
      </c>
      <c r="L279" s="28">
        <f>I279*AP279</f>
        <v>0</v>
      </c>
      <c r="M279" s="28">
        <f>I279*J279</f>
        <v>0</v>
      </c>
      <c r="N279" s="57">
        <f>IF(M623=0,0,M279/M623)</f>
        <v>0</v>
      </c>
      <c r="O279" s="40" t="s">
        <v>1068</v>
      </c>
      <c r="P279" s="6"/>
      <c r="Z279" s="45">
        <f>IF(AQ279="5",BJ279,0)</f>
        <v>0</v>
      </c>
      <c r="AB279" s="45">
        <f>IF(AQ279="1",BH279,0)</f>
        <v>0</v>
      </c>
      <c r="AC279" s="45">
        <f>IF(AQ279="1",BI279,0)</f>
        <v>0</v>
      </c>
      <c r="AD279" s="45">
        <f>IF(AQ279="7",BH279,0)</f>
        <v>0</v>
      </c>
      <c r="AE279" s="45">
        <f>IF(AQ279="7",BI279,0)</f>
        <v>0</v>
      </c>
      <c r="AF279" s="45">
        <f>IF(AQ279="2",BH279,0)</f>
        <v>0</v>
      </c>
      <c r="AG279" s="45">
        <f>IF(AQ279="2",BI279,0)</f>
        <v>0</v>
      </c>
      <c r="AH279" s="45">
        <f>IF(AQ279="0",BJ279,0)</f>
        <v>0</v>
      </c>
      <c r="AI279" s="44" t="s">
        <v>305</v>
      </c>
      <c r="AJ279" s="28">
        <f>IF(AN279=0,M279,0)</f>
        <v>0</v>
      </c>
      <c r="AK279" s="28">
        <f>IF(AN279=15,M279,0)</f>
        <v>0</v>
      </c>
      <c r="AL279" s="28">
        <f>IF(AN279=21,M279,0)</f>
        <v>0</v>
      </c>
      <c r="AN279" s="45">
        <v>15</v>
      </c>
      <c r="AO279" s="45">
        <f>J279*1</f>
        <v>0</v>
      </c>
      <c r="AP279" s="45">
        <f>J279*(1-1)</f>
        <v>0</v>
      </c>
      <c r="AQ279" s="47" t="s">
        <v>13</v>
      </c>
      <c r="AV279" s="45">
        <f>AW279+AX279</f>
        <v>0</v>
      </c>
      <c r="AW279" s="45">
        <f>I279*AO279</f>
        <v>0</v>
      </c>
      <c r="AX279" s="45">
        <f>I279*AP279</f>
        <v>0</v>
      </c>
      <c r="AY279" s="48" t="s">
        <v>1094</v>
      </c>
      <c r="AZ279" s="48" t="s">
        <v>1123</v>
      </c>
      <c r="BA279" s="44" t="s">
        <v>1139</v>
      </c>
      <c r="BC279" s="45">
        <f>AW279+AX279</f>
        <v>0</v>
      </c>
      <c r="BD279" s="45">
        <f>J279/(100-BE279)*100</f>
        <v>0</v>
      </c>
      <c r="BE279" s="45">
        <v>0</v>
      </c>
      <c r="BF279" s="45">
        <f>279</f>
        <v>279</v>
      </c>
      <c r="BH279" s="28">
        <f>I279*AO279</f>
        <v>0</v>
      </c>
      <c r="BI279" s="28">
        <f>I279*AP279</f>
        <v>0</v>
      </c>
      <c r="BJ279" s="28">
        <f>I279*J279</f>
        <v>0</v>
      </c>
      <c r="BK279" s="28" t="s">
        <v>1147</v>
      </c>
      <c r="BL279" s="45">
        <v>712</v>
      </c>
    </row>
    <row r="280" spans="1:64" x14ac:dyDescent="0.2">
      <c r="A280" s="5" t="s">
        <v>133</v>
      </c>
      <c r="B280" s="16" t="s">
        <v>305</v>
      </c>
      <c r="C280" s="16" t="s">
        <v>438</v>
      </c>
      <c r="D280" s="243" t="s">
        <v>810</v>
      </c>
      <c r="E280" s="244"/>
      <c r="F280" s="244"/>
      <c r="G280" s="244"/>
      <c r="H280" s="16" t="s">
        <v>1045</v>
      </c>
      <c r="I280" s="27">
        <v>2</v>
      </c>
      <c r="J280" s="149"/>
      <c r="K280" s="27">
        <f>I280*AO280</f>
        <v>0</v>
      </c>
      <c r="L280" s="27">
        <f>I280*AP280</f>
        <v>0</v>
      </c>
      <c r="M280" s="27">
        <f>I280*J280</f>
        <v>0</v>
      </c>
      <c r="N280" s="56">
        <f>IF(M623=0,0,M280/M623)</f>
        <v>0</v>
      </c>
      <c r="O280" s="39" t="s">
        <v>1068</v>
      </c>
      <c r="P280" s="6"/>
      <c r="Z280" s="45">
        <f>IF(AQ280="5",BJ280,0)</f>
        <v>0</v>
      </c>
      <c r="AB280" s="45">
        <f>IF(AQ280="1",BH280,0)</f>
        <v>0</v>
      </c>
      <c r="AC280" s="45">
        <f>IF(AQ280="1",BI280,0)</f>
        <v>0</v>
      </c>
      <c r="AD280" s="45">
        <f>IF(AQ280="7",BH280,0)</f>
        <v>0</v>
      </c>
      <c r="AE280" s="45">
        <f>IF(AQ280="7",BI280,0)</f>
        <v>0</v>
      </c>
      <c r="AF280" s="45">
        <f>IF(AQ280="2",BH280,0)</f>
        <v>0</v>
      </c>
      <c r="AG280" s="45">
        <f>IF(AQ280="2",BI280,0)</f>
        <v>0</v>
      </c>
      <c r="AH280" s="45">
        <f>IF(AQ280="0",BJ280,0)</f>
        <v>0</v>
      </c>
      <c r="AI280" s="44" t="s">
        <v>305</v>
      </c>
      <c r="AJ280" s="27">
        <f>IF(AN280=0,M280,0)</f>
        <v>0</v>
      </c>
      <c r="AK280" s="27">
        <f>IF(AN280=15,M280,0)</f>
        <v>0</v>
      </c>
      <c r="AL280" s="27">
        <f>IF(AN280=21,M280,0)</f>
        <v>0</v>
      </c>
      <c r="AN280" s="45">
        <v>15</v>
      </c>
      <c r="AO280" s="45">
        <f>J280*0.843088552915767</f>
        <v>0</v>
      </c>
      <c r="AP280" s="45">
        <f>J280*(1-0.843088552915767)</f>
        <v>0</v>
      </c>
      <c r="AQ280" s="46" t="s">
        <v>13</v>
      </c>
      <c r="AV280" s="45">
        <f>AW280+AX280</f>
        <v>0</v>
      </c>
      <c r="AW280" s="45">
        <f>I280*AO280</f>
        <v>0</v>
      </c>
      <c r="AX280" s="45">
        <f>I280*AP280</f>
        <v>0</v>
      </c>
      <c r="AY280" s="48" t="s">
        <v>1094</v>
      </c>
      <c r="AZ280" s="48" t="s">
        <v>1123</v>
      </c>
      <c r="BA280" s="44" t="s">
        <v>1139</v>
      </c>
      <c r="BC280" s="45">
        <f>AW280+AX280</f>
        <v>0</v>
      </c>
      <c r="BD280" s="45">
        <f>J280/(100-BE280)*100</f>
        <v>0</v>
      </c>
      <c r="BE280" s="45">
        <v>0</v>
      </c>
      <c r="BF280" s="45">
        <f>280</f>
        <v>280</v>
      </c>
      <c r="BH280" s="27">
        <f>I280*AO280</f>
        <v>0</v>
      </c>
      <c r="BI280" s="27">
        <f>I280*AP280</f>
        <v>0</v>
      </c>
      <c r="BJ280" s="27">
        <f>I280*J280</f>
        <v>0</v>
      </c>
      <c r="BK280" s="27" t="s">
        <v>1146</v>
      </c>
      <c r="BL280" s="45">
        <v>712</v>
      </c>
    </row>
    <row r="281" spans="1:64" x14ac:dyDescent="0.2">
      <c r="A281" s="6"/>
      <c r="D281" s="251" t="s">
        <v>811</v>
      </c>
      <c r="E281" s="252"/>
      <c r="F281" s="252"/>
      <c r="G281" s="252"/>
      <c r="H281" s="252"/>
      <c r="I281" s="252"/>
      <c r="J281" s="252"/>
      <c r="K281" s="252"/>
      <c r="L281" s="252"/>
      <c r="M281" s="252"/>
      <c r="N281" s="252"/>
      <c r="O281" s="253"/>
      <c r="P281" s="6"/>
    </row>
    <row r="282" spans="1:64" x14ac:dyDescent="0.2">
      <c r="A282" s="5" t="s">
        <v>134</v>
      </c>
      <c r="B282" s="16" t="s">
        <v>305</v>
      </c>
      <c r="C282" s="16" t="s">
        <v>439</v>
      </c>
      <c r="D282" s="243" t="s">
        <v>812</v>
      </c>
      <c r="E282" s="244"/>
      <c r="F282" s="244"/>
      <c r="G282" s="244"/>
      <c r="H282" s="16" t="s">
        <v>1042</v>
      </c>
      <c r="I282" s="27">
        <v>64.3</v>
      </c>
      <c r="J282" s="149"/>
      <c r="K282" s="27">
        <f>I282*AO282</f>
        <v>0</v>
      </c>
      <c r="L282" s="27">
        <f>I282*AP282</f>
        <v>0</v>
      </c>
      <c r="M282" s="27">
        <f>I282*J282</f>
        <v>0</v>
      </c>
      <c r="N282" s="56">
        <f>IF(M623=0,0,M282/M623)</f>
        <v>0</v>
      </c>
      <c r="O282" s="39" t="s">
        <v>1068</v>
      </c>
      <c r="P282" s="6"/>
      <c r="Z282" s="45">
        <f>IF(AQ282="5",BJ282,0)</f>
        <v>0</v>
      </c>
      <c r="AB282" s="45">
        <f>IF(AQ282="1",BH282,0)</f>
        <v>0</v>
      </c>
      <c r="AC282" s="45">
        <f>IF(AQ282="1",BI282,0)</f>
        <v>0</v>
      </c>
      <c r="AD282" s="45">
        <f>IF(AQ282="7",BH282,0)</f>
        <v>0</v>
      </c>
      <c r="AE282" s="45">
        <f>IF(AQ282="7",BI282,0)</f>
        <v>0</v>
      </c>
      <c r="AF282" s="45">
        <f>IF(AQ282="2",BH282,0)</f>
        <v>0</v>
      </c>
      <c r="AG282" s="45">
        <f>IF(AQ282="2",BI282,0)</f>
        <v>0</v>
      </c>
      <c r="AH282" s="45">
        <f>IF(AQ282="0",BJ282,0)</f>
        <v>0</v>
      </c>
      <c r="AI282" s="44" t="s">
        <v>305</v>
      </c>
      <c r="AJ282" s="27">
        <f>IF(AN282=0,M282,0)</f>
        <v>0</v>
      </c>
      <c r="AK282" s="27">
        <f>IF(AN282=15,M282,0)</f>
        <v>0</v>
      </c>
      <c r="AL282" s="27">
        <f>IF(AN282=21,M282,0)</f>
        <v>0</v>
      </c>
      <c r="AN282" s="45">
        <v>15</v>
      </c>
      <c r="AO282" s="45">
        <f>J282*0.463524774774775</f>
        <v>0</v>
      </c>
      <c r="AP282" s="45">
        <f>J282*(1-0.463524774774775)</f>
        <v>0</v>
      </c>
      <c r="AQ282" s="46" t="s">
        <v>13</v>
      </c>
      <c r="AV282" s="45">
        <f>AW282+AX282</f>
        <v>0</v>
      </c>
      <c r="AW282" s="45">
        <f>I282*AO282</f>
        <v>0</v>
      </c>
      <c r="AX282" s="45">
        <f>I282*AP282</f>
        <v>0</v>
      </c>
      <c r="AY282" s="48" t="s">
        <v>1094</v>
      </c>
      <c r="AZ282" s="48" t="s">
        <v>1123</v>
      </c>
      <c r="BA282" s="44" t="s">
        <v>1139</v>
      </c>
      <c r="BC282" s="45">
        <f>AW282+AX282</f>
        <v>0</v>
      </c>
      <c r="BD282" s="45">
        <f>J282/(100-BE282)*100</f>
        <v>0</v>
      </c>
      <c r="BE282" s="45">
        <v>0</v>
      </c>
      <c r="BF282" s="45">
        <f>282</f>
        <v>282</v>
      </c>
      <c r="BH282" s="27">
        <f>I282*AO282</f>
        <v>0</v>
      </c>
      <c r="BI282" s="27">
        <f>I282*AP282</f>
        <v>0</v>
      </c>
      <c r="BJ282" s="27">
        <f>I282*J282</f>
        <v>0</v>
      </c>
      <c r="BK282" s="27" t="s">
        <v>1146</v>
      </c>
      <c r="BL282" s="45">
        <v>712</v>
      </c>
    </row>
    <row r="283" spans="1:64" x14ac:dyDescent="0.2">
      <c r="A283" s="6"/>
      <c r="D283" s="251" t="s">
        <v>813</v>
      </c>
      <c r="E283" s="252"/>
      <c r="F283" s="252"/>
      <c r="G283" s="252"/>
      <c r="H283" s="252"/>
      <c r="I283" s="252"/>
      <c r="J283" s="252"/>
      <c r="K283" s="252"/>
      <c r="L283" s="252"/>
      <c r="M283" s="252"/>
      <c r="N283" s="252"/>
      <c r="O283" s="253"/>
      <c r="P283" s="6"/>
    </row>
    <row r="284" spans="1:64" x14ac:dyDescent="0.2">
      <c r="A284" s="6"/>
      <c r="C284" s="21" t="s">
        <v>310</v>
      </c>
      <c r="D284" s="245" t="s">
        <v>790</v>
      </c>
      <c r="E284" s="246"/>
      <c r="F284" s="246"/>
      <c r="G284" s="246"/>
      <c r="H284" s="246"/>
      <c r="I284" s="246"/>
      <c r="J284" s="246"/>
      <c r="K284" s="246"/>
      <c r="L284" s="246"/>
      <c r="M284" s="246"/>
      <c r="N284" s="246"/>
      <c r="O284" s="247"/>
      <c r="P284" s="6"/>
    </row>
    <row r="285" spans="1:64" x14ac:dyDescent="0.2">
      <c r="A285" s="5" t="s">
        <v>135</v>
      </c>
      <c r="B285" s="16" t="s">
        <v>305</v>
      </c>
      <c r="C285" s="16" t="s">
        <v>440</v>
      </c>
      <c r="D285" s="243" t="s">
        <v>814</v>
      </c>
      <c r="E285" s="244"/>
      <c r="F285" s="244"/>
      <c r="G285" s="244"/>
      <c r="H285" s="16" t="s">
        <v>1042</v>
      </c>
      <c r="I285" s="27">
        <v>47.7</v>
      </c>
      <c r="J285" s="149"/>
      <c r="K285" s="27">
        <f>I285*AO285</f>
        <v>0</v>
      </c>
      <c r="L285" s="27">
        <f>I285*AP285</f>
        <v>0</v>
      </c>
      <c r="M285" s="27">
        <f>I285*J285</f>
        <v>0</v>
      </c>
      <c r="N285" s="56">
        <f>IF(M623=0,0,M285/M623)</f>
        <v>0</v>
      </c>
      <c r="O285" s="39" t="s">
        <v>1068</v>
      </c>
      <c r="P285" s="6"/>
      <c r="Z285" s="45">
        <f>IF(AQ285="5",BJ285,0)</f>
        <v>0</v>
      </c>
      <c r="AB285" s="45">
        <f>IF(AQ285="1",BH285,0)</f>
        <v>0</v>
      </c>
      <c r="AC285" s="45">
        <f>IF(AQ285="1",BI285,0)</f>
        <v>0</v>
      </c>
      <c r="AD285" s="45">
        <f>IF(AQ285="7",BH285,0)</f>
        <v>0</v>
      </c>
      <c r="AE285" s="45">
        <f>IF(AQ285="7",BI285,0)</f>
        <v>0</v>
      </c>
      <c r="AF285" s="45">
        <f>IF(AQ285="2",BH285,0)</f>
        <v>0</v>
      </c>
      <c r="AG285" s="45">
        <f>IF(AQ285="2",BI285,0)</f>
        <v>0</v>
      </c>
      <c r="AH285" s="45">
        <f>IF(AQ285="0",BJ285,0)</f>
        <v>0</v>
      </c>
      <c r="AI285" s="44" t="s">
        <v>305</v>
      </c>
      <c r="AJ285" s="27">
        <f>IF(AN285=0,M285,0)</f>
        <v>0</v>
      </c>
      <c r="AK285" s="27">
        <f>IF(AN285=15,M285,0)</f>
        <v>0</v>
      </c>
      <c r="AL285" s="27">
        <f>IF(AN285=21,M285,0)</f>
        <v>0</v>
      </c>
      <c r="AN285" s="45">
        <v>15</v>
      </c>
      <c r="AO285" s="45">
        <f>J285*0.613916849015317</f>
        <v>0</v>
      </c>
      <c r="AP285" s="45">
        <f>J285*(1-0.613916849015317)</f>
        <v>0</v>
      </c>
      <c r="AQ285" s="46" t="s">
        <v>13</v>
      </c>
      <c r="AV285" s="45">
        <f>AW285+AX285</f>
        <v>0</v>
      </c>
      <c r="AW285" s="45">
        <f>I285*AO285</f>
        <v>0</v>
      </c>
      <c r="AX285" s="45">
        <f>I285*AP285</f>
        <v>0</v>
      </c>
      <c r="AY285" s="48" t="s">
        <v>1094</v>
      </c>
      <c r="AZ285" s="48" t="s">
        <v>1123</v>
      </c>
      <c r="BA285" s="44" t="s">
        <v>1139</v>
      </c>
      <c r="BC285" s="45">
        <f>AW285+AX285</f>
        <v>0</v>
      </c>
      <c r="BD285" s="45">
        <f>J285/(100-BE285)*100</f>
        <v>0</v>
      </c>
      <c r="BE285" s="45">
        <v>0</v>
      </c>
      <c r="BF285" s="45">
        <f>285</f>
        <v>285</v>
      </c>
      <c r="BH285" s="27">
        <f>I285*AO285</f>
        <v>0</v>
      </c>
      <c r="BI285" s="27">
        <f>I285*AP285</f>
        <v>0</v>
      </c>
      <c r="BJ285" s="27">
        <f>I285*J285</f>
        <v>0</v>
      </c>
      <c r="BK285" s="27" t="s">
        <v>1146</v>
      </c>
      <c r="BL285" s="45">
        <v>712</v>
      </c>
    </row>
    <row r="286" spans="1:64" x14ac:dyDescent="0.2">
      <c r="A286" s="6"/>
      <c r="D286" s="251" t="s">
        <v>815</v>
      </c>
      <c r="E286" s="252"/>
      <c r="F286" s="252"/>
      <c r="G286" s="252"/>
      <c r="H286" s="252"/>
      <c r="I286" s="252"/>
      <c r="J286" s="252"/>
      <c r="K286" s="252"/>
      <c r="L286" s="252"/>
      <c r="M286" s="252"/>
      <c r="N286" s="252"/>
      <c r="O286" s="253"/>
      <c r="P286" s="6"/>
    </row>
    <row r="287" spans="1:64" x14ac:dyDescent="0.2">
      <c r="A287" s="6"/>
      <c r="C287" s="21" t="s">
        <v>310</v>
      </c>
      <c r="D287" s="245" t="s">
        <v>790</v>
      </c>
      <c r="E287" s="246"/>
      <c r="F287" s="246"/>
      <c r="G287" s="246"/>
      <c r="H287" s="246"/>
      <c r="I287" s="246"/>
      <c r="J287" s="246"/>
      <c r="K287" s="246"/>
      <c r="L287" s="246"/>
      <c r="M287" s="246"/>
      <c r="N287" s="246"/>
      <c r="O287" s="247"/>
      <c r="P287" s="6"/>
    </row>
    <row r="288" spans="1:64" x14ac:dyDescent="0.2">
      <c r="A288" s="5" t="s">
        <v>136</v>
      </c>
      <c r="B288" s="16" t="s">
        <v>305</v>
      </c>
      <c r="C288" s="16" t="s">
        <v>441</v>
      </c>
      <c r="D288" s="243" t="s">
        <v>816</v>
      </c>
      <c r="E288" s="244"/>
      <c r="F288" s="244"/>
      <c r="G288" s="244"/>
      <c r="H288" s="16" t="s">
        <v>1044</v>
      </c>
      <c r="I288" s="27">
        <v>31.8</v>
      </c>
      <c r="J288" s="149"/>
      <c r="K288" s="27">
        <f>I288*AO288</f>
        <v>0</v>
      </c>
      <c r="L288" s="27">
        <f>I288*AP288</f>
        <v>0</v>
      </c>
      <c r="M288" s="27">
        <f>I288*J288</f>
        <v>0</v>
      </c>
      <c r="N288" s="56">
        <f>IF(M623=0,0,M288/M623)</f>
        <v>0</v>
      </c>
      <c r="O288" s="39" t="s">
        <v>1068</v>
      </c>
      <c r="P288" s="6"/>
      <c r="Z288" s="45">
        <f>IF(AQ288="5",BJ288,0)</f>
        <v>0</v>
      </c>
      <c r="AB288" s="45">
        <f>IF(AQ288="1",BH288,0)</f>
        <v>0</v>
      </c>
      <c r="AC288" s="45">
        <f>IF(AQ288="1",BI288,0)</f>
        <v>0</v>
      </c>
      <c r="AD288" s="45">
        <f>IF(AQ288="7",BH288,0)</f>
        <v>0</v>
      </c>
      <c r="AE288" s="45">
        <f>IF(AQ288="7",BI288,0)</f>
        <v>0</v>
      </c>
      <c r="AF288" s="45">
        <f>IF(AQ288="2",BH288,0)</f>
        <v>0</v>
      </c>
      <c r="AG288" s="45">
        <f>IF(AQ288="2",BI288,0)</f>
        <v>0</v>
      </c>
      <c r="AH288" s="45">
        <f>IF(AQ288="0",BJ288,0)</f>
        <v>0</v>
      </c>
      <c r="AI288" s="44" t="s">
        <v>305</v>
      </c>
      <c r="AJ288" s="27">
        <f>IF(AN288=0,M288,0)</f>
        <v>0</v>
      </c>
      <c r="AK288" s="27">
        <f>IF(AN288=15,M288,0)</f>
        <v>0</v>
      </c>
      <c r="AL288" s="27">
        <f>IF(AN288=21,M288,0)</f>
        <v>0</v>
      </c>
      <c r="AN288" s="45">
        <v>15</v>
      </c>
      <c r="AO288" s="45">
        <f>J288*0.657221494102228</f>
        <v>0</v>
      </c>
      <c r="AP288" s="45">
        <f>J288*(1-0.657221494102228)</f>
        <v>0</v>
      </c>
      <c r="AQ288" s="46" t="s">
        <v>13</v>
      </c>
      <c r="AV288" s="45">
        <f>AW288+AX288</f>
        <v>0</v>
      </c>
      <c r="AW288" s="45">
        <f>I288*AO288</f>
        <v>0</v>
      </c>
      <c r="AX288" s="45">
        <f>I288*AP288</f>
        <v>0</v>
      </c>
      <c r="AY288" s="48" t="s">
        <v>1094</v>
      </c>
      <c r="AZ288" s="48" t="s">
        <v>1123</v>
      </c>
      <c r="BA288" s="44" t="s">
        <v>1139</v>
      </c>
      <c r="BC288" s="45">
        <f>AW288+AX288</f>
        <v>0</v>
      </c>
      <c r="BD288" s="45">
        <f>J288/(100-BE288)*100</f>
        <v>0</v>
      </c>
      <c r="BE288" s="45">
        <v>0</v>
      </c>
      <c r="BF288" s="45">
        <f>288</f>
        <v>288</v>
      </c>
      <c r="BH288" s="27">
        <f>I288*AO288</f>
        <v>0</v>
      </c>
      <c r="BI288" s="27">
        <f>I288*AP288</f>
        <v>0</v>
      </c>
      <c r="BJ288" s="27">
        <f>I288*J288</f>
        <v>0</v>
      </c>
      <c r="BK288" s="27" t="s">
        <v>1146</v>
      </c>
      <c r="BL288" s="45">
        <v>712</v>
      </c>
    </row>
    <row r="289" spans="1:64" x14ac:dyDescent="0.2">
      <c r="A289" s="6"/>
      <c r="C289" s="21" t="s">
        <v>310</v>
      </c>
      <c r="D289" s="245" t="s">
        <v>790</v>
      </c>
      <c r="E289" s="246"/>
      <c r="F289" s="246"/>
      <c r="G289" s="246"/>
      <c r="H289" s="246"/>
      <c r="I289" s="246"/>
      <c r="J289" s="246"/>
      <c r="K289" s="246"/>
      <c r="L289" s="246"/>
      <c r="M289" s="246"/>
      <c r="N289" s="246"/>
      <c r="O289" s="247"/>
      <c r="P289" s="6"/>
    </row>
    <row r="290" spans="1:64" x14ac:dyDescent="0.2">
      <c r="A290" s="5" t="s">
        <v>137</v>
      </c>
      <c r="B290" s="16" t="s">
        <v>305</v>
      </c>
      <c r="C290" s="16" t="s">
        <v>442</v>
      </c>
      <c r="D290" s="243" t="s">
        <v>817</v>
      </c>
      <c r="E290" s="244"/>
      <c r="F290" s="244"/>
      <c r="G290" s="244"/>
      <c r="H290" s="16" t="s">
        <v>1044</v>
      </c>
      <c r="I290" s="27">
        <v>31.8</v>
      </c>
      <c r="J290" s="149"/>
      <c r="K290" s="27">
        <f>I290*AO290</f>
        <v>0</v>
      </c>
      <c r="L290" s="27">
        <f>I290*AP290</f>
        <v>0</v>
      </c>
      <c r="M290" s="27">
        <f>I290*J290</f>
        <v>0</v>
      </c>
      <c r="N290" s="56">
        <f>IF(M623=0,0,M290/M623)</f>
        <v>0</v>
      </c>
      <c r="O290" s="39" t="s">
        <v>1068</v>
      </c>
      <c r="P290" s="6"/>
      <c r="Z290" s="45">
        <f>IF(AQ290="5",BJ290,0)</f>
        <v>0</v>
      </c>
      <c r="AB290" s="45">
        <f>IF(AQ290="1",BH290,0)</f>
        <v>0</v>
      </c>
      <c r="AC290" s="45">
        <f>IF(AQ290="1",BI290,0)</f>
        <v>0</v>
      </c>
      <c r="AD290" s="45">
        <f>IF(AQ290="7",BH290,0)</f>
        <v>0</v>
      </c>
      <c r="AE290" s="45">
        <f>IF(AQ290="7",BI290,0)</f>
        <v>0</v>
      </c>
      <c r="AF290" s="45">
        <f>IF(AQ290="2",BH290,0)</f>
        <v>0</v>
      </c>
      <c r="AG290" s="45">
        <f>IF(AQ290="2",BI290,0)</f>
        <v>0</v>
      </c>
      <c r="AH290" s="45">
        <f>IF(AQ290="0",BJ290,0)</f>
        <v>0</v>
      </c>
      <c r="AI290" s="44" t="s">
        <v>305</v>
      </c>
      <c r="AJ290" s="27">
        <f>IF(AN290=0,M290,0)</f>
        <v>0</v>
      </c>
      <c r="AK290" s="27">
        <f>IF(AN290=15,M290,0)</f>
        <v>0</v>
      </c>
      <c r="AL290" s="27">
        <f>IF(AN290=21,M290,0)</f>
        <v>0</v>
      </c>
      <c r="AN290" s="45">
        <v>15</v>
      </c>
      <c r="AO290" s="45">
        <f>J290*0.447380281690141</f>
        <v>0</v>
      </c>
      <c r="AP290" s="45">
        <f>J290*(1-0.447380281690141)</f>
        <v>0</v>
      </c>
      <c r="AQ290" s="46" t="s">
        <v>13</v>
      </c>
      <c r="AV290" s="45">
        <f>AW290+AX290</f>
        <v>0</v>
      </c>
      <c r="AW290" s="45">
        <f>I290*AO290</f>
        <v>0</v>
      </c>
      <c r="AX290" s="45">
        <f>I290*AP290</f>
        <v>0</v>
      </c>
      <c r="AY290" s="48" t="s">
        <v>1094</v>
      </c>
      <c r="AZ290" s="48" t="s">
        <v>1123</v>
      </c>
      <c r="BA290" s="44" t="s">
        <v>1139</v>
      </c>
      <c r="BC290" s="45">
        <f>AW290+AX290</f>
        <v>0</v>
      </c>
      <c r="BD290" s="45">
        <f>J290/(100-BE290)*100</f>
        <v>0</v>
      </c>
      <c r="BE290" s="45">
        <v>0</v>
      </c>
      <c r="BF290" s="45">
        <f>290</f>
        <v>290</v>
      </c>
      <c r="BH290" s="27">
        <f>I290*AO290</f>
        <v>0</v>
      </c>
      <c r="BI290" s="27">
        <f>I290*AP290</f>
        <v>0</v>
      </c>
      <c r="BJ290" s="27">
        <f>I290*J290</f>
        <v>0</v>
      </c>
      <c r="BK290" s="27" t="s">
        <v>1146</v>
      </c>
      <c r="BL290" s="45">
        <v>712</v>
      </c>
    </row>
    <row r="291" spans="1:64" x14ac:dyDescent="0.2">
      <c r="A291" s="5" t="s">
        <v>138</v>
      </c>
      <c r="B291" s="16" t="s">
        <v>305</v>
      </c>
      <c r="C291" s="16" t="s">
        <v>443</v>
      </c>
      <c r="D291" s="243" t="s">
        <v>818</v>
      </c>
      <c r="E291" s="244"/>
      <c r="F291" s="244"/>
      <c r="G291" s="244"/>
      <c r="H291" s="16" t="s">
        <v>1044</v>
      </c>
      <c r="I291" s="27">
        <v>31.8</v>
      </c>
      <c r="J291" s="149"/>
      <c r="K291" s="27">
        <f>I291*AO291</f>
        <v>0</v>
      </c>
      <c r="L291" s="27">
        <f>I291*AP291</f>
        <v>0</v>
      </c>
      <c r="M291" s="27">
        <f>I291*J291</f>
        <v>0</v>
      </c>
      <c r="N291" s="56">
        <f>IF(M623=0,0,M291/M623)</f>
        <v>0</v>
      </c>
      <c r="O291" s="39" t="s">
        <v>1068</v>
      </c>
      <c r="P291" s="6"/>
      <c r="Z291" s="45">
        <f>IF(AQ291="5",BJ291,0)</f>
        <v>0</v>
      </c>
      <c r="AB291" s="45">
        <f>IF(AQ291="1",BH291,0)</f>
        <v>0</v>
      </c>
      <c r="AC291" s="45">
        <f>IF(AQ291="1",BI291,0)</f>
        <v>0</v>
      </c>
      <c r="AD291" s="45">
        <f>IF(AQ291="7",BH291,0)</f>
        <v>0</v>
      </c>
      <c r="AE291" s="45">
        <f>IF(AQ291="7",BI291,0)</f>
        <v>0</v>
      </c>
      <c r="AF291" s="45">
        <f>IF(AQ291="2",BH291,0)</f>
        <v>0</v>
      </c>
      <c r="AG291" s="45">
        <f>IF(AQ291="2",BI291,0)</f>
        <v>0</v>
      </c>
      <c r="AH291" s="45">
        <f>IF(AQ291="0",BJ291,0)</f>
        <v>0</v>
      </c>
      <c r="AI291" s="44" t="s">
        <v>305</v>
      </c>
      <c r="AJ291" s="27">
        <f>IF(AN291=0,M291,0)</f>
        <v>0</v>
      </c>
      <c r="AK291" s="27">
        <f>IF(AN291=15,M291,0)</f>
        <v>0</v>
      </c>
      <c r="AL291" s="27">
        <f>IF(AN291=21,M291,0)</f>
        <v>0</v>
      </c>
      <c r="AN291" s="45">
        <v>15</v>
      </c>
      <c r="AO291" s="45">
        <f>J291*0.447380281690141</f>
        <v>0</v>
      </c>
      <c r="AP291" s="45">
        <f>J291*(1-0.447380281690141)</f>
        <v>0</v>
      </c>
      <c r="AQ291" s="46" t="s">
        <v>13</v>
      </c>
      <c r="AV291" s="45">
        <f>AW291+AX291</f>
        <v>0</v>
      </c>
      <c r="AW291" s="45">
        <f>I291*AO291</f>
        <v>0</v>
      </c>
      <c r="AX291" s="45">
        <f>I291*AP291</f>
        <v>0</v>
      </c>
      <c r="AY291" s="48" t="s">
        <v>1094</v>
      </c>
      <c r="AZ291" s="48" t="s">
        <v>1123</v>
      </c>
      <c r="BA291" s="44" t="s">
        <v>1139</v>
      </c>
      <c r="BC291" s="45">
        <f>AW291+AX291</f>
        <v>0</v>
      </c>
      <c r="BD291" s="45">
        <f>J291/(100-BE291)*100</f>
        <v>0</v>
      </c>
      <c r="BE291" s="45">
        <v>0</v>
      </c>
      <c r="BF291" s="45">
        <f>291</f>
        <v>291</v>
      </c>
      <c r="BH291" s="27">
        <f>I291*AO291</f>
        <v>0</v>
      </c>
      <c r="BI291" s="27">
        <f>I291*AP291</f>
        <v>0</v>
      </c>
      <c r="BJ291" s="27">
        <f>I291*J291</f>
        <v>0</v>
      </c>
      <c r="BK291" s="27" t="s">
        <v>1146</v>
      </c>
      <c r="BL291" s="45">
        <v>712</v>
      </c>
    </row>
    <row r="292" spans="1:64" x14ac:dyDescent="0.2">
      <c r="A292" s="5" t="s">
        <v>139</v>
      </c>
      <c r="B292" s="16" t="s">
        <v>305</v>
      </c>
      <c r="C292" s="16" t="s">
        <v>444</v>
      </c>
      <c r="D292" s="243" t="s">
        <v>819</v>
      </c>
      <c r="E292" s="244"/>
      <c r="F292" s="244"/>
      <c r="G292" s="244"/>
      <c r="H292" s="16" t="s">
        <v>1045</v>
      </c>
      <c r="I292" s="27">
        <v>2</v>
      </c>
      <c r="J292" s="149"/>
      <c r="K292" s="27">
        <f>I292*AO292</f>
        <v>0</v>
      </c>
      <c r="L292" s="27">
        <f>I292*AP292</f>
        <v>0</v>
      </c>
      <c r="M292" s="27">
        <f>I292*J292</f>
        <v>0</v>
      </c>
      <c r="N292" s="56">
        <f>IF(M623=0,0,M292/M623)</f>
        <v>0</v>
      </c>
      <c r="O292" s="39" t="s">
        <v>1068</v>
      </c>
      <c r="P292" s="6"/>
      <c r="Z292" s="45">
        <f>IF(AQ292="5",BJ292,0)</f>
        <v>0</v>
      </c>
      <c r="AB292" s="45">
        <f>IF(AQ292="1",BH292,0)</f>
        <v>0</v>
      </c>
      <c r="AC292" s="45">
        <f>IF(AQ292="1",BI292,0)</f>
        <v>0</v>
      </c>
      <c r="AD292" s="45">
        <f>IF(AQ292="7",BH292,0)</f>
        <v>0</v>
      </c>
      <c r="AE292" s="45">
        <f>IF(AQ292="7",BI292,0)</f>
        <v>0</v>
      </c>
      <c r="AF292" s="45">
        <f>IF(AQ292="2",BH292,0)</f>
        <v>0</v>
      </c>
      <c r="AG292" s="45">
        <f>IF(AQ292="2",BI292,0)</f>
        <v>0</v>
      </c>
      <c r="AH292" s="45">
        <f>IF(AQ292="0",BJ292,0)</f>
        <v>0</v>
      </c>
      <c r="AI292" s="44" t="s">
        <v>305</v>
      </c>
      <c r="AJ292" s="27">
        <f>IF(AN292=0,M292,0)</f>
        <v>0</v>
      </c>
      <c r="AK292" s="27">
        <f>IF(AN292=15,M292,0)</f>
        <v>0</v>
      </c>
      <c r="AL292" s="27">
        <f>IF(AN292=21,M292,0)</f>
        <v>0</v>
      </c>
      <c r="AN292" s="45">
        <v>15</v>
      </c>
      <c r="AO292" s="45">
        <f>J292*0.846101552186174</f>
        <v>0</v>
      </c>
      <c r="AP292" s="45">
        <f>J292*(1-0.846101552186174)</f>
        <v>0</v>
      </c>
      <c r="AQ292" s="46" t="s">
        <v>13</v>
      </c>
      <c r="AV292" s="45">
        <f>AW292+AX292</f>
        <v>0</v>
      </c>
      <c r="AW292" s="45">
        <f>I292*AO292</f>
        <v>0</v>
      </c>
      <c r="AX292" s="45">
        <f>I292*AP292</f>
        <v>0</v>
      </c>
      <c r="AY292" s="48" t="s">
        <v>1094</v>
      </c>
      <c r="AZ292" s="48" t="s">
        <v>1123</v>
      </c>
      <c r="BA292" s="44" t="s">
        <v>1139</v>
      </c>
      <c r="BC292" s="45">
        <f>AW292+AX292</f>
        <v>0</v>
      </c>
      <c r="BD292" s="45">
        <f>J292/(100-BE292)*100</f>
        <v>0</v>
      </c>
      <c r="BE292" s="45">
        <v>0</v>
      </c>
      <c r="BF292" s="45">
        <f>292</f>
        <v>292</v>
      </c>
      <c r="BH292" s="27">
        <f>I292*AO292</f>
        <v>0</v>
      </c>
      <c r="BI292" s="27">
        <f>I292*AP292</f>
        <v>0</v>
      </c>
      <c r="BJ292" s="27">
        <f>I292*J292</f>
        <v>0</v>
      </c>
      <c r="BK292" s="27" t="s">
        <v>1146</v>
      </c>
      <c r="BL292" s="45">
        <v>712</v>
      </c>
    </row>
    <row r="293" spans="1:64" x14ac:dyDescent="0.2">
      <c r="A293" s="6"/>
      <c r="D293" s="251" t="s">
        <v>811</v>
      </c>
      <c r="E293" s="252"/>
      <c r="F293" s="252"/>
      <c r="G293" s="252"/>
      <c r="H293" s="252"/>
      <c r="I293" s="252"/>
      <c r="J293" s="252"/>
      <c r="K293" s="252"/>
      <c r="L293" s="252"/>
      <c r="M293" s="252"/>
      <c r="N293" s="252"/>
      <c r="O293" s="253"/>
      <c r="P293" s="6"/>
    </row>
    <row r="294" spans="1:64" x14ac:dyDescent="0.2">
      <c r="A294" s="6"/>
      <c r="C294" s="21" t="s">
        <v>310</v>
      </c>
      <c r="D294" s="245" t="s">
        <v>790</v>
      </c>
      <c r="E294" s="246"/>
      <c r="F294" s="246"/>
      <c r="G294" s="246"/>
      <c r="H294" s="246"/>
      <c r="I294" s="246"/>
      <c r="J294" s="246"/>
      <c r="K294" s="246"/>
      <c r="L294" s="246"/>
      <c r="M294" s="246"/>
      <c r="N294" s="246"/>
      <c r="O294" s="247"/>
      <c r="P294" s="6"/>
    </row>
    <row r="295" spans="1:64" x14ac:dyDescent="0.2">
      <c r="A295" s="5" t="s">
        <v>140</v>
      </c>
      <c r="B295" s="16" t="s">
        <v>305</v>
      </c>
      <c r="C295" s="16" t="s">
        <v>445</v>
      </c>
      <c r="D295" s="243" t="s">
        <v>820</v>
      </c>
      <c r="E295" s="244"/>
      <c r="F295" s="244"/>
      <c r="G295" s="244"/>
      <c r="H295" s="16" t="s">
        <v>1043</v>
      </c>
      <c r="I295" s="27">
        <v>2.41</v>
      </c>
      <c r="J295" s="149"/>
      <c r="K295" s="27">
        <f>I295*AO295</f>
        <v>0</v>
      </c>
      <c r="L295" s="27">
        <f>I295*AP295</f>
        <v>0</v>
      </c>
      <c r="M295" s="27">
        <f>I295*J295</f>
        <v>0</v>
      </c>
      <c r="N295" s="56">
        <f>IF(M623=0,0,M295/M623)</f>
        <v>0</v>
      </c>
      <c r="O295" s="39" t="s">
        <v>1068</v>
      </c>
      <c r="P295" s="6"/>
      <c r="Z295" s="45">
        <f>IF(AQ295="5",BJ295,0)</f>
        <v>0</v>
      </c>
      <c r="AB295" s="45">
        <f>IF(AQ295="1",BH295,0)</f>
        <v>0</v>
      </c>
      <c r="AC295" s="45">
        <f>IF(AQ295="1",BI295,0)</f>
        <v>0</v>
      </c>
      <c r="AD295" s="45">
        <f>IF(AQ295="7",BH295,0)</f>
        <v>0</v>
      </c>
      <c r="AE295" s="45">
        <f>IF(AQ295="7",BI295,0)</f>
        <v>0</v>
      </c>
      <c r="AF295" s="45">
        <f>IF(AQ295="2",BH295,0)</f>
        <v>0</v>
      </c>
      <c r="AG295" s="45">
        <f>IF(AQ295="2",BI295,0)</f>
        <v>0</v>
      </c>
      <c r="AH295" s="45">
        <f>IF(AQ295="0",BJ295,0)</f>
        <v>0</v>
      </c>
      <c r="AI295" s="44" t="s">
        <v>305</v>
      </c>
      <c r="AJ295" s="27">
        <f>IF(AN295=0,M295,0)</f>
        <v>0</v>
      </c>
      <c r="AK295" s="27">
        <f>IF(AN295=15,M295,0)</f>
        <v>0</v>
      </c>
      <c r="AL295" s="27">
        <f>IF(AN295=21,M295,0)</f>
        <v>0</v>
      </c>
      <c r="AN295" s="45">
        <v>15</v>
      </c>
      <c r="AO295" s="45">
        <f>J295*0</f>
        <v>0</v>
      </c>
      <c r="AP295" s="45">
        <f>J295*(1-0)</f>
        <v>0</v>
      </c>
      <c r="AQ295" s="46" t="s">
        <v>11</v>
      </c>
      <c r="AV295" s="45">
        <f>AW295+AX295</f>
        <v>0</v>
      </c>
      <c r="AW295" s="45">
        <f>I295*AO295</f>
        <v>0</v>
      </c>
      <c r="AX295" s="45">
        <f>I295*AP295</f>
        <v>0</v>
      </c>
      <c r="AY295" s="48" t="s">
        <v>1094</v>
      </c>
      <c r="AZ295" s="48" t="s">
        <v>1123</v>
      </c>
      <c r="BA295" s="44" t="s">
        <v>1139</v>
      </c>
      <c r="BC295" s="45">
        <f>AW295+AX295</f>
        <v>0</v>
      </c>
      <c r="BD295" s="45">
        <f>J295/(100-BE295)*100</f>
        <v>0</v>
      </c>
      <c r="BE295" s="45">
        <v>0</v>
      </c>
      <c r="BF295" s="45">
        <f>295</f>
        <v>295</v>
      </c>
      <c r="BH295" s="27">
        <f>I295*AO295</f>
        <v>0</v>
      </c>
      <c r="BI295" s="27">
        <f>I295*AP295</f>
        <v>0</v>
      </c>
      <c r="BJ295" s="27">
        <f>I295*J295</f>
        <v>0</v>
      </c>
      <c r="BK295" s="27" t="s">
        <v>1146</v>
      </c>
      <c r="BL295" s="45">
        <v>712</v>
      </c>
    </row>
    <row r="296" spans="1:64" x14ac:dyDescent="0.2">
      <c r="A296" s="4"/>
      <c r="B296" s="15" t="s">
        <v>305</v>
      </c>
      <c r="C296" s="15" t="s">
        <v>446</v>
      </c>
      <c r="D296" s="237" t="s">
        <v>821</v>
      </c>
      <c r="E296" s="238"/>
      <c r="F296" s="238"/>
      <c r="G296" s="238"/>
      <c r="H296" s="24" t="s">
        <v>6</v>
      </c>
      <c r="I296" s="24" t="s">
        <v>6</v>
      </c>
      <c r="J296" s="24" t="s">
        <v>6</v>
      </c>
      <c r="K296" s="51">
        <f>SUM(K297:K328)</f>
        <v>0</v>
      </c>
      <c r="L296" s="51">
        <f>SUM(L297:L328)</f>
        <v>0</v>
      </c>
      <c r="M296" s="51">
        <f>SUM(M297:M328)</f>
        <v>0</v>
      </c>
      <c r="N296" s="55">
        <f>IF(M623=0,0,M296/M623)</f>
        <v>0</v>
      </c>
      <c r="O296" s="38"/>
      <c r="P296" s="6"/>
      <c r="AI296" s="44" t="s">
        <v>305</v>
      </c>
      <c r="AS296" s="51">
        <f>SUM(AJ297:AJ328)</f>
        <v>0</v>
      </c>
      <c r="AT296" s="51">
        <f>SUM(AK297:AK328)</f>
        <v>0</v>
      </c>
      <c r="AU296" s="51">
        <f>SUM(AL297:AL328)</f>
        <v>0</v>
      </c>
    </row>
    <row r="297" spans="1:64" x14ac:dyDescent="0.2">
      <c r="A297" s="5" t="s">
        <v>141</v>
      </c>
      <c r="B297" s="16" t="s">
        <v>305</v>
      </c>
      <c r="C297" s="16" t="s">
        <v>447</v>
      </c>
      <c r="D297" s="243" t="s">
        <v>822</v>
      </c>
      <c r="E297" s="244"/>
      <c r="F297" s="244"/>
      <c r="G297" s="244"/>
      <c r="H297" s="16" t="s">
        <v>1042</v>
      </c>
      <c r="I297" s="27">
        <v>177.36</v>
      </c>
      <c r="J297" s="149"/>
      <c r="K297" s="27">
        <f>I297*AO297</f>
        <v>0</v>
      </c>
      <c r="L297" s="27">
        <f>I297*AP297</f>
        <v>0</v>
      </c>
      <c r="M297" s="27">
        <f>I297*J297</f>
        <v>0</v>
      </c>
      <c r="N297" s="56">
        <f>IF(M623=0,0,M297/M623)</f>
        <v>0</v>
      </c>
      <c r="O297" s="39" t="s">
        <v>1068</v>
      </c>
      <c r="P297" s="6"/>
      <c r="Z297" s="45">
        <f>IF(AQ297="5",BJ297,0)</f>
        <v>0</v>
      </c>
      <c r="AB297" s="45">
        <f>IF(AQ297="1",BH297,0)</f>
        <v>0</v>
      </c>
      <c r="AC297" s="45">
        <f>IF(AQ297="1",BI297,0)</f>
        <v>0</v>
      </c>
      <c r="AD297" s="45">
        <f>IF(AQ297="7",BH297,0)</f>
        <v>0</v>
      </c>
      <c r="AE297" s="45">
        <f>IF(AQ297="7",BI297,0)</f>
        <v>0</v>
      </c>
      <c r="AF297" s="45">
        <f>IF(AQ297="2",BH297,0)</f>
        <v>0</v>
      </c>
      <c r="AG297" s="45">
        <f>IF(AQ297="2",BI297,0)</f>
        <v>0</v>
      </c>
      <c r="AH297" s="45">
        <f>IF(AQ297="0",BJ297,0)</f>
        <v>0</v>
      </c>
      <c r="AI297" s="44" t="s">
        <v>305</v>
      </c>
      <c r="AJ297" s="27">
        <f>IF(AN297=0,M297,0)</f>
        <v>0</v>
      </c>
      <c r="AK297" s="27">
        <f>IF(AN297=15,M297,0)</f>
        <v>0</v>
      </c>
      <c r="AL297" s="27">
        <f>IF(AN297=21,M297,0)</f>
        <v>0</v>
      </c>
      <c r="AN297" s="45">
        <v>15</v>
      </c>
      <c r="AO297" s="45">
        <f>J297*0.704374364191251</f>
        <v>0</v>
      </c>
      <c r="AP297" s="45">
        <f>J297*(1-0.704374364191251)</f>
        <v>0</v>
      </c>
      <c r="AQ297" s="46" t="s">
        <v>13</v>
      </c>
      <c r="AV297" s="45">
        <f>AW297+AX297</f>
        <v>0</v>
      </c>
      <c r="AW297" s="45">
        <f>I297*AO297</f>
        <v>0</v>
      </c>
      <c r="AX297" s="45">
        <f>I297*AP297</f>
        <v>0</v>
      </c>
      <c r="AY297" s="48" t="s">
        <v>1095</v>
      </c>
      <c r="AZ297" s="48" t="s">
        <v>1123</v>
      </c>
      <c r="BA297" s="44" t="s">
        <v>1139</v>
      </c>
      <c r="BC297" s="45">
        <f>AW297+AX297</f>
        <v>0</v>
      </c>
      <c r="BD297" s="45">
        <f>J297/(100-BE297)*100</f>
        <v>0</v>
      </c>
      <c r="BE297" s="45">
        <v>0</v>
      </c>
      <c r="BF297" s="45">
        <f>297</f>
        <v>297</v>
      </c>
      <c r="BH297" s="27">
        <f>I297*AO297</f>
        <v>0</v>
      </c>
      <c r="BI297" s="27">
        <f>I297*AP297</f>
        <v>0</v>
      </c>
      <c r="BJ297" s="27">
        <f>I297*J297</f>
        <v>0</v>
      </c>
      <c r="BK297" s="27" t="s">
        <v>1146</v>
      </c>
      <c r="BL297" s="45">
        <v>713</v>
      </c>
    </row>
    <row r="298" spans="1:64" x14ac:dyDescent="0.2">
      <c r="A298" s="6"/>
      <c r="D298" s="251" t="s">
        <v>823</v>
      </c>
      <c r="E298" s="252"/>
      <c r="F298" s="252"/>
      <c r="G298" s="252"/>
      <c r="H298" s="252"/>
      <c r="I298" s="252"/>
      <c r="J298" s="252"/>
      <c r="K298" s="252"/>
      <c r="L298" s="252"/>
      <c r="M298" s="252"/>
      <c r="N298" s="252"/>
      <c r="O298" s="253"/>
      <c r="P298" s="6"/>
    </row>
    <row r="299" spans="1:64" x14ac:dyDescent="0.2">
      <c r="A299" s="6"/>
      <c r="C299" s="21" t="s">
        <v>310</v>
      </c>
      <c r="D299" s="245" t="s">
        <v>781</v>
      </c>
      <c r="E299" s="246"/>
      <c r="F299" s="246"/>
      <c r="G299" s="246"/>
      <c r="H299" s="246"/>
      <c r="I299" s="246"/>
      <c r="J299" s="246"/>
      <c r="K299" s="246"/>
      <c r="L299" s="246"/>
      <c r="M299" s="246"/>
      <c r="N299" s="246"/>
      <c r="O299" s="247"/>
      <c r="P299" s="6"/>
    </row>
    <row r="300" spans="1:64" x14ac:dyDescent="0.2">
      <c r="A300" s="7" t="s">
        <v>142</v>
      </c>
      <c r="B300" s="17" t="s">
        <v>305</v>
      </c>
      <c r="C300" s="17" t="s">
        <v>448</v>
      </c>
      <c r="D300" s="241" t="s">
        <v>824</v>
      </c>
      <c r="E300" s="242"/>
      <c r="F300" s="242"/>
      <c r="G300" s="242"/>
      <c r="H300" s="17" t="s">
        <v>1041</v>
      </c>
      <c r="I300" s="28">
        <v>33.07</v>
      </c>
      <c r="J300" s="154"/>
      <c r="K300" s="28">
        <f>I300*AO300</f>
        <v>0</v>
      </c>
      <c r="L300" s="28">
        <f>I300*AP300</f>
        <v>0</v>
      </c>
      <c r="M300" s="28">
        <f>I300*J300</f>
        <v>0</v>
      </c>
      <c r="N300" s="57">
        <f>IF(M623=0,0,M300/M623)</f>
        <v>0</v>
      </c>
      <c r="O300" s="40" t="s">
        <v>1068</v>
      </c>
      <c r="P300" s="6"/>
      <c r="Z300" s="45">
        <f>IF(AQ300="5",BJ300,0)</f>
        <v>0</v>
      </c>
      <c r="AB300" s="45">
        <f>IF(AQ300="1",BH300,0)</f>
        <v>0</v>
      </c>
      <c r="AC300" s="45">
        <f>IF(AQ300="1",BI300,0)</f>
        <v>0</v>
      </c>
      <c r="AD300" s="45">
        <f>IF(AQ300="7",BH300,0)</f>
        <v>0</v>
      </c>
      <c r="AE300" s="45">
        <f>IF(AQ300="7",BI300,0)</f>
        <v>0</v>
      </c>
      <c r="AF300" s="45">
        <f>IF(AQ300="2",BH300,0)</f>
        <v>0</v>
      </c>
      <c r="AG300" s="45">
        <f>IF(AQ300="2",BI300,0)</f>
        <v>0</v>
      </c>
      <c r="AH300" s="45">
        <f>IF(AQ300="0",BJ300,0)</f>
        <v>0</v>
      </c>
      <c r="AI300" s="44" t="s">
        <v>305</v>
      </c>
      <c r="AJ300" s="28">
        <f>IF(AN300=0,M300,0)</f>
        <v>0</v>
      </c>
      <c r="AK300" s="28">
        <f>IF(AN300=15,M300,0)</f>
        <v>0</v>
      </c>
      <c r="AL300" s="28">
        <f>IF(AN300=21,M300,0)</f>
        <v>0</v>
      </c>
      <c r="AN300" s="45">
        <v>15</v>
      </c>
      <c r="AO300" s="45">
        <f>J300*1</f>
        <v>0</v>
      </c>
      <c r="AP300" s="45">
        <f>J300*(1-1)</f>
        <v>0</v>
      </c>
      <c r="AQ300" s="47" t="s">
        <v>13</v>
      </c>
      <c r="AV300" s="45">
        <f>AW300+AX300</f>
        <v>0</v>
      </c>
      <c r="AW300" s="45">
        <f>I300*AO300</f>
        <v>0</v>
      </c>
      <c r="AX300" s="45">
        <f>I300*AP300</f>
        <v>0</v>
      </c>
      <c r="AY300" s="48" t="s">
        <v>1095</v>
      </c>
      <c r="AZ300" s="48" t="s">
        <v>1123</v>
      </c>
      <c r="BA300" s="44" t="s">
        <v>1139</v>
      </c>
      <c r="BC300" s="45">
        <f>AW300+AX300</f>
        <v>0</v>
      </c>
      <c r="BD300" s="45">
        <f>J300/(100-BE300)*100</f>
        <v>0</v>
      </c>
      <c r="BE300" s="45">
        <v>0</v>
      </c>
      <c r="BF300" s="45">
        <f>300</f>
        <v>300</v>
      </c>
      <c r="BH300" s="28">
        <f>I300*AO300</f>
        <v>0</v>
      </c>
      <c r="BI300" s="28">
        <f>I300*AP300</f>
        <v>0</v>
      </c>
      <c r="BJ300" s="28">
        <f>I300*J300</f>
        <v>0</v>
      </c>
      <c r="BK300" s="28" t="s">
        <v>1147</v>
      </c>
      <c r="BL300" s="45">
        <v>713</v>
      </c>
    </row>
    <row r="301" spans="1:64" x14ac:dyDescent="0.2">
      <c r="A301" s="5" t="s">
        <v>143</v>
      </c>
      <c r="B301" s="16" t="s">
        <v>305</v>
      </c>
      <c r="C301" s="16" t="s">
        <v>449</v>
      </c>
      <c r="D301" s="243" t="s">
        <v>825</v>
      </c>
      <c r="E301" s="244"/>
      <c r="F301" s="244"/>
      <c r="G301" s="244"/>
      <c r="H301" s="16" t="s">
        <v>1042</v>
      </c>
      <c r="I301" s="27">
        <v>117.06</v>
      </c>
      <c r="J301" s="149"/>
      <c r="K301" s="27">
        <f>I301*AO301</f>
        <v>0</v>
      </c>
      <c r="L301" s="27">
        <f>I301*AP301</f>
        <v>0</v>
      </c>
      <c r="M301" s="27">
        <f>I301*J301</f>
        <v>0</v>
      </c>
      <c r="N301" s="56">
        <f>IF(M623=0,0,M301/M623)</f>
        <v>0</v>
      </c>
      <c r="O301" s="39" t="s">
        <v>1068</v>
      </c>
      <c r="P301" s="6"/>
      <c r="Z301" s="45">
        <f>IF(AQ301="5",BJ301,0)</f>
        <v>0</v>
      </c>
      <c r="AB301" s="45">
        <f>IF(AQ301="1",BH301,0)</f>
        <v>0</v>
      </c>
      <c r="AC301" s="45">
        <f>IF(AQ301="1",BI301,0)</f>
        <v>0</v>
      </c>
      <c r="AD301" s="45">
        <f>IF(AQ301="7",BH301,0)</f>
        <v>0</v>
      </c>
      <c r="AE301" s="45">
        <f>IF(AQ301="7",BI301,0)</f>
        <v>0</v>
      </c>
      <c r="AF301" s="45">
        <f>IF(AQ301="2",BH301,0)</f>
        <v>0</v>
      </c>
      <c r="AG301" s="45">
        <f>IF(AQ301="2",BI301,0)</f>
        <v>0</v>
      </c>
      <c r="AH301" s="45">
        <f>IF(AQ301="0",BJ301,0)</f>
        <v>0</v>
      </c>
      <c r="AI301" s="44" t="s">
        <v>305</v>
      </c>
      <c r="AJ301" s="27">
        <f>IF(AN301=0,M301,0)</f>
        <v>0</v>
      </c>
      <c r="AK301" s="27">
        <f>IF(AN301=15,M301,0)</f>
        <v>0</v>
      </c>
      <c r="AL301" s="27">
        <f>IF(AN301=21,M301,0)</f>
        <v>0</v>
      </c>
      <c r="AN301" s="45">
        <v>15</v>
      </c>
      <c r="AO301" s="45">
        <f>J301*0.378052434456929</f>
        <v>0</v>
      </c>
      <c r="AP301" s="45">
        <f>J301*(1-0.378052434456929)</f>
        <v>0</v>
      </c>
      <c r="AQ301" s="46" t="s">
        <v>13</v>
      </c>
      <c r="AV301" s="45">
        <f>AW301+AX301</f>
        <v>0</v>
      </c>
      <c r="AW301" s="45">
        <f>I301*AO301</f>
        <v>0</v>
      </c>
      <c r="AX301" s="45">
        <f>I301*AP301</f>
        <v>0</v>
      </c>
      <c r="AY301" s="48" t="s">
        <v>1095</v>
      </c>
      <c r="AZ301" s="48" t="s">
        <v>1123</v>
      </c>
      <c r="BA301" s="44" t="s">
        <v>1139</v>
      </c>
      <c r="BC301" s="45">
        <f>AW301+AX301</f>
        <v>0</v>
      </c>
      <c r="BD301" s="45">
        <f>J301/(100-BE301)*100</f>
        <v>0</v>
      </c>
      <c r="BE301" s="45">
        <v>0</v>
      </c>
      <c r="BF301" s="45">
        <f>301</f>
        <v>301</v>
      </c>
      <c r="BH301" s="27">
        <f>I301*AO301</f>
        <v>0</v>
      </c>
      <c r="BI301" s="27">
        <f>I301*AP301</f>
        <v>0</v>
      </c>
      <c r="BJ301" s="27">
        <f>I301*J301</f>
        <v>0</v>
      </c>
      <c r="BK301" s="27" t="s">
        <v>1146</v>
      </c>
      <c r="BL301" s="45">
        <v>713</v>
      </c>
    </row>
    <row r="302" spans="1:64" x14ac:dyDescent="0.2">
      <c r="A302" s="6"/>
      <c r="C302" s="21" t="s">
        <v>310</v>
      </c>
      <c r="D302" s="245" t="s">
        <v>790</v>
      </c>
      <c r="E302" s="246"/>
      <c r="F302" s="246"/>
      <c r="G302" s="246"/>
      <c r="H302" s="246"/>
      <c r="I302" s="246"/>
      <c r="J302" s="246"/>
      <c r="K302" s="246"/>
      <c r="L302" s="246"/>
      <c r="M302" s="246"/>
      <c r="N302" s="246"/>
      <c r="O302" s="247"/>
      <c r="P302" s="6"/>
    </row>
    <row r="303" spans="1:64" x14ac:dyDescent="0.2">
      <c r="A303" s="7" t="s">
        <v>144</v>
      </c>
      <c r="B303" s="17" t="s">
        <v>305</v>
      </c>
      <c r="C303" s="17" t="s">
        <v>450</v>
      </c>
      <c r="D303" s="241" t="s">
        <v>826</v>
      </c>
      <c r="E303" s="242"/>
      <c r="F303" s="242"/>
      <c r="G303" s="242"/>
      <c r="H303" s="17" t="s">
        <v>1042</v>
      </c>
      <c r="I303" s="28">
        <v>122.91</v>
      </c>
      <c r="J303" s="154"/>
      <c r="K303" s="28">
        <f>I303*AO303</f>
        <v>0</v>
      </c>
      <c r="L303" s="28">
        <f>I303*AP303</f>
        <v>0</v>
      </c>
      <c r="M303" s="28">
        <f>I303*J303</f>
        <v>0</v>
      </c>
      <c r="N303" s="57">
        <f>IF(M623=0,0,M303/M623)</f>
        <v>0</v>
      </c>
      <c r="O303" s="40" t="s">
        <v>1070</v>
      </c>
      <c r="P303" s="6"/>
      <c r="Z303" s="45">
        <f>IF(AQ303="5",BJ303,0)</f>
        <v>0</v>
      </c>
      <c r="AB303" s="45">
        <f>IF(AQ303="1",BH303,0)</f>
        <v>0</v>
      </c>
      <c r="AC303" s="45">
        <f>IF(AQ303="1",BI303,0)</f>
        <v>0</v>
      </c>
      <c r="AD303" s="45">
        <f>IF(AQ303="7",BH303,0)</f>
        <v>0</v>
      </c>
      <c r="AE303" s="45">
        <f>IF(AQ303="7",BI303,0)</f>
        <v>0</v>
      </c>
      <c r="AF303" s="45">
        <f>IF(AQ303="2",BH303,0)</f>
        <v>0</v>
      </c>
      <c r="AG303" s="45">
        <f>IF(AQ303="2",BI303,0)</f>
        <v>0</v>
      </c>
      <c r="AH303" s="45">
        <f>IF(AQ303="0",BJ303,0)</f>
        <v>0</v>
      </c>
      <c r="AI303" s="44" t="s">
        <v>305</v>
      </c>
      <c r="AJ303" s="28">
        <f>IF(AN303=0,M303,0)</f>
        <v>0</v>
      </c>
      <c r="AK303" s="28">
        <f>IF(AN303=15,M303,0)</f>
        <v>0</v>
      </c>
      <c r="AL303" s="28">
        <f>IF(AN303=21,M303,0)</f>
        <v>0</v>
      </c>
      <c r="AN303" s="45">
        <v>15</v>
      </c>
      <c r="AO303" s="45">
        <f>J303*1</f>
        <v>0</v>
      </c>
      <c r="AP303" s="45">
        <f>J303*(1-1)</f>
        <v>0</v>
      </c>
      <c r="AQ303" s="47" t="s">
        <v>13</v>
      </c>
      <c r="AV303" s="45">
        <f>AW303+AX303</f>
        <v>0</v>
      </c>
      <c r="AW303" s="45">
        <f>I303*AO303</f>
        <v>0</v>
      </c>
      <c r="AX303" s="45">
        <f>I303*AP303</f>
        <v>0</v>
      </c>
      <c r="AY303" s="48" t="s">
        <v>1095</v>
      </c>
      <c r="AZ303" s="48" t="s">
        <v>1123</v>
      </c>
      <c r="BA303" s="44" t="s">
        <v>1139</v>
      </c>
      <c r="BC303" s="45">
        <f>AW303+AX303</f>
        <v>0</v>
      </c>
      <c r="BD303" s="45">
        <f>J303/(100-BE303)*100</f>
        <v>0</v>
      </c>
      <c r="BE303" s="45">
        <v>0</v>
      </c>
      <c r="BF303" s="45">
        <f>303</f>
        <v>303</v>
      </c>
      <c r="BH303" s="28">
        <f>I303*AO303</f>
        <v>0</v>
      </c>
      <c r="BI303" s="28">
        <f>I303*AP303</f>
        <v>0</v>
      </c>
      <c r="BJ303" s="28">
        <f>I303*J303</f>
        <v>0</v>
      </c>
      <c r="BK303" s="28" t="s">
        <v>1147</v>
      </c>
      <c r="BL303" s="45">
        <v>713</v>
      </c>
    </row>
    <row r="304" spans="1:64" x14ac:dyDescent="0.2">
      <c r="A304" s="6"/>
      <c r="C304" s="21" t="s">
        <v>310</v>
      </c>
      <c r="D304" s="245" t="s">
        <v>790</v>
      </c>
      <c r="E304" s="246"/>
      <c r="F304" s="246"/>
      <c r="G304" s="246"/>
      <c r="H304" s="246"/>
      <c r="I304" s="246"/>
      <c r="J304" s="246"/>
      <c r="K304" s="246"/>
      <c r="L304" s="246"/>
      <c r="M304" s="246"/>
      <c r="N304" s="246"/>
      <c r="O304" s="247"/>
      <c r="P304" s="6"/>
    </row>
    <row r="305" spans="1:64" x14ac:dyDescent="0.2">
      <c r="A305" s="5" t="s">
        <v>145</v>
      </c>
      <c r="B305" s="16" t="s">
        <v>305</v>
      </c>
      <c r="C305" s="16" t="s">
        <v>451</v>
      </c>
      <c r="D305" s="243" t="s">
        <v>827</v>
      </c>
      <c r="E305" s="244"/>
      <c r="F305" s="244"/>
      <c r="G305" s="244"/>
      <c r="H305" s="16" t="s">
        <v>1042</v>
      </c>
      <c r="I305" s="27">
        <v>14.11</v>
      </c>
      <c r="J305" s="149"/>
      <c r="K305" s="27">
        <f>I305*AO305</f>
        <v>0</v>
      </c>
      <c r="L305" s="27">
        <f>I305*AP305</f>
        <v>0</v>
      </c>
      <c r="M305" s="27">
        <f>I305*J305</f>
        <v>0</v>
      </c>
      <c r="N305" s="56">
        <f>IF(M623=0,0,M305/M623)</f>
        <v>0</v>
      </c>
      <c r="O305" s="39" t="s">
        <v>1068</v>
      </c>
      <c r="P305" s="6"/>
      <c r="Z305" s="45">
        <f>IF(AQ305="5",BJ305,0)</f>
        <v>0</v>
      </c>
      <c r="AB305" s="45">
        <f>IF(AQ305="1",BH305,0)</f>
        <v>0</v>
      </c>
      <c r="AC305" s="45">
        <f>IF(AQ305="1",BI305,0)</f>
        <v>0</v>
      </c>
      <c r="AD305" s="45">
        <f>IF(AQ305="7",BH305,0)</f>
        <v>0</v>
      </c>
      <c r="AE305" s="45">
        <f>IF(AQ305="7",BI305,0)</f>
        <v>0</v>
      </c>
      <c r="AF305" s="45">
        <f>IF(AQ305="2",BH305,0)</f>
        <v>0</v>
      </c>
      <c r="AG305" s="45">
        <f>IF(AQ305="2",BI305,0)</f>
        <v>0</v>
      </c>
      <c r="AH305" s="45">
        <f>IF(AQ305="0",BJ305,0)</f>
        <v>0</v>
      </c>
      <c r="AI305" s="44" t="s">
        <v>305</v>
      </c>
      <c r="AJ305" s="27">
        <f>IF(AN305=0,M305,0)</f>
        <v>0</v>
      </c>
      <c r="AK305" s="27">
        <f>IF(AN305=15,M305,0)</f>
        <v>0</v>
      </c>
      <c r="AL305" s="27">
        <f>IF(AN305=21,M305,0)</f>
        <v>0</v>
      </c>
      <c r="AN305" s="45">
        <v>15</v>
      </c>
      <c r="AO305" s="45">
        <f>J305*0.564545454545455</f>
        <v>0</v>
      </c>
      <c r="AP305" s="45">
        <f>J305*(1-0.564545454545455)</f>
        <v>0</v>
      </c>
      <c r="AQ305" s="46" t="s">
        <v>13</v>
      </c>
      <c r="AV305" s="45">
        <f>AW305+AX305</f>
        <v>0</v>
      </c>
      <c r="AW305" s="45">
        <f>I305*AO305</f>
        <v>0</v>
      </c>
      <c r="AX305" s="45">
        <f>I305*AP305</f>
        <v>0</v>
      </c>
      <c r="AY305" s="48" t="s">
        <v>1095</v>
      </c>
      <c r="AZ305" s="48" t="s">
        <v>1123</v>
      </c>
      <c r="BA305" s="44" t="s">
        <v>1139</v>
      </c>
      <c r="BC305" s="45">
        <f>AW305+AX305</f>
        <v>0</v>
      </c>
      <c r="BD305" s="45">
        <f>J305/(100-BE305)*100</f>
        <v>0</v>
      </c>
      <c r="BE305" s="45">
        <v>0</v>
      </c>
      <c r="BF305" s="45">
        <f>305</f>
        <v>305</v>
      </c>
      <c r="BH305" s="27">
        <f>I305*AO305</f>
        <v>0</v>
      </c>
      <c r="BI305" s="27">
        <f>I305*AP305</f>
        <v>0</v>
      </c>
      <c r="BJ305" s="27">
        <f>I305*J305</f>
        <v>0</v>
      </c>
      <c r="BK305" s="27" t="s">
        <v>1146</v>
      </c>
      <c r="BL305" s="45">
        <v>713</v>
      </c>
    </row>
    <row r="306" spans="1:64" x14ac:dyDescent="0.2">
      <c r="A306" s="6"/>
      <c r="C306" s="21" t="s">
        <v>310</v>
      </c>
      <c r="D306" s="245" t="s">
        <v>790</v>
      </c>
      <c r="E306" s="246"/>
      <c r="F306" s="246"/>
      <c r="G306" s="246"/>
      <c r="H306" s="246"/>
      <c r="I306" s="246"/>
      <c r="J306" s="246"/>
      <c r="K306" s="246"/>
      <c r="L306" s="246"/>
      <c r="M306" s="246"/>
      <c r="N306" s="246"/>
      <c r="O306" s="247"/>
      <c r="P306" s="6"/>
    </row>
    <row r="307" spans="1:64" x14ac:dyDescent="0.2">
      <c r="A307" s="7" t="s">
        <v>146</v>
      </c>
      <c r="B307" s="17" t="s">
        <v>305</v>
      </c>
      <c r="C307" s="17" t="s">
        <v>452</v>
      </c>
      <c r="D307" s="241" t="s">
        <v>828</v>
      </c>
      <c r="E307" s="242"/>
      <c r="F307" s="242"/>
      <c r="G307" s="242"/>
      <c r="H307" s="17" t="s">
        <v>1042</v>
      </c>
      <c r="I307" s="28">
        <v>14.82</v>
      </c>
      <c r="J307" s="154"/>
      <c r="K307" s="28">
        <f>I307*AO307</f>
        <v>0</v>
      </c>
      <c r="L307" s="28">
        <f>I307*AP307</f>
        <v>0</v>
      </c>
      <c r="M307" s="28">
        <f>I307*J307</f>
        <v>0</v>
      </c>
      <c r="N307" s="57">
        <f>IF(M623=0,0,M307/M623)</f>
        <v>0</v>
      </c>
      <c r="O307" s="40" t="s">
        <v>1068</v>
      </c>
      <c r="P307" s="6"/>
      <c r="Z307" s="45">
        <f>IF(AQ307="5",BJ307,0)</f>
        <v>0</v>
      </c>
      <c r="AB307" s="45">
        <f>IF(AQ307="1",BH307,0)</f>
        <v>0</v>
      </c>
      <c r="AC307" s="45">
        <f>IF(AQ307="1",BI307,0)</f>
        <v>0</v>
      </c>
      <c r="AD307" s="45">
        <f>IF(AQ307="7",BH307,0)</f>
        <v>0</v>
      </c>
      <c r="AE307" s="45">
        <f>IF(AQ307="7",BI307,0)</f>
        <v>0</v>
      </c>
      <c r="AF307" s="45">
        <f>IF(AQ307="2",BH307,0)</f>
        <v>0</v>
      </c>
      <c r="AG307" s="45">
        <f>IF(AQ307="2",BI307,0)</f>
        <v>0</v>
      </c>
      <c r="AH307" s="45">
        <f>IF(AQ307="0",BJ307,0)</f>
        <v>0</v>
      </c>
      <c r="AI307" s="44" t="s">
        <v>305</v>
      </c>
      <c r="AJ307" s="28">
        <f>IF(AN307=0,M307,0)</f>
        <v>0</v>
      </c>
      <c r="AK307" s="28">
        <f>IF(AN307=15,M307,0)</f>
        <v>0</v>
      </c>
      <c r="AL307" s="28">
        <f>IF(AN307=21,M307,0)</f>
        <v>0</v>
      </c>
      <c r="AN307" s="45">
        <v>15</v>
      </c>
      <c r="AO307" s="45">
        <f>J307*1</f>
        <v>0</v>
      </c>
      <c r="AP307" s="45">
        <f>J307*(1-1)</f>
        <v>0</v>
      </c>
      <c r="AQ307" s="47" t="s">
        <v>13</v>
      </c>
      <c r="AV307" s="45">
        <f>AW307+AX307</f>
        <v>0</v>
      </c>
      <c r="AW307" s="45">
        <f>I307*AO307</f>
        <v>0</v>
      </c>
      <c r="AX307" s="45">
        <f>I307*AP307</f>
        <v>0</v>
      </c>
      <c r="AY307" s="48" t="s">
        <v>1095</v>
      </c>
      <c r="AZ307" s="48" t="s">
        <v>1123</v>
      </c>
      <c r="BA307" s="44" t="s">
        <v>1139</v>
      </c>
      <c r="BC307" s="45">
        <f>AW307+AX307</f>
        <v>0</v>
      </c>
      <c r="BD307" s="45">
        <f>J307/(100-BE307)*100</f>
        <v>0</v>
      </c>
      <c r="BE307" s="45">
        <v>0</v>
      </c>
      <c r="BF307" s="45">
        <f>307</f>
        <v>307</v>
      </c>
      <c r="BH307" s="28">
        <f>I307*AO307</f>
        <v>0</v>
      </c>
      <c r="BI307" s="28">
        <f>I307*AP307</f>
        <v>0</v>
      </c>
      <c r="BJ307" s="28">
        <f>I307*J307</f>
        <v>0</v>
      </c>
      <c r="BK307" s="28" t="s">
        <v>1147</v>
      </c>
      <c r="BL307" s="45">
        <v>713</v>
      </c>
    </row>
    <row r="308" spans="1:64" x14ac:dyDescent="0.2">
      <c r="A308" s="5" t="s">
        <v>147</v>
      </c>
      <c r="B308" s="16" t="s">
        <v>305</v>
      </c>
      <c r="C308" s="16" t="s">
        <v>453</v>
      </c>
      <c r="D308" s="243" t="s">
        <v>829</v>
      </c>
      <c r="E308" s="244"/>
      <c r="F308" s="244"/>
      <c r="G308" s="244"/>
      <c r="H308" s="16" t="s">
        <v>1042</v>
      </c>
      <c r="I308" s="27">
        <v>64.3</v>
      </c>
      <c r="J308" s="149"/>
      <c r="K308" s="27">
        <f>I308*AO308</f>
        <v>0</v>
      </c>
      <c r="L308" s="27">
        <f>I308*AP308</f>
        <v>0</v>
      </c>
      <c r="M308" s="27">
        <f>I308*J308</f>
        <v>0</v>
      </c>
      <c r="N308" s="56">
        <f>IF(M623=0,0,M308/M623)</f>
        <v>0</v>
      </c>
      <c r="O308" s="39" t="s">
        <v>1068</v>
      </c>
      <c r="P308" s="6"/>
      <c r="Z308" s="45">
        <f>IF(AQ308="5",BJ308,0)</f>
        <v>0</v>
      </c>
      <c r="AB308" s="45">
        <f>IF(AQ308="1",BH308,0)</f>
        <v>0</v>
      </c>
      <c r="AC308" s="45">
        <f>IF(AQ308="1",BI308,0)</f>
        <v>0</v>
      </c>
      <c r="AD308" s="45">
        <f>IF(AQ308="7",BH308,0)</f>
        <v>0</v>
      </c>
      <c r="AE308" s="45">
        <f>IF(AQ308="7",BI308,0)</f>
        <v>0</v>
      </c>
      <c r="AF308" s="45">
        <f>IF(AQ308="2",BH308,0)</f>
        <v>0</v>
      </c>
      <c r="AG308" s="45">
        <f>IF(AQ308="2",BI308,0)</f>
        <v>0</v>
      </c>
      <c r="AH308" s="45">
        <f>IF(AQ308="0",BJ308,0)</f>
        <v>0</v>
      </c>
      <c r="AI308" s="44" t="s">
        <v>305</v>
      </c>
      <c r="AJ308" s="27">
        <f>IF(AN308=0,M308,0)</f>
        <v>0</v>
      </c>
      <c r="AK308" s="27">
        <f>IF(AN308=15,M308,0)</f>
        <v>0</v>
      </c>
      <c r="AL308" s="27">
        <f>IF(AN308=21,M308,0)</f>
        <v>0</v>
      </c>
      <c r="AN308" s="45">
        <v>15</v>
      </c>
      <c r="AO308" s="45">
        <f>J308*0.311996037979213</f>
        <v>0</v>
      </c>
      <c r="AP308" s="45">
        <f>J308*(1-0.311996037979213)</f>
        <v>0</v>
      </c>
      <c r="AQ308" s="46" t="s">
        <v>13</v>
      </c>
      <c r="AV308" s="45">
        <f>AW308+AX308</f>
        <v>0</v>
      </c>
      <c r="AW308" s="45">
        <f>I308*AO308</f>
        <v>0</v>
      </c>
      <c r="AX308" s="45">
        <f>I308*AP308</f>
        <v>0</v>
      </c>
      <c r="AY308" s="48" t="s">
        <v>1095</v>
      </c>
      <c r="AZ308" s="48" t="s">
        <v>1123</v>
      </c>
      <c r="BA308" s="44" t="s">
        <v>1139</v>
      </c>
      <c r="BC308" s="45">
        <f>AW308+AX308</f>
        <v>0</v>
      </c>
      <c r="BD308" s="45">
        <f>J308/(100-BE308)*100</f>
        <v>0</v>
      </c>
      <c r="BE308" s="45">
        <v>0</v>
      </c>
      <c r="BF308" s="45">
        <f>308</f>
        <v>308</v>
      </c>
      <c r="BH308" s="27">
        <f>I308*AO308</f>
        <v>0</v>
      </c>
      <c r="BI308" s="27">
        <f>I308*AP308</f>
        <v>0</v>
      </c>
      <c r="BJ308" s="27">
        <f>I308*J308</f>
        <v>0</v>
      </c>
      <c r="BK308" s="27" t="s">
        <v>1146</v>
      </c>
      <c r="BL308" s="45">
        <v>713</v>
      </c>
    </row>
    <row r="309" spans="1:64" x14ac:dyDescent="0.2">
      <c r="A309" s="6"/>
      <c r="C309" s="21" t="s">
        <v>310</v>
      </c>
      <c r="D309" s="245" t="s">
        <v>790</v>
      </c>
      <c r="E309" s="246"/>
      <c r="F309" s="246"/>
      <c r="G309" s="246"/>
      <c r="H309" s="246"/>
      <c r="I309" s="246"/>
      <c r="J309" s="246"/>
      <c r="K309" s="246"/>
      <c r="L309" s="246"/>
      <c r="M309" s="246"/>
      <c r="N309" s="246"/>
      <c r="O309" s="247"/>
      <c r="P309" s="6"/>
    </row>
    <row r="310" spans="1:64" x14ac:dyDescent="0.2">
      <c r="A310" s="7" t="s">
        <v>148</v>
      </c>
      <c r="B310" s="17" t="s">
        <v>305</v>
      </c>
      <c r="C310" s="17" t="s">
        <v>454</v>
      </c>
      <c r="D310" s="241" t="s">
        <v>830</v>
      </c>
      <c r="E310" s="242"/>
      <c r="F310" s="242"/>
      <c r="G310" s="242"/>
      <c r="H310" s="17" t="s">
        <v>1041</v>
      </c>
      <c r="I310" s="28">
        <v>1.35</v>
      </c>
      <c r="J310" s="154"/>
      <c r="K310" s="28">
        <f>I310*AO310</f>
        <v>0</v>
      </c>
      <c r="L310" s="28">
        <f>I310*AP310</f>
        <v>0</v>
      </c>
      <c r="M310" s="28">
        <f>I310*J310</f>
        <v>0</v>
      </c>
      <c r="N310" s="57">
        <f>IF(M623=0,0,M310/M623)</f>
        <v>0</v>
      </c>
      <c r="O310" s="40" t="s">
        <v>1068</v>
      </c>
      <c r="P310" s="6"/>
      <c r="Z310" s="45">
        <f>IF(AQ310="5",BJ310,0)</f>
        <v>0</v>
      </c>
      <c r="AB310" s="45">
        <f>IF(AQ310="1",BH310,0)</f>
        <v>0</v>
      </c>
      <c r="AC310" s="45">
        <f>IF(AQ310="1",BI310,0)</f>
        <v>0</v>
      </c>
      <c r="AD310" s="45">
        <f>IF(AQ310="7",BH310,0)</f>
        <v>0</v>
      </c>
      <c r="AE310" s="45">
        <f>IF(AQ310="7",BI310,0)</f>
        <v>0</v>
      </c>
      <c r="AF310" s="45">
        <f>IF(AQ310="2",BH310,0)</f>
        <v>0</v>
      </c>
      <c r="AG310" s="45">
        <f>IF(AQ310="2",BI310,0)</f>
        <v>0</v>
      </c>
      <c r="AH310" s="45">
        <f>IF(AQ310="0",BJ310,0)</f>
        <v>0</v>
      </c>
      <c r="AI310" s="44" t="s">
        <v>305</v>
      </c>
      <c r="AJ310" s="28">
        <f>IF(AN310=0,M310,0)</f>
        <v>0</v>
      </c>
      <c r="AK310" s="28">
        <f>IF(AN310=15,M310,0)</f>
        <v>0</v>
      </c>
      <c r="AL310" s="28">
        <f>IF(AN310=21,M310,0)</f>
        <v>0</v>
      </c>
      <c r="AN310" s="45">
        <v>15</v>
      </c>
      <c r="AO310" s="45">
        <f>J310*1</f>
        <v>0</v>
      </c>
      <c r="AP310" s="45">
        <f>J310*(1-1)</f>
        <v>0</v>
      </c>
      <c r="AQ310" s="47" t="s">
        <v>13</v>
      </c>
      <c r="AV310" s="45">
        <f>AW310+AX310</f>
        <v>0</v>
      </c>
      <c r="AW310" s="45">
        <f>I310*AO310</f>
        <v>0</v>
      </c>
      <c r="AX310" s="45">
        <f>I310*AP310</f>
        <v>0</v>
      </c>
      <c r="AY310" s="48" t="s">
        <v>1095</v>
      </c>
      <c r="AZ310" s="48" t="s">
        <v>1123</v>
      </c>
      <c r="BA310" s="44" t="s">
        <v>1139</v>
      </c>
      <c r="BC310" s="45">
        <f>AW310+AX310</f>
        <v>0</v>
      </c>
      <c r="BD310" s="45">
        <f>J310/(100-BE310)*100</f>
        <v>0</v>
      </c>
      <c r="BE310" s="45">
        <v>0</v>
      </c>
      <c r="BF310" s="45">
        <f>310</f>
        <v>310</v>
      </c>
      <c r="BH310" s="28">
        <f>I310*AO310</f>
        <v>0</v>
      </c>
      <c r="BI310" s="28">
        <f>I310*AP310</f>
        <v>0</v>
      </c>
      <c r="BJ310" s="28">
        <f>I310*J310</f>
        <v>0</v>
      </c>
      <c r="BK310" s="28" t="s">
        <v>1147</v>
      </c>
      <c r="BL310" s="45">
        <v>713</v>
      </c>
    </row>
    <row r="311" spans="1:64" x14ac:dyDescent="0.2">
      <c r="A311" s="6"/>
      <c r="C311" s="21" t="s">
        <v>310</v>
      </c>
      <c r="D311" s="245" t="s">
        <v>790</v>
      </c>
      <c r="E311" s="246"/>
      <c r="F311" s="246"/>
      <c r="G311" s="246"/>
      <c r="H311" s="246"/>
      <c r="I311" s="246"/>
      <c r="J311" s="246"/>
      <c r="K311" s="246"/>
      <c r="L311" s="246"/>
      <c r="M311" s="246"/>
      <c r="N311" s="246"/>
      <c r="O311" s="247"/>
      <c r="P311" s="6"/>
    </row>
    <row r="312" spans="1:64" x14ac:dyDescent="0.2">
      <c r="A312" s="7" t="s">
        <v>149</v>
      </c>
      <c r="B312" s="17" t="s">
        <v>305</v>
      </c>
      <c r="C312" s="17" t="s">
        <v>455</v>
      </c>
      <c r="D312" s="241" t="s">
        <v>831</v>
      </c>
      <c r="E312" s="242"/>
      <c r="F312" s="242"/>
      <c r="G312" s="242"/>
      <c r="H312" s="17" t="s">
        <v>1044</v>
      </c>
      <c r="I312" s="28">
        <v>16.079999999999998</v>
      </c>
      <c r="J312" s="154"/>
      <c r="K312" s="28">
        <f>I312*AO312</f>
        <v>0</v>
      </c>
      <c r="L312" s="28">
        <f>I312*AP312</f>
        <v>0</v>
      </c>
      <c r="M312" s="28">
        <f>I312*J312</f>
        <v>0</v>
      </c>
      <c r="N312" s="57">
        <f>IF(M623=0,0,M312/M623)</f>
        <v>0</v>
      </c>
      <c r="O312" s="40" t="s">
        <v>1068</v>
      </c>
      <c r="P312" s="6"/>
      <c r="Z312" s="45">
        <f>IF(AQ312="5",BJ312,0)</f>
        <v>0</v>
      </c>
      <c r="AB312" s="45">
        <f>IF(AQ312="1",BH312,0)</f>
        <v>0</v>
      </c>
      <c r="AC312" s="45">
        <f>IF(AQ312="1",BI312,0)</f>
        <v>0</v>
      </c>
      <c r="AD312" s="45">
        <f>IF(AQ312="7",BH312,0)</f>
        <v>0</v>
      </c>
      <c r="AE312" s="45">
        <f>IF(AQ312="7",BI312,0)</f>
        <v>0</v>
      </c>
      <c r="AF312" s="45">
        <f>IF(AQ312="2",BH312,0)</f>
        <v>0</v>
      </c>
      <c r="AG312" s="45">
        <f>IF(AQ312="2",BI312,0)</f>
        <v>0</v>
      </c>
      <c r="AH312" s="45">
        <f>IF(AQ312="0",BJ312,0)</f>
        <v>0</v>
      </c>
      <c r="AI312" s="44" t="s">
        <v>305</v>
      </c>
      <c r="AJ312" s="28">
        <f>IF(AN312=0,M312,0)</f>
        <v>0</v>
      </c>
      <c r="AK312" s="28">
        <f>IF(AN312=15,M312,0)</f>
        <v>0</v>
      </c>
      <c r="AL312" s="28">
        <f>IF(AN312=21,M312,0)</f>
        <v>0</v>
      </c>
      <c r="AN312" s="45">
        <v>15</v>
      </c>
      <c r="AO312" s="45">
        <f>J312*1</f>
        <v>0</v>
      </c>
      <c r="AP312" s="45">
        <f>J312*(1-1)</f>
        <v>0</v>
      </c>
      <c r="AQ312" s="47" t="s">
        <v>13</v>
      </c>
      <c r="AV312" s="45">
        <f>AW312+AX312</f>
        <v>0</v>
      </c>
      <c r="AW312" s="45">
        <f>I312*AO312</f>
        <v>0</v>
      </c>
      <c r="AX312" s="45">
        <f>I312*AP312</f>
        <v>0</v>
      </c>
      <c r="AY312" s="48" t="s">
        <v>1095</v>
      </c>
      <c r="AZ312" s="48" t="s">
        <v>1123</v>
      </c>
      <c r="BA312" s="44" t="s">
        <v>1139</v>
      </c>
      <c r="BC312" s="45">
        <f>AW312+AX312</f>
        <v>0</v>
      </c>
      <c r="BD312" s="45">
        <f>J312/(100-BE312)*100</f>
        <v>0</v>
      </c>
      <c r="BE312" s="45">
        <v>0</v>
      </c>
      <c r="BF312" s="45">
        <f>312</f>
        <v>312</v>
      </c>
      <c r="BH312" s="28">
        <f>I312*AO312</f>
        <v>0</v>
      </c>
      <c r="BI312" s="28">
        <f>I312*AP312</f>
        <v>0</v>
      </c>
      <c r="BJ312" s="28">
        <f>I312*J312</f>
        <v>0</v>
      </c>
      <c r="BK312" s="28" t="s">
        <v>1147</v>
      </c>
      <c r="BL312" s="45">
        <v>713</v>
      </c>
    </row>
    <row r="313" spans="1:64" x14ac:dyDescent="0.2">
      <c r="A313" s="6"/>
      <c r="C313" s="21" t="s">
        <v>310</v>
      </c>
      <c r="D313" s="245" t="s">
        <v>790</v>
      </c>
      <c r="E313" s="246"/>
      <c r="F313" s="246"/>
      <c r="G313" s="246"/>
      <c r="H313" s="246"/>
      <c r="I313" s="246"/>
      <c r="J313" s="246"/>
      <c r="K313" s="246"/>
      <c r="L313" s="246"/>
      <c r="M313" s="246"/>
      <c r="N313" s="246"/>
      <c r="O313" s="247"/>
      <c r="P313" s="6"/>
    </row>
    <row r="314" spans="1:64" x14ac:dyDescent="0.2">
      <c r="A314" s="5" t="s">
        <v>150</v>
      </c>
      <c r="B314" s="16" t="s">
        <v>305</v>
      </c>
      <c r="C314" s="16" t="s">
        <v>456</v>
      </c>
      <c r="D314" s="243" t="s">
        <v>832</v>
      </c>
      <c r="E314" s="244"/>
      <c r="F314" s="244"/>
      <c r="G314" s="244"/>
      <c r="H314" s="16" t="s">
        <v>1042</v>
      </c>
      <c r="I314" s="27">
        <v>1.37</v>
      </c>
      <c r="J314" s="149"/>
      <c r="K314" s="27">
        <f>I314*AO314</f>
        <v>0</v>
      </c>
      <c r="L314" s="27">
        <f>I314*AP314</f>
        <v>0</v>
      </c>
      <c r="M314" s="27">
        <f>I314*J314</f>
        <v>0</v>
      </c>
      <c r="N314" s="56">
        <f>IF(M623=0,0,M314/M623)</f>
        <v>0</v>
      </c>
      <c r="O314" s="39" t="s">
        <v>1068</v>
      </c>
      <c r="P314" s="6"/>
      <c r="Z314" s="45">
        <f>IF(AQ314="5",BJ314,0)</f>
        <v>0</v>
      </c>
      <c r="AB314" s="45">
        <f>IF(AQ314="1",BH314,0)</f>
        <v>0</v>
      </c>
      <c r="AC314" s="45">
        <f>IF(AQ314="1",BI314,0)</f>
        <v>0</v>
      </c>
      <c r="AD314" s="45">
        <f>IF(AQ314="7",BH314,0)</f>
        <v>0</v>
      </c>
      <c r="AE314" s="45">
        <f>IF(AQ314="7",BI314,0)</f>
        <v>0</v>
      </c>
      <c r="AF314" s="45">
        <f>IF(AQ314="2",BH314,0)</f>
        <v>0</v>
      </c>
      <c r="AG314" s="45">
        <f>IF(AQ314="2",BI314,0)</f>
        <v>0</v>
      </c>
      <c r="AH314" s="45">
        <f>IF(AQ314="0",BJ314,0)</f>
        <v>0</v>
      </c>
      <c r="AI314" s="44" t="s">
        <v>305</v>
      </c>
      <c r="AJ314" s="27">
        <f>IF(AN314=0,M314,0)</f>
        <v>0</v>
      </c>
      <c r="AK314" s="27">
        <f>IF(AN314=15,M314,0)</f>
        <v>0</v>
      </c>
      <c r="AL314" s="27">
        <f>IF(AN314=21,M314,0)</f>
        <v>0</v>
      </c>
      <c r="AN314" s="45">
        <v>15</v>
      </c>
      <c r="AO314" s="45">
        <f>J314*0.192754032902092</f>
        <v>0</v>
      </c>
      <c r="AP314" s="45">
        <f>J314*(1-0.192754032902092)</f>
        <v>0</v>
      </c>
      <c r="AQ314" s="46" t="s">
        <v>13</v>
      </c>
      <c r="AV314" s="45">
        <f>AW314+AX314</f>
        <v>0</v>
      </c>
      <c r="AW314" s="45">
        <f>I314*AO314</f>
        <v>0</v>
      </c>
      <c r="AX314" s="45">
        <f>I314*AP314</f>
        <v>0</v>
      </c>
      <c r="AY314" s="48" t="s">
        <v>1095</v>
      </c>
      <c r="AZ314" s="48" t="s">
        <v>1123</v>
      </c>
      <c r="BA314" s="44" t="s">
        <v>1139</v>
      </c>
      <c r="BC314" s="45">
        <f>AW314+AX314</f>
        <v>0</v>
      </c>
      <c r="BD314" s="45">
        <f>J314/(100-BE314)*100</f>
        <v>0</v>
      </c>
      <c r="BE314" s="45">
        <v>0</v>
      </c>
      <c r="BF314" s="45">
        <f>314</f>
        <v>314</v>
      </c>
      <c r="BH314" s="27">
        <f>I314*AO314</f>
        <v>0</v>
      </c>
      <c r="BI314" s="27">
        <f>I314*AP314</f>
        <v>0</v>
      </c>
      <c r="BJ314" s="27">
        <f>I314*J314</f>
        <v>0</v>
      </c>
      <c r="BK314" s="27" t="s">
        <v>1146</v>
      </c>
      <c r="BL314" s="45">
        <v>713</v>
      </c>
    </row>
    <row r="315" spans="1:64" x14ac:dyDescent="0.2">
      <c r="A315" s="6"/>
      <c r="D315" s="251" t="s">
        <v>833</v>
      </c>
      <c r="E315" s="252"/>
      <c r="F315" s="252"/>
      <c r="G315" s="252"/>
      <c r="H315" s="252"/>
      <c r="I315" s="252"/>
      <c r="J315" s="252"/>
      <c r="K315" s="252"/>
      <c r="L315" s="252"/>
      <c r="M315" s="252"/>
      <c r="N315" s="252"/>
      <c r="O315" s="253"/>
      <c r="P315" s="6"/>
    </row>
    <row r="316" spans="1:64" x14ac:dyDescent="0.2">
      <c r="A316" s="6"/>
      <c r="C316" s="21" t="s">
        <v>310</v>
      </c>
      <c r="D316" s="245" t="s">
        <v>758</v>
      </c>
      <c r="E316" s="246"/>
      <c r="F316" s="246"/>
      <c r="G316" s="246"/>
      <c r="H316" s="246"/>
      <c r="I316" s="246"/>
      <c r="J316" s="246"/>
      <c r="K316" s="246"/>
      <c r="L316" s="246"/>
      <c r="M316" s="246"/>
      <c r="N316" s="246"/>
      <c r="O316" s="247"/>
      <c r="P316" s="6"/>
    </row>
    <row r="317" spans="1:64" x14ac:dyDescent="0.2">
      <c r="A317" s="7" t="s">
        <v>151</v>
      </c>
      <c r="B317" s="17" t="s">
        <v>305</v>
      </c>
      <c r="C317" s="17" t="s">
        <v>457</v>
      </c>
      <c r="D317" s="241" t="s">
        <v>834</v>
      </c>
      <c r="E317" s="242"/>
      <c r="F317" s="242"/>
      <c r="G317" s="242"/>
      <c r="H317" s="17" t="s">
        <v>1042</v>
      </c>
      <c r="I317" s="28">
        <v>1.44</v>
      </c>
      <c r="J317" s="154"/>
      <c r="K317" s="28">
        <f>I317*AO317</f>
        <v>0</v>
      </c>
      <c r="L317" s="28">
        <f>I317*AP317</f>
        <v>0</v>
      </c>
      <c r="M317" s="28">
        <f>I317*J317</f>
        <v>0</v>
      </c>
      <c r="N317" s="57">
        <f>IF(M623=0,0,M317/M623)</f>
        <v>0</v>
      </c>
      <c r="O317" s="40" t="s">
        <v>1068</v>
      </c>
      <c r="P317" s="6"/>
      <c r="Z317" s="45">
        <f>IF(AQ317="5",BJ317,0)</f>
        <v>0</v>
      </c>
      <c r="AB317" s="45">
        <f>IF(AQ317="1",BH317,0)</f>
        <v>0</v>
      </c>
      <c r="AC317" s="45">
        <f>IF(AQ317="1",BI317,0)</f>
        <v>0</v>
      </c>
      <c r="AD317" s="45">
        <f>IF(AQ317="7",BH317,0)</f>
        <v>0</v>
      </c>
      <c r="AE317" s="45">
        <f>IF(AQ317="7",BI317,0)</f>
        <v>0</v>
      </c>
      <c r="AF317" s="45">
        <f>IF(AQ317="2",BH317,0)</f>
        <v>0</v>
      </c>
      <c r="AG317" s="45">
        <f>IF(AQ317="2",BI317,0)</f>
        <v>0</v>
      </c>
      <c r="AH317" s="45">
        <f>IF(AQ317="0",BJ317,0)</f>
        <v>0</v>
      </c>
      <c r="AI317" s="44" t="s">
        <v>305</v>
      </c>
      <c r="AJ317" s="28">
        <f>IF(AN317=0,M317,0)</f>
        <v>0</v>
      </c>
      <c r="AK317" s="28">
        <f>IF(AN317=15,M317,0)</f>
        <v>0</v>
      </c>
      <c r="AL317" s="28">
        <f>IF(AN317=21,M317,0)</f>
        <v>0</v>
      </c>
      <c r="AN317" s="45">
        <v>15</v>
      </c>
      <c r="AO317" s="45">
        <f>J317*1</f>
        <v>0</v>
      </c>
      <c r="AP317" s="45">
        <f>J317*(1-1)</f>
        <v>0</v>
      </c>
      <c r="AQ317" s="47" t="s">
        <v>13</v>
      </c>
      <c r="AV317" s="45">
        <f>AW317+AX317</f>
        <v>0</v>
      </c>
      <c r="AW317" s="45">
        <f>I317*AO317</f>
        <v>0</v>
      </c>
      <c r="AX317" s="45">
        <f>I317*AP317</f>
        <v>0</v>
      </c>
      <c r="AY317" s="48" t="s">
        <v>1095</v>
      </c>
      <c r="AZ317" s="48" t="s">
        <v>1123</v>
      </c>
      <c r="BA317" s="44" t="s">
        <v>1139</v>
      </c>
      <c r="BC317" s="45">
        <f>AW317+AX317</f>
        <v>0</v>
      </c>
      <c r="BD317" s="45">
        <f>J317/(100-BE317)*100</f>
        <v>0</v>
      </c>
      <c r="BE317" s="45">
        <v>0</v>
      </c>
      <c r="BF317" s="45">
        <f>317</f>
        <v>317</v>
      </c>
      <c r="BH317" s="28">
        <f>I317*AO317</f>
        <v>0</v>
      </c>
      <c r="BI317" s="28">
        <f>I317*AP317</f>
        <v>0</v>
      </c>
      <c r="BJ317" s="28">
        <f>I317*J317</f>
        <v>0</v>
      </c>
      <c r="BK317" s="28" t="s">
        <v>1147</v>
      </c>
      <c r="BL317" s="45">
        <v>713</v>
      </c>
    </row>
    <row r="318" spans="1:64" x14ac:dyDescent="0.2">
      <c r="A318" s="5" t="s">
        <v>152</v>
      </c>
      <c r="B318" s="16" t="s">
        <v>305</v>
      </c>
      <c r="C318" s="16" t="s">
        <v>458</v>
      </c>
      <c r="D318" s="243" t="s">
        <v>835</v>
      </c>
      <c r="E318" s="244"/>
      <c r="F318" s="244"/>
      <c r="G318" s="244"/>
      <c r="H318" s="16" t="s">
        <v>1042</v>
      </c>
      <c r="I318" s="27">
        <v>299.04000000000002</v>
      </c>
      <c r="J318" s="149"/>
      <c r="K318" s="27">
        <f>I318*AO318</f>
        <v>0</v>
      </c>
      <c r="L318" s="27">
        <f>I318*AP318</f>
        <v>0</v>
      </c>
      <c r="M318" s="27">
        <f>I318*J318</f>
        <v>0</v>
      </c>
      <c r="N318" s="56">
        <f>IF(M623=0,0,M318/M623)</f>
        <v>0</v>
      </c>
      <c r="O318" s="39" t="s">
        <v>1068</v>
      </c>
      <c r="P318" s="6"/>
      <c r="Z318" s="45">
        <f>IF(AQ318="5",BJ318,0)</f>
        <v>0</v>
      </c>
      <c r="AB318" s="45">
        <f>IF(AQ318="1",BH318,0)</f>
        <v>0</v>
      </c>
      <c r="AC318" s="45">
        <f>IF(AQ318="1",BI318,0)</f>
        <v>0</v>
      </c>
      <c r="AD318" s="45">
        <f>IF(AQ318="7",BH318,0)</f>
        <v>0</v>
      </c>
      <c r="AE318" s="45">
        <f>IF(AQ318="7",BI318,0)</f>
        <v>0</v>
      </c>
      <c r="AF318" s="45">
        <f>IF(AQ318="2",BH318,0)</f>
        <v>0</v>
      </c>
      <c r="AG318" s="45">
        <f>IF(AQ318="2",BI318,0)</f>
        <v>0</v>
      </c>
      <c r="AH318" s="45">
        <f>IF(AQ318="0",BJ318,0)</f>
        <v>0</v>
      </c>
      <c r="AI318" s="44" t="s">
        <v>305</v>
      </c>
      <c r="AJ318" s="27">
        <f>IF(AN318=0,M318,0)</f>
        <v>0</v>
      </c>
      <c r="AK318" s="27">
        <f>IF(AN318=15,M318,0)</f>
        <v>0</v>
      </c>
      <c r="AL318" s="27">
        <f>IF(AN318=21,M318,0)</f>
        <v>0</v>
      </c>
      <c r="AN318" s="45">
        <v>15</v>
      </c>
      <c r="AO318" s="45">
        <f>J318*0</f>
        <v>0</v>
      </c>
      <c r="AP318" s="45">
        <f>J318*(1-0)</f>
        <v>0</v>
      </c>
      <c r="AQ318" s="46" t="s">
        <v>13</v>
      </c>
      <c r="AV318" s="45">
        <f>AW318+AX318</f>
        <v>0</v>
      </c>
      <c r="AW318" s="45">
        <f>I318*AO318</f>
        <v>0</v>
      </c>
      <c r="AX318" s="45">
        <f>I318*AP318</f>
        <v>0</v>
      </c>
      <c r="AY318" s="48" t="s">
        <v>1095</v>
      </c>
      <c r="AZ318" s="48" t="s">
        <v>1123</v>
      </c>
      <c r="BA318" s="44" t="s">
        <v>1139</v>
      </c>
      <c r="BC318" s="45">
        <f>AW318+AX318</f>
        <v>0</v>
      </c>
      <c r="BD318" s="45">
        <f>J318/(100-BE318)*100</f>
        <v>0</v>
      </c>
      <c r="BE318" s="45">
        <v>0</v>
      </c>
      <c r="BF318" s="45">
        <f>318</f>
        <v>318</v>
      </c>
      <c r="BH318" s="27">
        <f>I318*AO318</f>
        <v>0</v>
      </c>
      <c r="BI318" s="27">
        <f>I318*AP318</f>
        <v>0</v>
      </c>
      <c r="BJ318" s="27">
        <f>I318*J318</f>
        <v>0</v>
      </c>
      <c r="BK318" s="27" t="s">
        <v>1146</v>
      </c>
      <c r="BL318" s="45">
        <v>713</v>
      </c>
    </row>
    <row r="319" spans="1:64" x14ac:dyDescent="0.2">
      <c r="A319" s="6"/>
      <c r="D319" s="251" t="s">
        <v>836</v>
      </c>
      <c r="E319" s="252"/>
      <c r="F319" s="252"/>
      <c r="G319" s="252"/>
      <c r="H319" s="252"/>
      <c r="I319" s="252"/>
      <c r="J319" s="252"/>
      <c r="K319" s="252"/>
      <c r="L319" s="252"/>
      <c r="M319" s="252"/>
      <c r="N319" s="252"/>
      <c r="O319" s="253"/>
      <c r="P319" s="6"/>
    </row>
    <row r="320" spans="1:64" x14ac:dyDescent="0.2">
      <c r="A320" s="6"/>
      <c r="C320" s="21" t="s">
        <v>310</v>
      </c>
      <c r="D320" s="245" t="s">
        <v>753</v>
      </c>
      <c r="E320" s="246"/>
      <c r="F320" s="246"/>
      <c r="G320" s="246"/>
      <c r="H320" s="246"/>
      <c r="I320" s="246"/>
      <c r="J320" s="246"/>
      <c r="K320" s="246"/>
      <c r="L320" s="246"/>
      <c r="M320" s="246"/>
      <c r="N320" s="246"/>
      <c r="O320" s="247"/>
      <c r="P320" s="6"/>
    </row>
    <row r="321" spans="1:64" x14ac:dyDescent="0.2">
      <c r="A321" s="7" t="s">
        <v>153</v>
      </c>
      <c r="B321" s="17" t="s">
        <v>305</v>
      </c>
      <c r="C321" s="17" t="s">
        <v>459</v>
      </c>
      <c r="D321" s="241" t="s">
        <v>837</v>
      </c>
      <c r="E321" s="242"/>
      <c r="F321" s="242"/>
      <c r="G321" s="242"/>
      <c r="H321" s="17" t="s">
        <v>1041</v>
      </c>
      <c r="I321" s="28">
        <v>42.2</v>
      </c>
      <c r="J321" s="154"/>
      <c r="K321" s="28">
        <f>I321*AO321</f>
        <v>0</v>
      </c>
      <c r="L321" s="28">
        <f>I321*AP321</f>
        <v>0</v>
      </c>
      <c r="M321" s="28">
        <f>I321*J321</f>
        <v>0</v>
      </c>
      <c r="N321" s="57">
        <f>IF(M623=0,0,M321/M623)</f>
        <v>0</v>
      </c>
      <c r="O321" s="40" t="s">
        <v>1068</v>
      </c>
      <c r="P321" s="6"/>
      <c r="Z321" s="45">
        <f>IF(AQ321="5",BJ321,0)</f>
        <v>0</v>
      </c>
      <c r="AB321" s="45">
        <f>IF(AQ321="1",BH321,0)</f>
        <v>0</v>
      </c>
      <c r="AC321" s="45">
        <f>IF(AQ321="1",BI321,0)</f>
        <v>0</v>
      </c>
      <c r="AD321" s="45">
        <f>IF(AQ321="7",BH321,0)</f>
        <v>0</v>
      </c>
      <c r="AE321" s="45">
        <f>IF(AQ321="7",BI321,0)</f>
        <v>0</v>
      </c>
      <c r="AF321" s="45">
        <f>IF(AQ321="2",BH321,0)</f>
        <v>0</v>
      </c>
      <c r="AG321" s="45">
        <f>IF(AQ321="2",BI321,0)</f>
        <v>0</v>
      </c>
      <c r="AH321" s="45">
        <f>IF(AQ321="0",BJ321,0)</f>
        <v>0</v>
      </c>
      <c r="AI321" s="44" t="s">
        <v>305</v>
      </c>
      <c r="AJ321" s="28">
        <f>IF(AN321=0,M321,0)</f>
        <v>0</v>
      </c>
      <c r="AK321" s="28">
        <f>IF(AN321=15,M321,0)</f>
        <v>0</v>
      </c>
      <c r="AL321" s="28">
        <f>IF(AN321=21,M321,0)</f>
        <v>0</v>
      </c>
      <c r="AN321" s="45">
        <v>15</v>
      </c>
      <c r="AO321" s="45">
        <f>J321*1</f>
        <v>0</v>
      </c>
      <c r="AP321" s="45">
        <f>J321*(1-1)</f>
        <v>0</v>
      </c>
      <c r="AQ321" s="47" t="s">
        <v>13</v>
      </c>
      <c r="AV321" s="45">
        <f>AW321+AX321</f>
        <v>0</v>
      </c>
      <c r="AW321" s="45">
        <f>I321*AO321</f>
        <v>0</v>
      </c>
      <c r="AX321" s="45">
        <f>I321*AP321</f>
        <v>0</v>
      </c>
      <c r="AY321" s="48" t="s">
        <v>1095</v>
      </c>
      <c r="AZ321" s="48" t="s">
        <v>1123</v>
      </c>
      <c r="BA321" s="44" t="s">
        <v>1139</v>
      </c>
      <c r="BC321" s="45">
        <f>AW321+AX321</f>
        <v>0</v>
      </c>
      <c r="BD321" s="45">
        <f>J321/(100-BE321)*100</f>
        <v>0</v>
      </c>
      <c r="BE321" s="45">
        <v>0</v>
      </c>
      <c r="BF321" s="45">
        <f>321</f>
        <v>321</v>
      </c>
      <c r="BH321" s="28">
        <f>I321*AO321</f>
        <v>0</v>
      </c>
      <c r="BI321" s="28">
        <f>I321*AP321</f>
        <v>0</v>
      </c>
      <c r="BJ321" s="28">
        <f>I321*J321</f>
        <v>0</v>
      </c>
      <c r="BK321" s="28" t="s">
        <v>1147</v>
      </c>
      <c r="BL321" s="45">
        <v>713</v>
      </c>
    </row>
    <row r="322" spans="1:64" x14ac:dyDescent="0.2">
      <c r="A322" s="7" t="s">
        <v>154</v>
      </c>
      <c r="B322" s="17" t="s">
        <v>305</v>
      </c>
      <c r="C322" s="17" t="s">
        <v>460</v>
      </c>
      <c r="D322" s="241" t="s">
        <v>838</v>
      </c>
      <c r="E322" s="242"/>
      <c r="F322" s="242"/>
      <c r="G322" s="242"/>
      <c r="H322" s="17" t="s">
        <v>1042</v>
      </c>
      <c r="I322" s="28">
        <v>58.2</v>
      </c>
      <c r="J322" s="154"/>
      <c r="K322" s="28">
        <f>I322*AO322</f>
        <v>0</v>
      </c>
      <c r="L322" s="28">
        <f>I322*AP322</f>
        <v>0</v>
      </c>
      <c r="M322" s="28">
        <f>I322*J322</f>
        <v>0</v>
      </c>
      <c r="N322" s="57">
        <f>IF(M623=0,0,M322/M623)</f>
        <v>0</v>
      </c>
      <c r="O322" s="40" t="s">
        <v>1068</v>
      </c>
      <c r="P322" s="6"/>
      <c r="Z322" s="45">
        <f>IF(AQ322="5",BJ322,0)</f>
        <v>0</v>
      </c>
      <c r="AB322" s="45">
        <f>IF(AQ322="1",BH322,0)</f>
        <v>0</v>
      </c>
      <c r="AC322" s="45">
        <f>IF(AQ322="1",BI322,0)</f>
        <v>0</v>
      </c>
      <c r="AD322" s="45">
        <f>IF(AQ322="7",BH322,0)</f>
        <v>0</v>
      </c>
      <c r="AE322" s="45">
        <f>IF(AQ322="7",BI322,0)</f>
        <v>0</v>
      </c>
      <c r="AF322" s="45">
        <f>IF(AQ322="2",BH322,0)</f>
        <v>0</v>
      </c>
      <c r="AG322" s="45">
        <f>IF(AQ322="2",BI322,0)</f>
        <v>0</v>
      </c>
      <c r="AH322" s="45">
        <f>IF(AQ322="0",BJ322,0)</f>
        <v>0</v>
      </c>
      <c r="AI322" s="44" t="s">
        <v>305</v>
      </c>
      <c r="AJ322" s="28">
        <f>IF(AN322=0,M322,0)</f>
        <v>0</v>
      </c>
      <c r="AK322" s="28">
        <f>IF(AN322=15,M322,0)</f>
        <v>0</v>
      </c>
      <c r="AL322" s="28">
        <f>IF(AN322=21,M322,0)</f>
        <v>0</v>
      </c>
      <c r="AN322" s="45">
        <v>15</v>
      </c>
      <c r="AO322" s="45">
        <f>J322*1</f>
        <v>0</v>
      </c>
      <c r="AP322" s="45">
        <f>J322*(1-1)</f>
        <v>0</v>
      </c>
      <c r="AQ322" s="47" t="s">
        <v>13</v>
      </c>
      <c r="AV322" s="45">
        <f>AW322+AX322</f>
        <v>0</v>
      </c>
      <c r="AW322" s="45">
        <f>I322*AO322</f>
        <v>0</v>
      </c>
      <c r="AX322" s="45">
        <f>I322*AP322</f>
        <v>0</v>
      </c>
      <c r="AY322" s="48" t="s">
        <v>1095</v>
      </c>
      <c r="AZ322" s="48" t="s">
        <v>1123</v>
      </c>
      <c r="BA322" s="44" t="s">
        <v>1139</v>
      </c>
      <c r="BC322" s="45">
        <f>AW322+AX322</f>
        <v>0</v>
      </c>
      <c r="BD322" s="45">
        <f>J322/(100-BE322)*100</f>
        <v>0</v>
      </c>
      <c r="BE322" s="45">
        <v>0</v>
      </c>
      <c r="BF322" s="45">
        <f>322</f>
        <v>322</v>
      </c>
      <c r="BH322" s="28">
        <f>I322*AO322</f>
        <v>0</v>
      </c>
      <c r="BI322" s="28">
        <f>I322*AP322</f>
        <v>0</v>
      </c>
      <c r="BJ322" s="28">
        <f>I322*J322</f>
        <v>0</v>
      </c>
      <c r="BK322" s="28" t="s">
        <v>1147</v>
      </c>
      <c r="BL322" s="45">
        <v>713</v>
      </c>
    </row>
    <row r="323" spans="1:64" x14ac:dyDescent="0.2">
      <c r="A323" s="7" t="s">
        <v>155</v>
      </c>
      <c r="B323" s="17" t="s">
        <v>305</v>
      </c>
      <c r="C323" s="17" t="s">
        <v>461</v>
      </c>
      <c r="D323" s="241" t="s">
        <v>839</v>
      </c>
      <c r="E323" s="242"/>
      <c r="F323" s="242"/>
      <c r="G323" s="242"/>
      <c r="H323" s="17" t="s">
        <v>1042</v>
      </c>
      <c r="I323" s="28">
        <v>58.2</v>
      </c>
      <c r="J323" s="154"/>
      <c r="K323" s="28">
        <f>I323*AO323</f>
        <v>0</v>
      </c>
      <c r="L323" s="28">
        <f>I323*AP323</f>
        <v>0</v>
      </c>
      <c r="M323" s="28">
        <f>I323*J323</f>
        <v>0</v>
      </c>
      <c r="N323" s="57">
        <f>IF(M623=0,0,M323/M623)</f>
        <v>0</v>
      </c>
      <c r="O323" s="40" t="s">
        <v>1068</v>
      </c>
      <c r="P323" s="6"/>
      <c r="Z323" s="45">
        <f>IF(AQ323="5",BJ323,0)</f>
        <v>0</v>
      </c>
      <c r="AB323" s="45">
        <f>IF(AQ323="1",BH323,0)</f>
        <v>0</v>
      </c>
      <c r="AC323" s="45">
        <f>IF(AQ323="1",BI323,0)</f>
        <v>0</v>
      </c>
      <c r="AD323" s="45">
        <f>IF(AQ323="7",BH323,0)</f>
        <v>0</v>
      </c>
      <c r="AE323" s="45">
        <f>IF(AQ323="7",BI323,0)</f>
        <v>0</v>
      </c>
      <c r="AF323" s="45">
        <f>IF(AQ323="2",BH323,0)</f>
        <v>0</v>
      </c>
      <c r="AG323" s="45">
        <f>IF(AQ323="2",BI323,0)</f>
        <v>0</v>
      </c>
      <c r="AH323" s="45">
        <f>IF(AQ323="0",BJ323,0)</f>
        <v>0</v>
      </c>
      <c r="AI323" s="44" t="s">
        <v>305</v>
      </c>
      <c r="AJ323" s="28">
        <f>IF(AN323=0,M323,0)</f>
        <v>0</v>
      </c>
      <c r="AK323" s="28">
        <f>IF(AN323=15,M323,0)</f>
        <v>0</v>
      </c>
      <c r="AL323" s="28">
        <f>IF(AN323=21,M323,0)</f>
        <v>0</v>
      </c>
      <c r="AN323" s="45">
        <v>15</v>
      </c>
      <c r="AO323" s="45">
        <f>J323*1</f>
        <v>0</v>
      </c>
      <c r="AP323" s="45">
        <f>J323*(1-1)</f>
        <v>0</v>
      </c>
      <c r="AQ323" s="47" t="s">
        <v>13</v>
      </c>
      <c r="AV323" s="45">
        <f>AW323+AX323</f>
        <v>0</v>
      </c>
      <c r="AW323" s="45">
        <f>I323*AO323</f>
        <v>0</v>
      </c>
      <c r="AX323" s="45">
        <f>I323*AP323</f>
        <v>0</v>
      </c>
      <c r="AY323" s="48" t="s">
        <v>1095</v>
      </c>
      <c r="AZ323" s="48" t="s">
        <v>1123</v>
      </c>
      <c r="BA323" s="44" t="s">
        <v>1139</v>
      </c>
      <c r="BC323" s="45">
        <f>AW323+AX323</f>
        <v>0</v>
      </c>
      <c r="BD323" s="45">
        <f>J323/(100-BE323)*100</f>
        <v>0</v>
      </c>
      <c r="BE323" s="45">
        <v>0</v>
      </c>
      <c r="BF323" s="45">
        <f>323</f>
        <v>323</v>
      </c>
      <c r="BH323" s="28">
        <f>I323*AO323</f>
        <v>0</v>
      </c>
      <c r="BI323" s="28">
        <f>I323*AP323</f>
        <v>0</v>
      </c>
      <c r="BJ323" s="28">
        <f>I323*J323</f>
        <v>0</v>
      </c>
      <c r="BK323" s="28" t="s">
        <v>1147</v>
      </c>
      <c r="BL323" s="45">
        <v>713</v>
      </c>
    </row>
    <row r="324" spans="1:64" x14ac:dyDescent="0.2">
      <c r="A324" s="5" t="s">
        <v>156</v>
      </c>
      <c r="B324" s="16" t="s">
        <v>305</v>
      </c>
      <c r="C324" s="16" t="s">
        <v>462</v>
      </c>
      <c r="D324" s="243" t="s">
        <v>840</v>
      </c>
      <c r="E324" s="244"/>
      <c r="F324" s="244"/>
      <c r="G324" s="244"/>
      <c r="H324" s="16" t="s">
        <v>1044</v>
      </c>
      <c r="I324" s="27">
        <v>276.61</v>
      </c>
      <c r="J324" s="149"/>
      <c r="K324" s="27">
        <f>I324*AO324</f>
        <v>0</v>
      </c>
      <c r="L324" s="27">
        <f>I324*AP324</f>
        <v>0</v>
      </c>
      <c r="M324" s="27">
        <f>I324*J324</f>
        <v>0</v>
      </c>
      <c r="N324" s="56">
        <f>IF(M623=0,0,M324/M623)</f>
        <v>0</v>
      </c>
      <c r="O324" s="39" t="s">
        <v>1068</v>
      </c>
      <c r="P324" s="6"/>
      <c r="Z324" s="45">
        <f>IF(AQ324="5",BJ324,0)</f>
        <v>0</v>
      </c>
      <c r="AB324" s="45">
        <f>IF(AQ324="1",BH324,0)</f>
        <v>0</v>
      </c>
      <c r="AC324" s="45">
        <f>IF(AQ324="1",BI324,0)</f>
        <v>0</v>
      </c>
      <c r="AD324" s="45">
        <f>IF(AQ324="7",BH324,0)</f>
        <v>0</v>
      </c>
      <c r="AE324" s="45">
        <f>IF(AQ324="7",BI324,0)</f>
        <v>0</v>
      </c>
      <c r="AF324" s="45">
        <f>IF(AQ324="2",BH324,0)</f>
        <v>0</v>
      </c>
      <c r="AG324" s="45">
        <f>IF(AQ324="2",BI324,0)</f>
        <v>0</v>
      </c>
      <c r="AH324" s="45">
        <f>IF(AQ324="0",BJ324,0)</f>
        <v>0</v>
      </c>
      <c r="AI324" s="44" t="s">
        <v>305</v>
      </c>
      <c r="AJ324" s="27">
        <f>IF(AN324=0,M324,0)</f>
        <v>0</v>
      </c>
      <c r="AK324" s="27">
        <f>IF(AN324=15,M324,0)</f>
        <v>0</v>
      </c>
      <c r="AL324" s="27">
        <f>IF(AN324=21,M324,0)</f>
        <v>0</v>
      </c>
      <c r="AN324" s="45">
        <v>15</v>
      </c>
      <c r="AO324" s="45">
        <f>J324*0.610944428394966</f>
        <v>0</v>
      </c>
      <c r="AP324" s="45">
        <f>J324*(1-0.610944428394966)</f>
        <v>0</v>
      </c>
      <c r="AQ324" s="46" t="s">
        <v>13</v>
      </c>
      <c r="AV324" s="45">
        <f>AW324+AX324</f>
        <v>0</v>
      </c>
      <c r="AW324" s="45">
        <f>I324*AO324</f>
        <v>0</v>
      </c>
      <c r="AX324" s="45">
        <f>I324*AP324</f>
        <v>0</v>
      </c>
      <c r="AY324" s="48" t="s">
        <v>1095</v>
      </c>
      <c r="AZ324" s="48" t="s">
        <v>1123</v>
      </c>
      <c r="BA324" s="44" t="s">
        <v>1139</v>
      </c>
      <c r="BC324" s="45">
        <f>AW324+AX324</f>
        <v>0</v>
      </c>
      <c r="BD324" s="45">
        <f>J324/(100-BE324)*100</f>
        <v>0</v>
      </c>
      <c r="BE324" s="45">
        <v>0</v>
      </c>
      <c r="BF324" s="45">
        <f>324</f>
        <v>324</v>
      </c>
      <c r="BH324" s="27">
        <f>I324*AO324</f>
        <v>0</v>
      </c>
      <c r="BI324" s="27">
        <f>I324*AP324</f>
        <v>0</v>
      </c>
      <c r="BJ324" s="27">
        <f>I324*J324</f>
        <v>0</v>
      </c>
      <c r="BK324" s="27" t="s">
        <v>1146</v>
      </c>
      <c r="BL324" s="45">
        <v>713</v>
      </c>
    </row>
    <row r="325" spans="1:64" x14ac:dyDescent="0.2">
      <c r="A325" s="6"/>
      <c r="D325" s="251" t="s">
        <v>841</v>
      </c>
      <c r="E325" s="252"/>
      <c r="F325" s="252"/>
      <c r="G325" s="252"/>
      <c r="H325" s="252"/>
      <c r="I325" s="252"/>
      <c r="J325" s="252"/>
      <c r="K325" s="252"/>
      <c r="L325" s="252"/>
      <c r="M325" s="252"/>
      <c r="N325" s="252"/>
      <c r="O325" s="253"/>
      <c r="P325" s="6"/>
    </row>
    <row r="326" spans="1:64" x14ac:dyDescent="0.2">
      <c r="A326" s="5" t="s">
        <v>157</v>
      </c>
      <c r="B326" s="16" t="s">
        <v>305</v>
      </c>
      <c r="C326" s="16" t="s">
        <v>463</v>
      </c>
      <c r="D326" s="243" t="s">
        <v>842</v>
      </c>
      <c r="E326" s="244"/>
      <c r="F326" s="244"/>
      <c r="G326" s="244"/>
      <c r="H326" s="16" t="s">
        <v>1042</v>
      </c>
      <c r="I326" s="27">
        <v>299.04000000000002</v>
      </c>
      <c r="J326" s="149"/>
      <c r="K326" s="27">
        <f>I326*AO326</f>
        <v>0</v>
      </c>
      <c r="L326" s="27">
        <f>I326*AP326</f>
        <v>0</v>
      </c>
      <c r="M326" s="27">
        <f>I326*J326</f>
        <v>0</v>
      </c>
      <c r="N326" s="56">
        <f>IF(M623=0,0,M326/M623)</f>
        <v>0</v>
      </c>
      <c r="O326" s="39" t="s">
        <v>1068</v>
      </c>
      <c r="P326" s="6"/>
      <c r="Z326" s="45">
        <f>IF(AQ326="5",BJ326,0)</f>
        <v>0</v>
      </c>
      <c r="AB326" s="45">
        <f>IF(AQ326="1",BH326,0)</f>
        <v>0</v>
      </c>
      <c r="AC326" s="45">
        <f>IF(AQ326="1",BI326,0)</f>
        <v>0</v>
      </c>
      <c r="AD326" s="45">
        <f>IF(AQ326="7",BH326,0)</f>
        <v>0</v>
      </c>
      <c r="AE326" s="45">
        <f>IF(AQ326="7",BI326,0)</f>
        <v>0</v>
      </c>
      <c r="AF326" s="45">
        <f>IF(AQ326="2",BH326,0)</f>
        <v>0</v>
      </c>
      <c r="AG326" s="45">
        <f>IF(AQ326="2",BI326,0)</f>
        <v>0</v>
      </c>
      <c r="AH326" s="45">
        <f>IF(AQ326="0",BJ326,0)</f>
        <v>0</v>
      </c>
      <c r="AI326" s="44" t="s">
        <v>305</v>
      </c>
      <c r="AJ326" s="27">
        <f>IF(AN326=0,M326,0)</f>
        <v>0</v>
      </c>
      <c r="AK326" s="27">
        <f>IF(AN326=15,M326,0)</f>
        <v>0</v>
      </c>
      <c r="AL326" s="27">
        <f>IF(AN326=21,M326,0)</f>
        <v>0</v>
      </c>
      <c r="AN326" s="45">
        <v>15</v>
      </c>
      <c r="AO326" s="45">
        <f>J326*0.176150591517476</f>
        <v>0</v>
      </c>
      <c r="AP326" s="45">
        <f>J326*(1-0.176150591517476)</f>
        <v>0</v>
      </c>
      <c r="AQ326" s="46" t="s">
        <v>13</v>
      </c>
      <c r="AV326" s="45">
        <f>AW326+AX326</f>
        <v>0</v>
      </c>
      <c r="AW326" s="45">
        <f>I326*AO326</f>
        <v>0</v>
      </c>
      <c r="AX326" s="45">
        <f>I326*AP326</f>
        <v>0</v>
      </c>
      <c r="AY326" s="48" t="s">
        <v>1095</v>
      </c>
      <c r="AZ326" s="48" t="s">
        <v>1123</v>
      </c>
      <c r="BA326" s="44" t="s">
        <v>1139</v>
      </c>
      <c r="BC326" s="45">
        <f>AW326+AX326</f>
        <v>0</v>
      </c>
      <c r="BD326" s="45">
        <f>J326/(100-BE326)*100</f>
        <v>0</v>
      </c>
      <c r="BE326" s="45">
        <v>0</v>
      </c>
      <c r="BF326" s="45">
        <f>326</f>
        <v>326</v>
      </c>
      <c r="BH326" s="27">
        <f>I326*AO326</f>
        <v>0</v>
      </c>
      <c r="BI326" s="27">
        <f>I326*AP326</f>
        <v>0</v>
      </c>
      <c r="BJ326" s="27">
        <f>I326*J326</f>
        <v>0</v>
      </c>
      <c r="BK326" s="27" t="s">
        <v>1146</v>
      </c>
      <c r="BL326" s="45">
        <v>713</v>
      </c>
    </row>
    <row r="327" spans="1:64" x14ac:dyDescent="0.2">
      <c r="A327" s="6"/>
      <c r="D327" s="251" t="s">
        <v>843</v>
      </c>
      <c r="E327" s="252"/>
      <c r="F327" s="252"/>
      <c r="G327" s="252"/>
      <c r="H327" s="252"/>
      <c r="I327" s="252"/>
      <c r="J327" s="252"/>
      <c r="K327" s="252"/>
      <c r="L327" s="252"/>
      <c r="M327" s="252"/>
      <c r="N327" s="252"/>
      <c r="O327" s="253"/>
      <c r="P327" s="6"/>
    </row>
    <row r="328" spans="1:64" x14ac:dyDescent="0.2">
      <c r="A328" s="5" t="s">
        <v>158</v>
      </c>
      <c r="B328" s="16" t="s">
        <v>305</v>
      </c>
      <c r="C328" s="16" t="s">
        <v>464</v>
      </c>
      <c r="D328" s="243" t="s">
        <v>844</v>
      </c>
      <c r="E328" s="244"/>
      <c r="F328" s="244"/>
      <c r="G328" s="244"/>
      <c r="H328" s="16" t="s">
        <v>1043</v>
      </c>
      <c r="I328" s="27">
        <v>3.66</v>
      </c>
      <c r="J328" s="149"/>
      <c r="K328" s="27">
        <f>I328*AO328</f>
        <v>0</v>
      </c>
      <c r="L328" s="27">
        <f>I328*AP328</f>
        <v>0</v>
      </c>
      <c r="M328" s="27">
        <f>I328*J328</f>
        <v>0</v>
      </c>
      <c r="N328" s="56">
        <f>IF(M623=0,0,M328/M623)</f>
        <v>0</v>
      </c>
      <c r="O328" s="39" t="s">
        <v>1068</v>
      </c>
      <c r="P328" s="6"/>
      <c r="Z328" s="45">
        <f>IF(AQ328="5",BJ328,0)</f>
        <v>0</v>
      </c>
      <c r="AB328" s="45">
        <f>IF(AQ328="1",BH328,0)</f>
        <v>0</v>
      </c>
      <c r="AC328" s="45">
        <f>IF(AQ328="1",BI328,0)</f>
        <v>0</v>
      </c>
      <c r="AD328" s="45">
        <f>IF(AQ328="7",BH328,0)</f>
        <v>0</v>
      </c>
      <c r="AE328" s="45">
        <f>IF(AQ328="7",BI328,0)</f>
        <v>0</v>
      </c>
      <c r="AF328" s="45">
        <f>IF(AQ328="2",BH328,0)</f>
        <v>0</v>
      </c>
      <c r="AG328" s="45">
        <f>IF(AQ328="2",BI328,0)</f>
        <v>0</v>
      </c>
      <c r="AH328" s="45">
        <f>IF(AQ328="0",BJ328,0)</f>
        <v>0</v>
      </c>
      <c r="AI328" s="44" t="s">
        <v>305</v>
      </c>
      <c r="AJ328" s="27">
        <f>IF(AN328=0,M328,0)</f>
        <v>0</v>
      </c>
      <c r="AK328" s="27">
        <f>IF(AN328=15,M328,0)</f>
        <v>0</v>
      </c>
      <c r="AL328" s="27">
        <f>IF(AN328=21,M328,0)</f>
        <v>0</v>
      </c>
      <c r="AN328" s="45">
        <v>15</v>
      </c>
      <c r="AO328" s="45">
        <f>J328*0</f>
        <v>0</v>
      </c>
      <c r="AP328" s="45">
        <f>J328*(1-0)</f>
        <v>0</v>
      </c>
      <c r="AQ328" s="46" t="s">
        <v>11</v>
      </c>
      <c r="AV328" s="45">
        <f>AW328+AX328</f>
        <v>0</v>
      </c>
      <c r="AW328" s="45">
        <f>I328*AO328</f>
        <v>0</v>
      </c>
      <c r="AX328" s="45">
        <f>I328*AP328</f>
        <v>0</v>
      </c>
      <c r="AY328" s="48" t="s">
        <v>1095</v>
      </c>
      <c r="AZ328" s="48" t="s">
        <v>1123</v>
      </c>
      <c r="BA328" s="44" t="s">
        <v>1139</v>
      </c>
      <c r="BC328" s="45">
        <f>AW328+AX328</f>
        <v>0</v>
      </c>
      <c r="BD328" s="45">
        <f>J328/(100-BE328)*100</f>
        <v>0</v>
      </c>
      <c r="BE328" s="45">
        <v>0</v>
      </c>
      <c r="BF328" s="45">
        <f>328</f>
        <v>328</v>
      </c>
      <c r="BH328" s="27">
        <f>I328*AO328</f>
        <v>0</v>
      </c>
      <c r="BI328" s="27">
        <f>I328*AP328</f>
        <v>0</v>
      </c>
      <c r="BJ328" s="27">
        <f>I328*J328</f>
        <v>0</v>
      </c>
      <c r="BK328" s="27" t="s">
        <v>1146</v>
      </c>
      <c r="BL328" s="45">
        <v>713</v>
      </c>
    </row>
    <row r="329" spans="1:64" x14ac:dyDescent="0.2">
      <c r="A329" s="4"/>
      <c r="B329" s="15" t="s">
        <v>305</v>
      </c>
      <c r="C329" s="15" t="s">
        <v>465</v>
      </c>
      <c r="D329" s="237" t="s">
        <v>845</v>
      </c>
      <c r="E329" s="238"/>
      <c r="F329" s="238"/>
      <c r="G329" s="238"/>
      <c r="H329" s="24" t="s">
        <v>6</v>
      </c>
      <c r="I329" s="24" t="s">
        <v>6</v>
      </c>
      <c r="J329" s="24" t="s">
        <v>6</v>
      </c>
      <c r="K329" s="51">
        <f>SUM(K330:K333)</f>
        <v>0</v>
      </c>
      <c r="L329" s="51">
        <f>SUM(L330:L333)</f>
        <v>0</v>
      </c>
      <c r="M329" s="51">
        <f>SUM(M330:M333)</f>
        <v>0</v>
      </c>
      <c r="N329" s="55">
        <f>IF(M623=0,0,M329/M623)</f>
        <v>0</v>
      </c>
      <c r="O329" s="38"/>
      <c r="P329" s="6"/>
      <c r="AI329" s="44" t="s">
        <v>305</v>
      </c>
      <c r="AS329" s="51">
        <f>SUM(AJ330:AJ333)</f>
        <v>0</v>
      </c>
      <c r="AT329" s="51">
        <f>SUM(AK330:AK333)</f>
        <v>0</v>
      </c>
      <c r="AU329" s="51">
        <f>SUM(AL330:AL333)</f>
        <v>0</v>
      </c>
    </row>
    <row r="330" spans="1:64" x14ac:dyDescent="0.2">
      <c r="A330" s="5" t="s">
        <v>159</v>
      </c>
      <c r="B330" s="16" t="s">
        <v>305</v>
      </c>
      <c r="C330" s="16" t="s">
        <v>466</v>
      </c>
      <c r="D330" s="243" t="s">
        <v>846</v>
      </c>
      <c r="E330" s="244"/>
      <c r="F330" s="244"/>
      <c r="G330" s="244"/>
      <c r="H330" s="16" t="s">
        <v>1045</v>
      </c>
      <c r="I330" s="27">
        <v>4</v>
      </c>
      <c r="J330" s="149"/>
      <c r="K330" s="27">
        <f>I330*AO330</f>
        <v>0</v>
      </c>
      <c r="L330" s="27">
        <f>I330*AP330</f>
        <v>0</v>
      </c>
      <c r="M330" s="27">
        <f>I330*J330</f>
        <v>0</v>
      </c>
      <c r="N330" s="56">
        <f>IF(M623=0,0,M330/M623)</f>
        <v>0</v>
      </c>
      <c r="O330" s="39" t="s">
        <v>1068</v>
      </c>
      <c r="P330" s="6"/>
      <c r="Z330" s="45">
        <f>IF(AQ330="5",BJ330,0)</f>
        <v>0</v>
      </c>
      <c r="AB330" s="45">
        <f>IF(AQ330="1",BH330,0)</f>
        <v>0</v>
      </c>
      <c r="AC330" s="45">
        <f>IF(AQ330="1",BI330,0)</f>
        <v>0</v>
      </c>
      <c r="AD330" s="45">
        <f>IF(AQ330="7",BH330,0)</f>
        <v>0</v>
      </c>
      <c r="AE330" s="45">
        <f>IF(AQ330="7",BI330,0)</f>
        <v>0</v>
      </c>
      <c r="AF330" s="45">
        <f>IF(AQ330="2",BH330,0)</f>
        <v>0</v>
      </c>
      <c r="AG330" s="45">
        <f>IF(AQ330="2",BI330,0)</f>
        <v>0</v>
      </c>
      <c r="AH330" s="45">
        <f>IF(AQ330="0",BJ330,0)</f>
        <v>0</v>
      </c>
      <c r="AI330" s="44" t="s">
        <v>305</v>
      </c>
      <c r="AJ330" s="27">
        <f>IF(AN330=0,M330,0)</f>
        <v>0</v>
      </c>
      <c r="AK330" s="27">
        <f>IF(AN330=15,M330,0)</f>
        <v>0</v>
      </c>
      <c r="AL330" s="27">
        <f>IF(AN330=21,M330,0)</f>
        <v>0</v>
      </c>
      <c r="AN330" s="45">
        <v>15</v>
      </c>
      <c r="AO330" s="45">
        <f>J330*0.937629807692308</f>
        <v>0</v>
      </c>
      <c r="AP330" s="45">
        <f>J330*(1-0.937629807692308)</f>
        <v>0</v>
      </c>
      <c r="AQ330" s="46" t="s">
        <v>13</v>
      </c>
      <c r="AV330" s="45">
        <f>AW330+AX330</f>
        <v>0</v>
      </c>
      <c r="AW330" s="45">
        <f>I330*AO330</f>
        <v>0</v>
      </c>
      <c r="AX330" s="45">
        <f>I330*AP330</f>
        <v>0</v>
      </c>
      <c r="AY330" s="48" t="s">
        <v>1096</v>
      </c>
      <c r="AZ330" s="48" t="s">
        <v>1124</v>
      </c>
      <c r="BA330" s="44" t="s">
        <v>1139</v>
      </c>
      <c r="BC330" s="45">
        <f>AW330+AX330</f>
        <v>0</v>
      </c>
      <c r="BD330" s="45">
        <f>J330/(100-BE330)*100</f>
        <v>0</v>
      </c>
      <c r="BE330" s="45">
        <v>0</v>
      </c>
      <c r="BF330" s="45">
        <f>330</f>
        <v>330</v>
      </c>
      <c r="BH330" s="27">
        <f>I330*AO330</f>
        <v>0</v>
      </c>
      <c r="BI330" s="27">
        <f>I330*AP330</f>
        <v>0</v>
      </c>
      <c r="BJ330" s="27">
        <f>I330*J330</f>
        <v>0</v>
      </c>
      <c r="BK330" s="27" t="s">
        <v>1146</v>
      </c>
      <c r="BL330" s="45">
        <v>721</v>
      </c>
    </row>
    <row r="331" spans="1:64" x14ac:dyDescent="0.2">
      <c r="A331" s="6"/>
      <c r="D331" s="251" t="s">
        <v>847</v>
      </c>
      <c r="E331" s="252"/>
      <c r="F331" s="252"/>
      <c r="G331" s="252"/>
      <c r="H331" s="252"/>
      <c r="I331" s="252"/>
      <c r="J331" s="252"/>
      <c r="K331" s="252"/>
      <c r="L331" s="252"/>
      <c r="M331" s="252"/>
      <c r="N331" s="252"/>
      <c r="O331" s="253"/>
      <c r="P331" s="6"/>
    </row>
    <row r="332" spans="1:64" x14ac:dyDescent="0.2">
      <c r="A332" s="6"/>
      <c r="C332" s="21" t="s">
        <v>310</v>
      </c>
      <c r="D332" s="245" t="s">
        <v>790</v>
      </c>
      <c r="E332" s="246"/>
      <c r="F332" s="246"/>
      <c r="G332" s="246"/>
      <c r="H332" s="246"/>
      <c r="I332" s="246"/>
      <c r="J332" s="246"/>
      <c r="K332" s="246"/>
      <c r="L332" s="246"/>
      <c r="M332" s="246"/>
      <c r="N332" s="246"/>
      <c r="O332" s="247"/>
      <c r="P332" s="6"/>
    </row>
    <row r="333" spans="1:64" x14ac:dyDescent="0.2">
      <c r="A333" s="5" t="s">
        <v>160</v>
      </c>
      <c r="B333" s="16" t="s">
        <v>305</v>
      </c>
      <c r="C333" s="16" t="s">
        <v>467</v>
      </c>
      <c r="D333" s="243" t="s">
        <v>848</v>
      </c>
      <c r="E333" s="244"/>
      <c r="F333" s="244"/>
      <c r="G333" s="244"/>
      <c r="H333" s="16" t="s">
        <v>1043</v>
      </c>
      <c r="I333" s="27">
        <v>0.34</v>
      </c>
      <c r="J333" s="149"/>
      <c r="K333" s="27">
        <f>I333*AO333</f>
        <v>0</v>
      </c>
      <c r="L333" s="27">
        <f>I333*AP333</f>
        <v>0</v>
      </c>
      <c r="M333" s="27">
        <f>I333*J333</f>
        <v>0</v>
      </c>
      <c r="N333" s="56">
        <f>IF(M623=0,0,M333/M623)</f>
        <v>0</v>
      </c>
      <c r="O333" s="39" t="s">
        <v>1068</v>
      </c>
      <c r="P333" s="6"/>
      <c r="Z333" s="45">
        <f>IF(AQ333="5",BJ333,0)</f>
        <v>0</v>
      </c>
      <c r="AB333" s="45">
        <f>IF(AQ333="1",BH333,0)</f>
        <v>0</v>
      </c>
      <c r="AC333" s="45">
        <f>IF(AQ333="1",BI333,0)</f>
        <v>0</v>
      </c>
      <c r="AD333" s="45">
        <f>IF(AQ333="7",BH333,0)</f>
        <v>0</v>
      </c>
      <c r="AE333" s="45">
        <f>IF(AQ333="7",BI333,0)</f>
        <v>0</v>
      </c>
      <c r="AF333" s="45">
        <f>IF(AQ333="2",BH333,0)</f>
        <v>0</v>
      </c>
      <c r="AG333" s="45">
        <f>IF(AQ333="2",BI333,0)</f>
        <v>0</v>
      </c>
      <c r="AH333" s="45">
        <f>IF(AQ333="0",BJ333,0)</f>
        <v>0</v>
      </c>
      <c r="AI333" s="44" t="s">
        <v>305</v>
      </c>
      <c r="AJ333" s="27">
        <f>IF(AN333=0,M333,0)</f>
        <v>0</v>
      </c>
      <c r="AK333" s="27">
        <f>IF(AN333=15,M333,0)</f>
        <v>0</v>
      </c>
      <c r="AL333" s="27">
        <f>IF(AN333=21,M333,0)</f>
        <v>0</v>
      </c>
      <c r="AN333" s="45">
        <v>15</v>
      </c>
      <c r="AO333" s="45">
        <f>J333*0</f>
        <v>0</v>
      </c>
      <c r="AP333" s="45">
        <f>J333*(1-0)</f>
        <v>0</v>
      </c>
      <c r="AQ333" s="46" t="s">
        <v>11</v>
      </c>
      <c r="AV333" s="45">
        <f>AW333+AX333</f>
        <v>0</v>
      </c>
      <c r="AW333" s="45">
        <f>I333*AO333</f>
        <v>0</v>
      </c>
      <c r="AX333" s="45">
        <f>I333*AP333</f>
        <v>0</v>
      </c>
      <c r="AY333" s="48" t="s">
        <v>1096</v>
      </c>
      <c r="AZ333" s="48" t="s">
        <v>1124</v>
      </c>
      <c r="BA333" s="44" t="s">
        <v>1139</v>
      </c>
      <c r="BC333" s="45">
        <f>AW333+AX333</f>
        <v>0</v>
      </c>
      <c r="BD333" s="45">
        <f>J333/(100-BE333)*100</f>
        <v>0</v>
      </c>
      <c r="BE333" s="45">
        <v>0</v>
      </c>
      <c r="BF333" s="45">
        <f>333</f>
        <v>333</v>
      </c>
      <c r="BH333" s="27">
        <f>I333*AO333</f>
        <v>0</v>
      </c>
      <c r="BI333" s="27">
        <f>I333*AP333</f>
        <v>0</v>
      </c>
      <c r="BJ333" s="27">
        <f>I333*J333</f>
        <v>0</v>
      </c>
      <c r="BK333" s="27" t="s">
        <v>1146</v>
      </c>
      <c r="BL333" s="45">
        <v>721</v>
      </c>
    </row>
    <row r="334" spans="1:64" x14ac:dyDescent="0.2">
      <c r="A334" s="4"/>
      <c r="B334" s="15" t="s">
        <v>305</v>
      </c>
      <c r="C334" s="15" t="s">
        <v>468</v>
      </c>
      <c r="D334" s="237" t="s">
        <v>849</v>
      </c>
      <c r="E334" s="238"/>
      <c r="F334" s="238"/>
      <c r="G334" s="238"/>
      <c r="H334" s="24" t="s">
        <v>6</v>
      </c>
      <c r="I334" s="24" t="s">
        <v>6</v>
      </c>
      <c r="J334" s="24" t="s">
        <v>6</v>
      </c>
      <c r="K334" s="51">
        <f>SUM(K335:K341)</f>
        <v>0</v>
      </c>
      <c r="L334" s="51">
        <f>SUM(L335:L341)</f>
        <v>0</v>
      </c>
      <c r="M334" s="51">
        <f>SUM(M335:M341)</f>
        <v>0</v>
      </c>
      <c r="N334" s="55">
        <f>IF(M623=0,0,M334/M623)</f>
        <v>0</v>
      </c>
      <c r="O334" s="38"/>
      <c r="P334" s="6"/>
      <c r="AI334" s="44" t="s">
        <v>305</v>
      </c>
      <c r="AS334" s="51">
        <f>SUM(AJ335:AJ341)</f>
        <v>0</v>
      </c>
      <c r="AT334" s="51">
        <f>SUM(AK335:AK341)</f>
        <v>0</v>
      </c>
      <c r="AU334" s="51">
        <f>SUM(AL335:AL341)</f>
        <v>0</v>
      </c>
    </row>
    <row r="335" spans="1:64" x14ac:dyDescent="0.2">
      <c r="A335" s="5" t="s">
        <v>161</v>
      </c>
      <c r="B335" s="16" t="s">
        <v>305</v>
      </c>
      <c r="C335" s="16" t="s">
        <v>469</v>
      </c>
      <c r="D335" s="243" t="s">
        <v>850</v>
      </c>
      <c r="E335" s="244"/>
      <c r="F335" s="244"/>
      <c r="G335" s="244"/>
      <c r="H335" s="16" t="s">
        <v>1042</v>
      </c>
      <c r="I335" s="27">
        <v>177.36</v>
      </c>
      <c r="J335" s="149"/>
      <c r="K335" s="27">
        <f>I335*AO335</f>
        <v>0</v>
      </c>
      <c r="L335" s="27">
        <f>I335*AP335</f>
        <v>0</v>
      </c>
      <c r="M335" s="27">
        <f>I335*J335</f>
        <v>0</v>
      </c>
      <c r="N335" s="56">
        <f>IF(M623=0,0,M335/M623)</f>
        <v>0</v>
      </c>
      <c r="O335" s="39" t="s">
        <v>1068</v>
      </c>
      <c r="P335" s="6"/>
      <c r="Z335" s="45">
        <f>IF(AQ335="5",BJ335,0)</f>
        <v>0</v>
      </c>
      <c r="AB335" s="45">
        <f>IF(AQ335="1",BH335,0)</f>
        <v>0</v>
      </c>
      <c r="AC335" s="45">
        <f>IF(AQ335="1",BI335,0)</f>
        <v>0</v>
      </c>
      <c r="AD335" s="45">
        <f>IF(AQ335="7",BH335,0)</f>
        <v>0</v>
      </c>
      <c r="AE335" s="45">
        <f>IF(AQ335="7",BI335,0)</f>
        <v>0</v>
      </c>
      <c r="AF335" s="45">
        <f>IF(AQ335="2",BH335,0)</f>
        <v>0</v>
      </c>
      <c r="AG335" s="45">
        <f>IF(AQ335="2",BI335,0)</f>
        <v>0</v>
      </c>
      <c r="AH335" s="45">
        <f>IF(AQ335="0",BJ335,0)</f>
        <v>0</v>
      </c>
      <c r="AI335" s="44" t="s">
        <v>305</v>
      </c>
      <c r="AJ335" s="27">
        <f>IF(AN335=0,M335,0)</f>
        <v>0</v>
      </c>
      <c r="AK335" s="27">
        <f>IF(AN335=15,M335,0)</f>
        <v>0</v>
      </c>
      <c r="AL335" s="27">
        <f>IF(AN335=21,M335,0)</f>
        <v>0</v>
      </c>
      <c r="AN335" s="45">
        <v>15</v>
      </c>
      <c r="AO335" s="45">
        <f>J335*0.059452685001351</f>
        <v>0</v>
      </c>
      <c r="AP335" s="45">
        <f>J335*(1-0.059452685001351)</f>
        <v>0</v>
      </c>
      <c r="AQ335" s="46" t="s">
        <v>13</v>
      </c>
      <c r="AV335" s="45">
        <f>AW335+AX335</f>
        <v>0</v>
      </c>
      <c r="AW335" s="45">
        <f>I335*AO335</f>
        <v>0</v>
      </c>
      <c r="AX335" s="45">
        <f>I335*AP335</f>
        <v>0</v>
      </c>
      <c r="AY335" s="48" t="s">
        <v>1097</v>
      </c>
      <c r="AZ335" s="48" t="s">
        <v>1125</v>
      </c>
      <c r="BA335" s="44" t="s">
        <v>1139</v>
      </c>
      <c r="BC335" s="45">
        <f>AW335+AX335</f>
        <v>0</v>
      </c>
      <c r="BD335" s="45">
        <f>J335/(100-BE335)*100</f>
        <v>0</v>
      </c>
      <c r="BE335" s="45">
        <v>0</v>
      </c>
      <c r="BF335" s="45">
        <f>335</f>
        <v>335</v>
      </c>
      <c r="BH335" s="27">
        <f>I335*AO335</f>
        <v>0</v>
      </c>
      <c r="BI335" s="27">
        <f>I335*AP335</f>
        <v>0</v>
      </c>
      <c r="BJ335" s="27">
        <f>I335*J335</f>
        <v>0</v>
      </c>
      <c r="BK335" s="27" t="s">
        <v>1146</v>
      </c>
      <c r="BL335" s="45">
        <v>762</v>
      </c>
    </row>
    <row r="336" spans="1:64" x14ac:dyDescent="0.2">
      <c r="A336" s="6"/>
      <c r="C336" s="21" t="s">
        <v>310</v>
      </c>
      <c r="D336" s="245" t="s">
        <v>781</v>
      </c>
      <c r="E336" s="246"/>
      <c r="F336" s="246"/>
      <c r="G336" s="246"/>
      <c r="H336" s="246"/>
      <c r="I336" s="246"/>
      <c r="J336" s="246"/>
      <c r="K336" s="246"/>
      <c r="L336" s="246"/>
      <c r="M336" s="246"/>
      <c r="N336" s="246"/>
      <c r="O336" s="247"/>
      <c r="P336" s="6"/>
    </row>
    <row r="337" spans="1:64" x14ac:dyDescent="0.2">
      <c r="A337" s="7" t="s">
        <v>162</v>
      </c>
      <c r="B337" s="17" t="s">
        <v>305</v>
      </c>
      <c r="C337" s="17" t="s">
        <v>470</v>
      </c>
      <c r="D337" s="241" t="s">
        <v>851</v>
      </c>
      <c r="E337" s="242"/>
      <c r="F337" s="242"/>
      <c r="G337" s="242"/>
      <c r="H337" s="17" t="s">
        <v>1042</v>
      </c>
      <c r="I337" s="28">
        <v>194.7</v>
      </c>
      <c r="J337" s="154"/>
      <c r="K337" s="28">
        <f>I337*AO337</f>
        <v>0</v>
      </c>
      <c r="L337" s="28">
        <f>I337*AP337</f>
        <v>0</v>
      </c>
      <c r="M337" s="28">
        <f>I337*J337</f>
        <v>0</v>
      </c>
      <c r="N337" s="57">
        <f>IF(M623=0,0,M337/M623)</f>
        <v>0</v>
      </c>
      <c r="O337" s="40" t="s">
        <v>1068</v>
      </c>
      <c r="P337" s="6"/>
      <c r="Z337" s="45">
        <f>IF(AQ337="5",BJ337,0)</f>
        <v>0</v>
      </c>
      <c r="AB337" s="45">
        <f>IF(AQ337="1",BH337,0)</f>
        <v>0</v>
      </c>
      <c r="AC337" s="45">
        <f>IF(AQ337="1",BI337,0)</f>
        <v>0</v>
      </c>
      <c r="AD337" s="45">
        <f>IF(AQ337="7",BH337,0)</f>
        <v>0</v>
      </c>
      <c r="AE337" s="45">
        <f>IF(AQ337="7",BI337,0)</f>
        <v>0</v>
      </c>
      <c r="AF337" s="45">
        <f>IF(AQ337="2",BH337,0)</f>
        <v>0</v>
      </c>
      <c r="AG337" s="45">
        <f>IF(AQ337="2",BI337,0)</f>
        <v>0</v>
      </c>
      <c r="AH337" s="45">
        <f>IF(AQ337="0",BJ337,0)</f>
        <v>0</v>
      </c>
      <c r="AI337" s="44" t="s">
        <v>305</v>
      </c>
      <c r="AJ337" s="28">
        <f>IF(AN337=0,M337,0)</f>
        <v>0</v>
      </c>
      <c r="AK337" s="28">
        <f>IF(AN337=15,M337,0)</f>
        <v>0</v>
      </c>
      <c r="AL337" s="28">
        <f>IF(AN337=21,M337,0)</f>
        <v>0</v>
      </c>
      <c r="AN337" s="45">
        <v>15</v>
      </c>
      <c r="AO337" s="45">
        <f>J337*1</f>
        <v>0</v>
      </c>
      <c r="AP337" s="45">
        <f>J337*(1-1)</f>
        <v>0</v>
      </c>
      <c r="AQ337" s="47" t="s">
        <v>13</v>
      </c>
      <c r="AV337" s="45">
        <f>AW337+AX337</f>
        <v>0</v>
      </c>
      <c r="AW337" s="45">
        <f>I337*AO337</f>
        <v>0</v>
      </c>
      <c r="AX337" s="45">
        <f>I337*AP337</f>
        <v>0</v>
      </c>
      <c r="AY337" s="48" t="s">
        <v>1097</v>
      </c>
      <c r="AZ337" s="48" t="s">
        <v>1125</v>
      </c>
      <c r="BA337" s="44" t="s">
        <v>1139</v>
      </c>
      <c r="BC337" s="45">
        <f>AW337+AX337</f>
        <v>0</v>
      </c>
      <c r="BD337" s="45">
        <f>J337/(100-BE337)*100</f>
        <v>0</v>
      </c>
      <c r="BE337" s="45">
        <v>0</v>
      </c>
      <c r="BF337" s="45">
        <f>337</f>
        <v>337</v>
      </c>
      <c r="BH337" s="28">
        <f>I337*AO337</f>
        <v>0</v>
      </c>
      <c r="BI337" s="28">
        <f>I337*AP337</f>
        <v>0</v>
      </c>
      <c r="BJ337" s="28">
        <f>I337*J337</f>
        <v>0</v>
      </c>
      <c r="BK337" s="28" t="s">
        <v>1147</v>
      </c>
      <c r="BL337" s="45">
        <v>762</v>
      </c>
    </row>
    <row r="338" spans="1:64" x14ac:dyDescent="0.2">
      <c r="A338" s="5" t="s">
        <v>163</v>
      </c>
      <c r="B338" s="16" t="s">
        <v>305</v>
      </c>
      <c r="C338" s="16" t="s">
        <v>471</v>
      </c>
      <c r="D338" s="243" t="s">
        <v>852</v>
      </c>
      <c r="E338" s="244"/>
      <c r="F338" s="244"/>
      <c r="G338" s="244"/>
      <c r="H338" s="16" t="s">
        <v>1042</v>
      </c>
      <c r="I338" s="27">
        <v>31.87</v>
      </c>
      <c r="J338" s="149"/>
      <c r="K338" s="27">
        <f>I338*AO338</f>
        <v>0</v>
      </c>
      <c r="L338" s="27">
        <f>I338*AP338</f>
        <v>0</v>
      </c>
      <c r="M338" s="27">
        <f>I338*J338</f>
        <v>0</v>
      </c>
      <c r="N338" s="56">
        <f>IF(M623=0,0,M338/M623)</f>
        <v>0</v>
      </c>
      <c r="O338" s="39" t="s">
        <v>1068</v>
      </c>
      <c r="P338" s="6"/>
      <c r="Z338" s="45">
        <f>IF(AQ338="5",BJ338,0)</f>
        <v>0</v>
      </c>
      <c r="AB338" s="45">
        <f>IF(AQ338="1",BH338,0)</f>
        <v>0</v>
      </c>
      <c r="AC338" s="45">
        <f>IF(AQ338="1",BI338,0)</f>
        <v>0</v>
      </c>
      <c r="AD338" s="45">
        <f>IF(AQ338="7",BH338,0)</f>
        <v>0</v>
      </c>
      <c r="AE338" s="45">
        <f>IF(AQ338="7",BI338,0)</f>
        <v>0</v>
      </c>
      <c r="AF338" s="45">
        <f>IF(AQ338="2",BH338,0)</f>
        <v>0</v>
      </c>
      <c r="AG338" s="45">
        <f>IF(AQ338="2",BI338,0)</f>
        <v>0</v>
      </c>
      <c r="AH338" s="45">
        <f>IF(AQ338="0",BJ338,0)</f>
        <v>0</v>
      </c>
      <c r="AI338" s="44" t="s">
        <v>305</v>
      </c>
      <c r="AJ338" s="27">
        <f>IF(AN338=0,M338,0)</f>
        <v>0</v>
      </c>
      <c r="AK338" s="27">
        <f>IF(AN338=15,M338,0)</f>
        <v>0</v>
      </c>
      <c r="AL338" s="27">
        <f>IF(AN338=21,M338,0)</f>
        <v>0</v>
      </c>
      <c r="AN338" s="45">
        <v>15</v>
      </c>
      <c r="AO338" s="45">
        <f>J338*0.690312612120447</f>
        <v>0</v>
      </c>
      <c r="AP338" s="45">
        <f>J338*(1-0.690312612120447)</f>
        <v>0</v>
      </c>
      <c r="AQ338" s="46" t="s">
        <v>13</v>
      </c>
      <c r="AV338" s="45">
        <f>AW338+AX338</f>
        <v>0</v>
      </c>
      <c r="AW338" s="45">
        <f>I338*AO338</f>
        <v>0</v>
      </c>
      <c r="AX338" s="45">
        <f>I338*AP338</f>
        <v>0</v>
      </c>
      <c r="AY338" s="48" t="s">
        <v>1097</v>
      </c>
      <c r="AZ338" s="48" t="s">
        <v>1125</v>
      </c>
      <c r="BA338" s="44" t="s">
        <v>1139</v>
      </c>
      <c r="BC338" s="45">
        <f>AW338+AX338</f>
        <v>0</v>
      </c>
      <c r="BD338" s="45">
        <f>J338/(100-BE338)*100</f>
        <v>0</v>
      </c>
      <c r="BE338" s="45">
        <v>0</v>
      </c>
      <c r="BF338" s="45">
        <f>338</f>
        <v>338</v>
      </c>
      <c r="BH338" s="27">
        <f>I338*AO338</f>
        <v>0</v>
      </c>
      <c r="BI338" s="27">
        <f>I338*AP338</f>
        <v>0</v>
      </c>
      <c r="BJ338" s="27">
        <f>I338*J338</f>
        <v>0</v>
      </c>
      <c r="BK338" s="27" t="s">
        <v>1146</v>
      </c>
      <c r="BL338" s="45">
        <v>762</v>
      </c>
    </row>
    <row r="339" spans="1:64" x14ac:dyDescent="0.2">
      <c r="A339" s="6"/>
      <c r="D339" s="251" t="s">
        <v>853</v>
      </c>
      <c r="E339" s="252"/>
      <c r="F339" s="252"/>
      <c r="G339" s="252"/>
      <c r="H339" s="252"/>
      <c r="I339" s="252"/>
      <c r="J339" s="252"/>
      <c r="K339" s="252"/>
      <c r="L339" s="252"/>
      <c r="M339" s="252"/>
      <c r="N339" s="252"/>
      <c r="O339" s="253"/>
      <c r="P339" s="6"/>
    </row>
    <row r="340" spans="1:64" x14ac:dyDescent="0.2">
      <c r="A340" s="6"/>
      <c r="C340" s="21" t="s">
        <v>310</v>
      </c>
      <c r="D340" s="245" t="s">
        <v>790</v>
      </c>
      <c r="E340" s="246"/>
      <c r="F340" s="246"/>
      <c r="G340" s="246"/>
      <c r="H340" s="246"/>
      <c r="I340" s="246"/>
      <c r="J340" s="246"/>
      <c r="K340" s="246"/>
      <c r="L340" s="246"/>
      <c r="M340" s="246"/>
      <c r="N340" s="246"/>
      <c r="O340" s="247"/>
      <c r="P340" s="6"/>
    </row>
    <row r="341" spans="1:64" x14ac:dyDescent="0.2">
      <c r="A341" s="5" t="s">
        <v>164</v>
      </c>
      <c r="B341" s="16" t="s">
        <v>305</v>
      </c>
      <c r="C341" s="16" t="s">
        <v>472</v>
      </c>
      <c r="D341" s="243" t="s">
        <v>854</v>
      </c>
      <c r="E341" s="244"/>
      <c r="F341" s="244"/>
      <c r="G341" s="244"/>
      <c r="H341" s="16" t="s">
        <v>1043</v>
      </c>
      <c r="I341" s="27">
        <v>2.17</v>
      </c>
      <c r="J341" s="149"/>
      <c r="K341" s="27">
        <f>I341*AO341</f>
        <v>0</v>
      </c>
      <c r="L341" s="27">
        <f>I341*AP341</f>
        <v>0</v>
      </c>
      <c r="M341" s="27">
        <f>I341*J341</f>
        <v>0</v>
      </c>
      <c r="N341" s="56">
        <f>IF(M623=0,0,M341/M623)</f>
        <v>0</v>
      </c>
      <c r="O341" s="39" t="s">
        <v>1068</v>
      </c>
      <c r="P341" s="6"/>
      <c r="Z341" s="45">
        <f>IF(AQ341="5",BJ341,0)</f>
        <v>0</v>
      </c>
      <c r="AB341" s="45">
        <f>IF(AQ341="1",BH341,0)</f>
        <v>0</v>
      </c>
      <c r="AC341" s="45">
        <f>IF(AQ341="1",BI341,0)</f>
        <v>0</v>
      </c>
      <c r="AD341" s="45">
        <f>IF(AQ341="7",BH341,0)</f>
        <v>0</v>
      </c>
      <c r="AE341" s="45">
        <f>IF(AQ341="7",BI341,0)</f>
        <v>0</v>
      </c>
      <c r="AF341" s="45">
        <f>IF(AQ341="2",BH341,0)</f>
        <v>0</v>
      </c>
      <c r="AG341" s="45">
        <f>IF(AQ341="2",BI341,0)</f>
        <v>0</v>
      </c>
      <c r="AH341" s="45">
        <f>IF(AQ341="0",BJ341,0)</f>
        <v>0</v>
      </c>
      <c r="AI341" s="44" t="s">
        <v>305</v>
      </c>
      <c r="AJ341" s="27">
        <f>IF(AN341=0,M341,0)</f>
        <v>0</v>
      </c>
      <c r="AK341" s="27">
        <f>IF(AN341=15,M341,0)</f>
        <v>0</v>
      </c>
      <c r="AL341" s="27">
        <f>IF(AN341=21,M341,0)</f>
        <v>0</v>
      </c>
      <c r="AN341" s="45">
        <v>15</v>
      </c>
      <c r="AO341" s="45">
        <f>J341*0</f>
        <v>0</v>
      </c>
      <c r="AP341" s="45">
        <f>J341*(1-0)</f>
        <v>0</v>
      </c>
      <c r="AQ341" s="46" t="s">
        <v>11</v>
      </c>
      <c r="AV341" s="45">
        <f>AW341+AX341</f>
        <v>0</v>
      </c>
      <c r="AW341" s="45">
        <f>I341*AO341</f>
        <v>0</v>
      </c>
      <c r="AX341" s="45">
        <f>I341*AP341</f>
        <v>0</v>
      </c>
      <c r="AY341" s="48" t="s">
        <v>1097</v>
      </c>
      <c r="AZ341" s="48" t="s">
        <v>1125</v>
      </c>
      <c r="BA341" s="44" t="s">
        <v>1139</v>
      </c>
      <c r="BC341" s="45">
        <f>AW341+AX341</f>
        <v>0</v>
      </c>
      <c r="BD341" s="45">
        <f>J341/(100-BE341)*100</f>
        <v>0</v>
      </c>
      <c r="BE341" s="45">
        <v>0</v>
      </c>
      <c r="BF341" s="45">
        <f>341</f>
        <v>341</v>
      </c>
      <c r="BH341" s="27">
        <f>I341*AO341</f>
        <v>0</v>
      </c>
      <c r="BI341" s="27">
        <f>I341*AP341</f>
        <v>0</v>
      </c>
      <c r="BJ341" s="27">
        <f>I341*J341</f>
        <v>0</v>
      </c>
      <c r="BK341" s="27" t="s">
        <v>1146</v>
      </c>
      <c r="BL341" s="45">
        <v>762</v>
      </c>
    </row>
    <row r="342" spans="1:64" x14ac:dyDescent="0.2">
      <c r="A342" s="4"/>
      <c r="B342" s="15" t="s">
        <v>305</v>
      </c>
      <c r="C342" s="15" t="s">
        <v>473</v>
      </c>
      <c r="D342" s="237" t="s">
        <v>855</v>
      </c>
      <c r="E342" s="238"/>
      <c r="F342" s="238"/>
      <c r="G342" s="238"/>
      <c r="H342" s="24" t="s">
        <v>6</v>
      </c>
      <c r="I342" s="24" t="s">
        <v>6</v>
      </c>
      <c r="J342" s="24" t="s">
        <v>6</v>
      </c>
      <c r="K342" s="51">
        <f>SUM(K343:K357)</f>
        <v>0</v>
      </c>
      <c r="L342" s="51">
        <f>SUM(L343:L357)</f>
        <v>0</v>
      </c>
      <c r="M342" s="51">
        <f>SUM(M343:M357)</f>
        <v>0</v>
      </c>
      <c r="N342" s="55">
        <f>IF(M623=0,0,M342/M623)</f>
        <v>0</v>
      </c>
      <c r="O342" s="38"/>
      <c r="P342" s="6"/>
      <c r="AI342" s="44" t="s">
        <v>305</v>
      </c>
      <c r="AS342" s="51">
        <f>SUM(AJ343:AJ357)</f>
        <v>0</v>
      </c>
      <c r="AT342" s="51">
        <f>SUM(AK343:AK357)</f>
        <v>0</v>
      </c>
      <c r="AU342" s="51">
        <f>SUM(AL343:AL357)</f>
        <v>0</v>
      </c>
    </row>
    <row r="343" spans="1:64" x14ac:dyDescent="0.2">
      <c r="A343" s="5" t="s">
        <v>165</v>
      </c>
      <c r="B343" s="16" t="s">
        <v>305</v>
      </c>
      <c r="C343" s="16" t="s">
        <v>474</v>
      </c>
      <c r="D343" s="243" t="s">
        <v>856</v>
      </c>
      <c r="E343" s="244"/>
      <c r="F343" s="244"/>
      <c r="G343" s="244"/>
      <c r="H343" s="16" t="s">
        <v>1044</v>
      </c>
      <c r="I343" s="27">
        <v>64.67</v>
      </c>
      <c r="J343" s="149"/>
      <c r="K343" s="27">
        <f>I343*AO343</f>
        <v>0</v>
      </c>
      <c r="L343" s="27">
        <f>I343*AP343</f>
        <v>0</v>
      </c>
      <c r="M343" s="27">
        <f>I343*J343</f>
        <v>0</v>
      </c>
      <c r="N343" s="56">
        <f>IF(M623=0,0,M343/M623)</f>
        <v>0</v>
      </c>
      <c r="O343" s="39" t="s">
        <v>1068</v>
      </c>
      <c r="P343" s="6"/>
      <c r="Z343" s="45">
        <f>IF(AQ343="5",BJ343,0)</f>
        <v>0</v>
      </c>
      <c r="AB343" s="45">
        <f>IF(AQ343="1",BH343,0)</f>
        <v>0</v>
      </c>
      <c r="AC343" s="45">
        <f>IF(AQ343="1",BI343,0)</f>
        <v>0</v>
      </c>
      <c r="AD343" s="45">
        <f>IF(AQ343="7",BH343,0)</f>
        <v>0</v>
      </c>
      <c r="AE343" s="45">
        <f>IF(AQ343="7",BI343,0)</f>
        <v>0</v>
      </c>
      <c r="AF343" s="45">
        <f>IF(AQ343="2",BH343,0)</f>
        <v>0</v>
      </c>
      <c r="AG343" s="45">
        <f>IF(AQ343="2",BI343,0)</f>
        <v>0</v>
      </c>
      <c r="AH343" s="45">
        <f>IF(AQ343="0",BJ343,0)</f>
        <v>0</v>
      </c>
      <c r="AI343" s="44" t="s">
        <v>305</v>
      </c>
      <c r="AJ343" s="27">
        <f>IF(AN343=0,M343,0)</f>
        <v>0</v>
      </c>
      <c r="AK343" s="27">
        <f>IF(AN343=15,M343,0)</f>
        <v>0</v>
      </c>
      <c r="AL343" s="27">
        <f>IF(AN343=21,M343,0)</f>
        <v>0</v>
      </c>
      <c r="AN343" s="45">
        <v>15</v>
      </c>
      <c r="AO343" s="45">
        <f>J343*0.457546259050684</f>
        <v>0</v>
      </c>
      <c r="AP343" s="45">
        <f>J343*(1-0.457546259050684)</f>
        <v>0</v>
      </c>
      <c r="AQ343" s="46" t="s">
        <v>13</v>
      </c>
      <c r="AV343" s="45">
        <f>AW343+AX343</f>
        <v>0</v>
      </c>
      <c r="AW343" s="45">
        <f>I343*AO343</f>
        <v>0</v>
      </c>
      <c r="AX343" s="45">
        <f>I343*AP343</f>
        <v>0</v>
      </c>
      <c r="AY343" s="48" t="s">
        <v>1098</v>
      </c>
      <c r="AZ343" s="48" t="s">
        <v>1125</v>
      </c>
      <c r="BA343" s="44" t="s">
        <v>1139</v>
      </c>
      <c r="BC343" s="45">
        <f>AW343+AX343</f>
        <v>0</v>
      </c>
      <c r="BD343" s="45">
        <f>J343/(100-BE343)*100</f>
        <v>0</v>
      </c>
      <c r="BE343" s="45">
        <v>0</v>
      </c>
      <c r="BF343" s="45">
        <f>343</f>
        <v>343</v>
      </c>
      <c r="BH343" s="27">
        <f>I343*AO343</f>
        <v>0</v>
      </c>
      <c r="BI343" s="27">
        <f>I343*AP343</f>
        <v>0</v>
      </c>
      <c r="BJ343" s="27">
        <f>I343*J343</f>
        <v>0</v>
      </c>
      <c r="BK343" s="27" t="s">
        <v>1146</v>
      </c>
      <c r="BL343" s="45">
        <v>764</v>
      </c>
    </row>
    <row r="344" spans="1:64" x14ac:dyDescent="0.2">
      <c r="A344" s="6"/>
      <c r="D344" s="251" t="s">
        <v>857</v>
      </c>
      <c r="E344" s="252"/>
      <c r="F344" s="252"/>
      <c r="G344" s="252"/>
      <c r="H344" s="252"/>
      <c r="I344" s="252"/>
      <c r="J344" s="252"/>
      <c r="K344" s="252"/>
      <c r="L344" s="252"/>
      <c r="M344" s="252"/>
      <c r="N344" s="252"/>
      <c r="O344" s="253"/>
      <c r="P344" s="6"/>
    </row>
    <row r="345" spans="1:64" x14ac:dyDescent="0.2">
      <c r="A345" s="6"/>
      <c r="C345" s="21" t="s">
        <v>310</v>
      </c>
      <c r="D345" s="245" t="s">
        <v>790</v>
      </c>
      <c r="E345" s="246"/>
      <c r="F345" s="246"/>
      <c r="G345" s="246"/>
      <c r="H345" s="246"/>
      <c r="I345" s="246"/>
      <c r="J345" s="246"/>
      <c r="K345" s="246"/>
      <c r="L345" s="246"/>
      <c r="M345" s="246"/>
      <c r="N345" s="246"/>
      <c r="O345" s="247"/>
      <c r="P345" s="6"/>
    </row>
    <row r="346" spans="1:64" x14ac:dyDescent="0.2">
      <c r="A346" s="5" t="s">
        <v>166</v>
      </c>
      <c r="B346" s="16" t="s">
        <v>305</v>
      </c>
      <c r="C346" s="16" t="s">
        <v>475</v>
      </c>
      <c r="D346" s="243" t="s">
        <v>858</v>
      </c>
      <c r="E346" s="244"/>
      <c r="F346" s="244"/>
      <c r="G346" s="244"/>
      <c r="H346" s="16" t="s">
        <v>1044</v>
      </c>
      <c r="I346" s="27">
        <v>44.25</v>
      </c>
      <c r="J346" s="149"/>
      <c r="K346" s="27">
        <f>I346*AO346</f>
        <v>0</v>
      </c>
      <c r="L346" s="27">
        <f>I346*AP346</f>
        <v>0</v>
      </c>
      <c r="M346" s="27">
        <f>I346*J346</f>
        <v>0</v>
      </c>
      <c r="N346" s="56">
        <f>IF(M623=0,0,M346/M623)</f>
        <v>0</v>
      </c>
      <c r="O346" s="39" t="s">
        <v>1068</v>
      </c>
      <c r="P346" s="6"/>
      <c r="Z346" s="45">
        <f>IF(AQ346="5",BJ346,0)</f>
        <v>0</v>
      </c>
      <c r="AB346" s="45">
        <f>IF(AQ346="1",BH346,0)</f>
        <v>0</v>
      </c>
      <c r="AC346" s="45">
        <f>IF(AQ346="1",BI346,0)</f>
        <v>0</v>
      </c>
      <c r="AD346" s="45">
        <f>IF(AQ346="7",BH346,0)</f>
        <v>0</v>
      </c>
      <c r="AE346" s="45">
        <f>IF(AQ346="7",BI346,0)</f>
        <v>0</v>
      </c>
      <c r="AF346" s="45">
        <f>IF(AQ346="2",BH346,0)</f>
        <v>0</v>
      </c>
      <c r="AG346" s="45">
        <f>IF(AQ346="2",BI346,0)</f>
        <v>0</v>
      </c>
      <c r="AH346" s="45">
        <f>IF(AQ346="0",BJ346,0)</f>
        <v>0</v>
      </c>
      <c r="AI346" s="44" t="s">
        <v>305</v>
      </c>
      <c r="AJ346" s="27">
        <f>IF(AN346=0,M346,0)</f>
        <v>0</v>
      </c>
      <c r="AK346" s="27">
        <f>IF(AN346=15,M346,0)</f>
        <v>0</v>
      </c>
      <c r="AL346" s="27">
        <f>IF(AN346=21,M346,0)</f>
        <v>0</v>
      </c>
      <c r="AN346" s="45">
        <v>15</v>
      </c>
      <c r="AO346" s="45">
        <f>J346*0.27343701399689</f>
        <v>0</v>
      </c>
      <c r="AP346" s="45">
        <f>J346*(1-0.27343701399689)</f>
        <v>0</v>
      </c>
      <c r="AQ346" s="46" t="s">
        <v>13</v>
      </c>
      <c r="AV346" s="45">
        <f>AW346+AX346</f>
        <v>0</v>
      </c>
      <c r="AW346" s="45">
        <f>I346*AO346</f>
        <v>0</v>
      </c>
      <c r="AX346" s="45">
        <f>I346*AP346</f>
        <v>0</v>
      </c>
      <c r="AY346" s="48" t="s">
        <v>1098</v>
      </c>
      <c r="AZ346" s="48" t="s">
        <v>1125</v>
      </c>
      <c r="BA346" s="44" t="s">
        <v>1139</v>
      </c>
      <c r="BC346" s="45">
        <f>AW346+AX346</f>
        <v>0</v>
      </c>
      <c r="BD346" s="45">
        <f>J346/(100-BE346)*100</f>
        <v>0</v>
      </c>
      <c r="BE346" s="45">
        <v>0</v>
      </c>
      <c r="BF346" s="45">
        <f>346</f>
        <v>346</v>
      </c>
      <c r="BH346" s="27">
        <f>I346*AO346</f>
        <v>0</v>
      </c>
      <c r="BI346" s="27">
        <f>I346*AP346</f>
        <v>0</v>
      </c>
      <c r="BJ346" s="27">
        <f>I346*J346</f>
        <v>0</v>
      </c>
      <c r="BK346" s="27" t="s">
        <v>1146</v>
      </c>
      <c r="BL346" s="45">
        <v>764</v>
      </c>
    </row>
    <row r="347" spans="1:64" x14ac:dyDescent="0.2">
      <c r="A347" s="6"/>
      <c r="D347" s="251" t="s">
        <v>859</v>
      </c>
      <c r="E347" s="252"/>
      <c r="F347" s="252"/>
      <c r="G347" s="252"/>
      <c r="H347" s="252"/>
      <c r="I347" s="252"/>
      <c r="J347" s="252"/>
      <c r="K347" s="252"/>
      <c r="L347" s="252"/>
      <c r="M347" s="252"/>
      <c r="N347" s="252"/>
      <c r="O347" s="253"/>
      <c r="P347" s="6"/>
    </row>
    <row r="348" spans="1:64" x14ac:dyDescent="0.2">
      <c r="A348" s="6"/>
      <c r="C348" s="21" t="s">
        <v>310</v>
      </c>
      <c r="D348" s="245" t="s">
        <v>704</v>
      </c>
      <c r="E348" s="246"/>
      <c r="F348" s="246"/>
      <c r="G348" s="246"/>
      <c r="H348" s="246"/>
      <c r="I348" s="246"/>
      <c r="J348" s="246"/>
      <c r="K348" s="246"/>
      <c r="L348" s="246"/>
      <c r="M348" s="246"/>
      <c r="N348" s="246"/>
      <c r="O348" s="247"/>
      <c r="P348" s="6"/>
    </row>
    <row r="349" spans="1:64" x14ac:dyDescent="0.2">
      <c r="A349" s="5" t="s">
        <v>167</v>
      </c>
      <c r="B349" s="16" t="s">
        <v>305</v>
      </c>
      <c r="C349" s="16" t="s">
        <v>476</v>
      </c>
      <c r="D349" s="243" t="s">
        <v>860</v>
      </c>
      <c r="E349" s="244"/>
      <c r="F349" s="244"/>
      <c r="G349" s="244"/>
      <c r="H349" s="16" t="s">
        <v>1045</v>
      </c>
      <c r="I349" s="27">
        <v>4</v>
      </c>
      <c r="J349" s="149"/>
      <c r="K349" s="27">
        <f>I349*AO349</f>
        <v>0</v>
      </c>
      <c r="L349" s="27">
        <f>I349*AP349</f>
        <v>0</v>
      </c>
      <c r="M349" s="27">
        <f>I349*J349</f>
        <v>0</v>
      </c>
      <c r="N349" s="56">
        <f>IF(M623=0,0,M349/M623)</f>
        <v>0</v>
      </c>
      <c r="O349" s="39" t="s">
        <v>1068</v>
      </c>
      <c r="P349" s="6"/>
      <c r="Z349" s="45">
        <f>IF(AQ349="5",BJ349,0)</f>
        <v>0</v>
      </c>
      <c r="AB349" s="45">
        <f>IF(AQ349="1",BH349,0)</f>
        <v>0</v>
      </c>
      <c r="AC349" s="45">
        <f>IF(AQ349="1",BI349,0)</f>
        <v>0</v>
      </c>
      <c r="AD349" s="45">
        <f>IF(AQ349="7",BH349,0)</f>
        <v>0</v>
      </c>
      <c r="AE349" s="45">
        <f>IF(AQ349="7",BI349,0)</f>
        <v>0</v>
      </c>
      <c r="AF349" s="45">
        <f>IF(AQ349="2",BH349,0)</f>
        <v>0</v>
      </c>
      <c r="AG349" s="45">
        <f>IF(AQ349="2",BI349,0)</f>
        <v>0</v>
      </c>
      <c r="AH349" s="45">
        <f>IF(AQ349="0",BJ349,0)</f>
        <v>0</v>
      </c>
      <c r="AI349" s="44" t="s">
        <v>305</v>
      </c>
      <c r="AJ349" s="27">
        <f>IF(AN349=0,M349,0)</f>
        <v>0</v>
      </c>
      <c r="AK349" s="27">
        <f>IF(AN349=15,M349,0)</f>
        <v>0</v>
      </c>
      <c r="AL349" s="27">
        <f>IF(AN349=21,M349,0)</f>
        <v>0</v>
      </c>
      <c r="AN349" s="45">
        <v>15</v>
      </c>
      <c r="AO349" s="45">
        <f>J349*0.169699738903394</f>
        <v>0</v>
      </c>
      <c r="AP349" s="45">
        <f>J349*(1-0.169699738903394)</f>
        <v>0</v>
      </c>
      <c r="AQ349" s="46" t="s">
        <v>13</v>
      </c>
      <c r="AV349" s="45">
        <f>AW349+AX349</f>
        <v>0</v>
      </c>
      <c r="AW349" s="45">
        <f>I349*AO349</f>
        <v>0</v>
      </c>
      <c r="AX349" s="45">
        <f>I349*AP349</f>
        <v>0</v>
      </c>
      <c r="AY349" s="48" t="s">
        <v>1098</v>
      </c>
      <c r="AZ349" s="48" t="s">
        <v>1125</v>
      </c>
      <c r="BA349" s="44" t="s">
        <v>1139</v>
      </c>
      <c r="BC349" s="45">
        <f>AW349+AX349</f>
        <v>0</v>
      </c>
      <c r="BD349" s="45">
        <f>J349/(100-BE349)*100</f>
        <v>0</v>
      </c>
      <c r="BE349" s="45">
        <v>0</v>
      </c>
      <c r="BF349" s="45">
        <f>349</f>
        <v>349</v>
      </c>
      <c r="BH349" s="27">
        <f>I349*AO349</f>
        <v>0</v>
      </c>
      <c r="BI349" s="27">
        <f>I349*AP349</f>
        <v>0</v>
      </c>
      <c r="BJ349" s="27">
        <f>I349*J349</f>
        <v>0</v>
      </c>
      <c r="BK349" s="27" t="s">
        <v>1146</v>
      </c>
      <c r="BL349" s="45">
        <v>764</v>
      </c>
    </row>
    <row r="350" spans="1:64" x14ac:dyDescent="0.2">
      <c r="A350" s="6"/>
      <c r="C350" s="21" t="s">
        <v>310</v>
      </c>
      <c r="D350" s="245" t="s">
        <v>790</v>
      </c>
      <c r="E350" s="246"/>
      <c r="F350" s="246"/>
      <c r="G350" s="246"/>
      <c r="H350" s="246"/>
      <c r="I350" s="246"/>
      <c r="J350" s="246"/>
      <c r="K350" s="246"/>
      <c r="L350" s="246"/>
      <c r="M350" s="246"/>
      <c r="N350" s="246"/>
      <c r="O350" s="247"/>
      <c r="P350" s="6"/>
    </row>
    <row r="351" spans="1:64" x14ac:dyDescent="0.2">
      <c r="A351" s="5" t="s">
        <v>168</v>
      </c>
      <c r="B351" s="16" t="s">
        <v>305</v>
      </c>
      <c r="C351" s="16" t="s">
        <v>477</v>
      </c>
      <c r="D351" s="243" t="s">
        <v>861</v>
      </c>
      <c r="E351" s="244"/>
      <c r="F351" s="244"/>
      <c r="G351" s="244"/>
      <c r="H351" s="16" t="s">
        <v>1044</v>
      </c>
      <c r="I351" s="27">
        <v>22.24</v>
      </c>
      <c r="J351" s="149"/>
      <c r="K351" s="27">
        <f>I351*AO351</f>
        <v>0</v>
      </c>
      <c r="L351" s="27">
        <f>I351*AP351</f>
        <v>0</v>
      </c>
      <c r="M351" s="27">
        <f>I351*J351</f>
        <v>0</v>
      </c>
      <c r="N351" s="56">
        <f>IF(M623=0,0,M351/M623)</f>
        <v>0</v>
      </c>
      <c r="O351" s="39" t="s">
        <v>1068</v>
      </c>
      <c r="P351" s="6"/>
      <c r="Z351" s="45">
        <f>IF(AQ351="5",BJ351,0)</f>
        <v>0</v>
      </c>
      <c r="AB351" s="45">
        <f>IF(AQ351="1",BH351,0)</f>
        <v>0</v>
      </c>
      <c r="AC351" s="45">
        <f>IF(AQ351="1",BI351,0)</f>
        <v>0</v>
      </c>
      <c r="AD351" s="45">
        <f>IF(AQ351="7",BH351,0)</f>
        <v>0</v>
      </c>
      <c r="AE351" s="45">
        <f>IF(AQ351="7",BI351,0)</f>
        <v>0</v>
      </c>
      <c r="AF351" s="45">
        <f>IF(AQ351="2",BH351,0)</f>
        <v>0</v>
      </c>
      <c r="AG351" s="45">
        <f>IF(AQ351="2",BI351,0)</f>
        <v>0</v>
      </c>
      <c r="AH351" s="45">
        <f>IF(AQ351="0",BJ351,0)</f>
        <v>0</v>
      </c>
      <c r="AI351" s="44" t="s">
        <v>305</v>
      </c>
      <c r="AJ351" s="27">
        <f>IF(AN351=0,M351,0)</f>
        <v>0</v>
      </c>
      <c r="AK351" s="27">
        <f>IF(AN351=15,M351,0)</f>
        <v>0</v>
      </c>
      <c r="AL351" s="27">
        <f>IF(AN351=21,M351,0)</f>
        <v>0</v>
      </c>
      <c r="AN351" s="45">
        <v>15</v>
      </c>
      <c r="AO351" s="45">
        <f>J351*0.367514231499051</f>
        <v>0</v>
      </c>
      <c r="AP351" s="45">
        <f>J351*(1-0.367514231499051)</f>
        <v>0</v>
      </c>
      <c r="AQ351" s="46" t="s">
        <v>13</v>
      </c>
      <c r="AV351" s="45">
        <f>AW351+AX351</f>
        <v>0</v>
      </c>
      <c r="AW351" s="45">
        <f>I351*AO351</f>
        <v>0</v>
      </c>
      <c r="AX351" s="45">
        <f>I351*AP351</f>
        <v>0</v>
      </c>
      <c r="AY351" s="48" t="s">
        <v>1098</v>
      </c>
      <c r="AZ351" s="48" t="s">
        <v>1125</v>
      </c>
      <c r="BA351" s="44" t="s">
        <v>1139</v>
      </c>
      <c r="BC351" s="45">
        <f>AW351+AX351</f>
        <v>0</v>
      </c>
      <c r="BD351" s="45">
        <f>J351/(100-BE351)*100</f>
        <v>0</v>
      </c>
      <c r="BE351" s="45">
        <v>0</v>
      </c>
      <c r="BF351" s="45">
        <f>351</f>
        <v>351</v>
      </c>
      <c r="BH351" s="27">
        <f>I351*AO351</f>
        <v>0</v>
      </c>
      <c r="BI351" s="27">
        <f>I351*AP351</f>
        <v>0</v>
      </c>
      <c r="BJ351" s="27">
        <f>I351*J351</f>
        <v>0</v>
      </c>
      <c r="BK351" s="27" t="s">
        <v>1146</v>
      </c>
      <c r="BL351" s="45">
        <v>764</v>
      </c>
    </row>
    <row r="352" spans="1:64" x14ac:dyDescent="0.2">
      <c r="A352" s="6"/>
      <c r="C352" s="21" t="s">
        <v>310</v>
      </c>
      <c r="D352" s="245" t="s">
        <v>862</v>
      </c>
      <c r="E352" s="246"/>
      <c r="F352" s="246"/>
      <c r="G352" s="246"/>
      <c r="H352" s="246"/>
      <c r="I352" s="246"/>
      <c r="J352" s="246"/>
      <c r="K352" s="246"/>
      <c r="L352" s="246"/>
      <c r="M352" s="246"/>
      <c r="N352" s="246"/>
      <c r="O352" s="247"/>
      <c r="P352" s="6"/>
    </row>
    <row r="353" spans="1:64" x14ac:dyDescent="0.2">
      <c r="A353" s="5" t="s">
        <v>169</v>
      </c>
      <c r="B353" s="16" t="s">
        <v>305</v>
      </c>
      <c r="C353" s="16" t="s">
        <v>478</v>
      </c>
      <c r="D353" s="243" t="s">
        <v>863</v>
      </c>
      <c r="E353" s="244"/>
      <c r="F353" s="244"/>
      <c r="G353" s="244"/>
      <c r="H353" s="16" t="s">
        <v>1044</v>
      </c>
      <c r="I353" s="27">
        <v>7.61</v>
      </c>
      <c r="J353" s="149"/>
      <c r="K353" s="27">
        <f>I353*AO353</f>
        <v>0</v>
      </c>
      <c r="L353" s="27">
        <f>I353*AP353</f>
        <v>0</v>
      </c>
      <c r="M353" s="27">
        <f>I353*J353</f>
        <v>0</v>
      </c>
      <c r="N353" s="56">
        <f>IF(M623=0,0,M353/M623)</f>
        <v>0</v>
      </c>
      <c r="O353" s="39" t="s">
        <v>1068</v>
      </c>
      <c r="P353" s="6"/>
      <c r="Z353" s="45">
        <f>IF(AQ353="5",BJ353,0)</f>
        <v>0</v>
      </c>
      <c r="AB353" s="45">
        <f>IF(AQ353="1",BH353,0)</f>
        <v>0</v>
      </c>
      <c r="AC353" s="45">
        <f>IF(AQ353="1",BI353,0)</f>
        <v>0</v>
      </c>
      <c r="AD353" s="45">
        <f>IF(AQ353="7",BH353,0)</f>
        <v>0</v>
      </c>
      <c r="AE353" s="45">
        <f>IF(AQ353="7",BI353,0)</f>
        <v>0</v>
      </c>
      <c r="AF353" s="45">
        <f>IF(AQ353="2",BH353,0)</f>
        <v>0</v>
      </c>
      <c r="AG353" s="45">
        <f>IF(AQ353="2",BI353,0)</f>
        <v>0</v>
      </c>
      <c r="AH353" s="45">
        <f>IF(AQ353="0",BJ353,0)</f>
        <v>0</v>
      </c>
      <c r="AI353" s="44" t="s">
        <v>305</v>
      </c>
      <c r="AJ353" s="27">
        <f>IF(AN353=0,M353,0)</f>
        <v>0</v>
      </c>
      <c r="AK353" s="27">
        <f>IF(AN353=15,M353,0)</f>
        <v>0</v>
      </c>
      <c r="AL353" s="27">
        <f>IF(AN353=21,M353,0)</f>
        <v>0</v>
      </c>
      <c r="AN353" s="45">
        <v>15</v>
      </c>
      <c r="AO353" s="45">
        <f>J353*0.398880077707201</f>
        <v>0</v>
      </c>
      <c r="AP353" s="45">
        <f>J353*(1-0.398880077707201)</f>
        <v>0</v>
      </c>
      <c r="AQ353" s="46" t="s">
        <v>13</v>
      </c>
      <c r="AV353" s="45">
        <f>AW353+AX353</f>
        <v>0</v>
      </c>
      <c r="AW353" s="45">
        <f>I353*AO353</f>
        <v>0</v>
      </c>
      <c r="AX353" s="45">
        <f>I353*AP353</f>
        <v>0</v>
      </c>
      <c r="AY353" s="48" t="s">
        <v>1098</v>
      </c>
      <c r="AZ353" s="48" t="s">
        <v>1125</v>
      </c>
      <c r="BA353" s="44" t="s">
        <v>1139</v>
      </c>
      <c r="BC353" s="45">
        <f>AW353+AX353</f>
        <v>0</v>
      </c>
      <c r="BD353" s="45">
        <f>J353/(100-BE353)*100</f>
        <v>0</v>
      </c>
      <c r="BE353" s="45">
        <v>0</v>
      </c>
      <c r="BF353" s="45">
        <f>353</f>
        <v>353</v>
      </c>
      <c r="BH353" s="27">
        <f>I353*AO353</f>
        <v>0</v>
      </c>
      <c r="BI353" s="27">
        <f>I353*AP353</f>
        <v>0</v>
      </c>
      <c r="BJ353" s="27">
        <f>I353*J353</f>
        <v>0</v>
      </c>
      <c r="BK353" s="27" t="s">
        <v>1146</v>
      </c>
      <c r="BL353" s="45">
        <v>764</v>
      </c>
    </row>
    <row r="354" spans="1:64" x14ac:dyDescent="0.2">
      <c r="A354" s="6"/>
      <c r="C354" s="21" t="s">
        <v>310</v>
      </c>
      <c r="D354" s="245" t="s">
        <v>748</v>
      </c>
      <c r="E354" s="246"/>
      <c r="F354" s="246"/>
      <c r="G354" s="246"/>
      <c r="H354" s="246"/>
      <c r="I354" s="246"/>
      <c r="J354" s="246"/>
      <c r="K354" s="246"/>
      <c r="L354" s="246"/>
      <c r="M354" s="246"/>
      <c r="N354" s="246"/>
      <c r="O354" s="247"/>
      <c r="P354" s="6"/>
    </row>
    <row r="355" spans="1:64" x14ac:dyDescent="0.2">
      <c r="A355" s="5" t="s">
        <v>170</v>
      </c>
      <c r="B355" s="16" t="s">
        <v>305</v>
      </c>
      <c r="C355" s="16" t="s">
        <v>479</v>
      </c>
      <c r="D355" s="243" t="s">
        <v>864</v>
      </c>
      <c r="E355" s="244"/>
      <c r="F355" s="244"/>
      <c r="G355" s="244"/>
      <c r="H355" s="16" t="s">
        <v>1044</v>
      </c>
      <c r="I355" s="27">
        <v>15.22</v>
      </c>
      <c r="J355" s="149"/>
      <c r="K355" s="27">
        <f>I355*AO355</f>
        <v>0</v>
      </c>
      <c r="L355" s="27">
        <f>I355*AP355</f>
        <v>0</v>
      </c>
      <c r="M355" s="27">
        <f>I355*J355</f>
        <v>0</v>
      </c>
      <c r="N355" s="56">
        <f>IF(M623=0,0,M355/M623)</f>
        <v>0</v>
      </c>
      <c r="O355" s="39" t="s">
        <v>1068</v>
      </c>
      <c r="P355" s="6"/>
      <c r="Z355" s="45">
        <f>IF(AQ355="5",BJ355,0)</f>
        <v>0</v>
      </c>
      <c r="AB355" s="45">
        <f>IF(AQ355="1",BH355,0)</f>
        <v>0</v>
      </c>
      <c r="AC355" s="45">
        <f>IF(AQ355="1",BI355,0)</f>
        <v>0</v>
      </c>
      <c r="AD355" s="45">
        <f>IF(AQ355="7",BH355,0)</f>
        <v>0</v>
      </c>
      <c r="AE355" s="45">
        <f>IF(AQ355="7",BI355,0)</f>
        <v>0</v>
      </c>
      <c r="AF355" s="45">
        <f>IF(AQ355="2",BH355,0)</f>
        <v>0</v>
      </c>
      <c r="AG355" s="45">
        <f>IF(AQ355="2",BI355,0)</f>
        <v>0</v>
      </c>
      <c r="AH355" s="45">
        <f>IF(AQ355="0",BJ355,0)</f>
        <v>0</v>
      </c>
      <c r="AI355" s="44" t="s">
        <v>305</v>
      </c>
      <c r="AJ355" s="27">
        <f>IF(AN355=0,M355,0)</f>
        <v>0</v>
      </c>
      <c r="AK355" s="27">
        <f>IF(AN355=15,M355,0)</f>
        <v>0</v>
      </c>
      <c r="AL355" s="27">
        <f>IF(AN355=21,M355,0)</f>
        <v>0</v>
      </c>
      <c r="AN355" s="45">
        <v>15</v>
      </c>
      <c r="AO355" s="45">
        <f>J355*0.416455059686618</f>
        <v>0</v>
      </c>
      <c r="AP355" s="45">
        <f>J355*(1-0.416455059686618)</f>
        <v>0</v>
      </c>
      <c r="AQ355" s="46" t="s">
        <v>13</v>
      </c>
      <c r="AV355" s="45">
        <f>AW355+AX355</f>
        <v>0</v>
      </c>
      <c r="AW355" s="45">
        <f>I355*AO355</f>
        <v>0</v>
      </c>
      <c r="AX355" s="45">
        <f>I355*AP355</f>
        <v>0</v>
      </c>
      <c r="AY355" s="48" t="s">
        <v>1098</v>
      </c>
      <c r="AZ355" s="48" t="s">
        <v>1125</v>
      </c>
      <c r="BA355" s="44" t="s">
        <v>1139</v>
      </c>
      <c r="BC355" s="45">
        <f>AW355+AX355</f>
        <v>0</v>
      </c>
      <c r="BD355" s="45">
        <f>J355/(100-BE355)*100</f>
        <v>0</v>
      </c>
      <c r="BE355" s="45">
        <v>0</v>
      </c>
      <c r="BF355" s="45">
        <f>355</f>
        <v>355</v>
      </c>
      <c r="BH355" s="27">
        <f>I355*AO355</f>
        <v>0</v>
      </c>
      <c r="BI355" s="27">
        <f>I355*AP355</f>
        <v>0</v>
      </c>
      <c r="BJ355" s="27">
        <f>I355*J355</f>
        <v>0</v>
      </c>
      <c r="BK355" s="27" t="s">
        <v>1146</v>
      </c>
      <c r="BL355" s="45">
        <v>764</v>
      </c>
    </row>
    <row r="356" spans="1:64" x14ac:dyDescent="0.2">
      <c r="A356" s="6"/>
      <c r="C356" s="21" t="s">
        <v>310</v>
      </c>
      <c r="D356" s="245" t="s">
        <v>748</v>
      </c>
      <c r="E356" s="246"/>
      <c r="F356" s="246"/>
      <c r="G356" s="246"/>
      <c r="H356" s="246"/>
      <c r="I356" s="246"/>
      <c r="J356" s="246"/>
      <c r="K356" s="246"/>
      <c r="L356" s="246"/>
      <c r="M356" s="246"/>
      <c r="N356" s="246"/>
      <c r="O356" s="247"/>
      <c r="P356" s="6"/>
    </row>
    <row r="357" spans="1:64" x14ac:dyDescent="0.2">
      <c r="A357" s="5" t="s">
        <v>171</v>
      </c>
      <c r="B357" s="16" t="s">
        <v>305</v>
      </c>
      <c r="C357" s="16" t="s">
        <v>480</v>
      </c>
      <c r="D357" s="243" t="s">
        <v>865</v>
      </c>
      <c r="E357" s="244"/>
      <c r="F357" s="244"/>
      <c r="G357" s="244"/>
      <c r="H357" s="16" t="s">
        <v>1043</v>
      </c>
      <c r="I357" s="27">
        <v>4.22</v>
      </c>
      <c r="J357" s="149"/>
      <c r="K357" s="27">
        <f>I357*AO357</f>
        <v>0</v>
      </c>
      <c r="L357" s="27">
        <f>I357*AP357</f>
        <v>0</v>
      </c>
      <c r="M357" s="27">
        <f>I357*J357</f>
        <v>0</v>
      </c>
      <c r="N357" s="56">
        <f>IF(M623=0,0,M357/M623)</f>
        <v>0</v>
      </c>
      <c r="O357" s="39" t="s">
        <v>1068</v>
      </c>
      <c r="P357" s="6"/>
      <c r="Z357" s="45">
        <f>IF(AQ357="5",BJ357,0)</f>
        <v>0</v>
      </c>
      <c r="AB357" s="45">
        <f>IF(AQ357="1",BH357,0)</f>
        <v>0</v>
      </c>
      <c r="AC357" s="45">
        <f>IF(AQ357="1",BI357,0)</f>
        <v>0</v>
      </c>
      <c r="AD357" s="45">
        <f>IF(AQ357="7",BH357,0)</f>
        <v>0</v>
      </c>
      <c r="AE357" s="45">
        <f>IF(AQ357="7",BI357,0)</f>
        <v>0</v>
      </c>
      <c r="AF357" s="45">
        <f>IF(AQ357="2",BH357,0)</f>
        <v>0</v>
      </c>
      <c r="AG357" s="45">
        <f>IF(AQ357="2",BI357,0)</f>
        <v>0</v>
      </c>
      <c r="AH357" s="45">
        <f>IF(AQ357="0",BJ357,0)</f>
        <v>0</v>
      </c>
      <c r="AI357" s="44" t="s">
        <v>305</v>
      </c>
      <c r="AJ357" s="27">
        <f>IF(AN357=0,M357,0)</f>
        <v>0</v>
      </c>
      <c r="AK357" s="27">
        <f>IF(AN357=15,M357,0)</f>
        <v>0</v>
      </c>
      <c r="AL357" s="27">
        <f>IF(AN357=21,M357,0)</f>
        <v>0</v>
      </c>
      <c r="AN357" s="45">
        <v>15</v>
      </c>
      <c r="AO357" s="45">
        <f>J357*0</f>
        <v>0</v>
      </c>
      <c r="AP357" s="45">
        <f>J357*(1-0)</f>
        <v>0</v>
      </c>
      <c r="AQ357" s="46" t="s">
        <v>11</v>
      </c>
      <c r="AV357" s="45">
        <f>AW357+AX357</f>
        <v>0</v>
      </c>
      <c r="AW357" s="45">
        <f>I357*AO357</f>
        <v>0</v>
      </c>
      <c r="AX357" s="45">
        <f>I357*AP357</f>
        <v>0</v>
      </c>
      <c r="AY357" s="48" t="s">
        <v>1098</v>
      </c>
      <c r="AZ357" s="48" t="s">
        <v>1125</v>
      </c>
      <c r="BA357" s="44" t="s">
        <v>1139</v>
      </c>
      <c r="BC357" s="45">
        <f>AW357+AX357</f>
        <v>0</v>
      </c>
      <c r="BD357" s="45">
        <f>J357/(100-BE357)*100</f>
        <v>0</v>
      </c>
      <c r="BE357" s="45">
        <v>0</v>
      </c>
      <c r="BF357" s="45">
        <f>357</f>
        <v>357</v>
      </c>
      <c r="BH357" s="27">
        <f>I357*AO357</f>
        <v>0</v>
      </c>
      <c r="BI357" s="27">
        <f>I357*AP357</f>
        <v>0</v>
      </c>
      <c r="BJ357" s="27">
        <f>I357*J357</f>
        <v>0</v>
      </c>
      <c r="BK357" s="27" t="s">
        <v>1146</v>
      </c>
      <c r="BL357" s="45">
        <v>764</v>
      </c>
    </row>
    <row r="358" spans="1:64" x14ac:dyDescent="0.2">
      <c r="A358" s="4"/>
      <c r="B358" s="15" t="s">
        <v>305</v>
      </c>
      <c r="C358" s="15" t="s">
        <v>481</v>
      </c>
      <c r="D358" s="237" t="s">
        <v>866</v>
      </c>
      <c r="E358" s="238"/>
      <c r="F358" s="238"/>
      <c r="G358" s="238"/>
      <c r="H358" s="24" t="s">
        <v>6</v>
      </c>
      <c r="I358" s="24" t="s">
        <v>6</v>
      </c>
      <c r="J358" s="24" t="s">
        <v>6</v>
      </c>
      <c r="K358" s="51">
        <f>SUM(K359:K405)</f>
        <v>0</v>
      </c>
      <c r="L358" s="51">
        <f>SUM(L359:L405)</f>
        <v>0</v>
      </c>
      <c r="M358" s="51">
        <f>SUM(M359:M405)</f>
        <v>0</v>
      </c>
      <c r="N358" s="55">
        <f>IF(M623=0,0,M358/M623)</f>
        <v>0</v>
      </c>
      <c r="O358" s="38"/>
      <c r="P358" s="6"/>
      <c r="AI358" s="44" t="s">
        <v>305</v>
      </c>
      <c r="AS358" s="51">
        <f>SUM(AJ359:AJ405)</f>
        <v>0</v>
      </c>
      <c r="AT358" s="51">
        <f>SUM(AK359:AK405)</f>
        <v>0</v>
      </c>
      <c r="AU358" s="51">
        <f>SUM(AL359:AL405)</f>
        <v>0</v>
      </c>
    </row>
    <row r="359" spans="1:64" x14ac:dyDescent="0.2">
      <c r="A359" s="5" t="s">
        <v>172</v>
      </c>
      <c r="B359" s="16" t="s">
        <v>305</v>
      </c>
      <c r="C359" s="16" t="s">
        <v>482</v>
      </c>
      <c r="D359" s="243" t="s">
        <v>867</v>
      </c>
      <c r="E359" s="244"/>
      <c r="F359" s="244"/>
      <c r="G359" s="244"/>
      <c r="H359" s="16" t="s">
        <v>1042</v>
      </c>
      <c r="I359" s="27">
        <v>16.93</v>
      </c>
      <c r="J359" s="149"/>
      <c r="K359" s="27">
        <f>I359*AO359</f>
        <v>0</v>
      </c>
      <c r="L359" s="27">
        <f>I359*AP359</f>
        <v>0</v>
      </c>
      <c r="M359" s="27">
        <f>I359*J359</f>
        <v>0</v>
      </c>
      <c r="N359" s="56">
        <f>IF(M623=0,0,M359/M623)</f>
        <v>0</v>
      </c>
      <c r="O359" s="39" t="s">
        <v>1068</v>
      </c>
      <c r="P359" s="6"/>
      <c r="Z359" s="45">
        <f>IF(AQ359="5",BJ359,0)</f>
        <v>0</v>
      </c>
      <c r="AB359" s="45">
        <f>IF(AQ359="1",BH359,0)</f>
        <v>0</v>
      </c>
      <c r="AC359" s="45">
        <f>IF(AQ359="1",BI359,0)</f>
        <v>0</v>
      </c>
      <c r="AD359" s="45">
        <f>IF(AQ359="7",BH359,0)</f>
        <v>0</v>
      </c>
      <c r="AE359" s="45">
        <f>IF(AQ359="7",BI359,0)</f>
        <v>0</v>
      </c>
      <c r="AF359" s="45">
        <f>IF(AQ359="2",BH359,0)</f>
        <v>0</v>
      </c>
      <c r="AG359" s="45">
        <f>IF(AQ359="2",BI359,0)</f>
        <v>0</v>
      </c>
      <c r="AH359" s="45">
        <f>IF(AQ359="0",BJ359,0)</f>
        <v>0</v>
      </c>
      <c r="AI359" s="44" t="s">
        <v>305</v>
      </c>
      <c r="AJ359" s="27">
        <f>IF(AN359=0,M359,0)</f>
        <v>0</v>
      </c>
      <c r="AK359" s="27">
        <f>IF(AN359=15,M359,0)</f>
        <v>0</v>
      </c>
      <c r="AL359" s="27">
        <f>IF(AN359=21,M359,0)</f>
        <v>0</v>
      </c>
      <c r="AN359" s="45">
        <v>15</v>
      </c>
      <c r="AO359" s="45">
        <f>J359*0.436870199909009</f>
        <v>0</v>
      </c>
      <c r="AP359" s="45">
        <f>J359*(1-0.436870199909009)</f>
        <v>0</v>
      </c>
      <c r="AQ359" s="46" t="s">
        <v>13</v>
      </c>
      <c r="AV359" s="45">
        <f>AW359+AX359</f>
        <v>0</v>
      </c>
      <c r="AW359" s="45">
        <f>I359*AO359</f>
        <v>0</v>
      </c>
      <c r="AX359" s="45">
        <f>I359*AP359</f>
        <v>0</v>
      </c>
      <c r="AY359" s="48" t="s">
        <v>1099</v>
      </c>
      <c r="AZ359" s="48" t="s">
        <v>1125</v>
      </c>
      <c r="BA359" s="44" t="s">
        <v>1139</v>
      </c>
      <c r="BC359" s="45">
        <f>AW359+AX359</f>
        <v>0</v>
      </c>
      <c r="BD359" s="45">
        <f>J359/(100-BE359)*100</f>
        <v>0</v>
      </c>
      <c r="BE359" s="45">
        <v>0</v>
      </c>
      <c r="BF359" s="45">
        <f>359</f>
        <v>359</v>
      </c>
      <c r="BH359" s="27">
        <f>I359*AO359</f>
        <v>0</v>
      </c>
      <c r="BI359" s="27">
        <f>I359*AP359</f>
        <v>0</v>
      </c>
      <c r="BJ359" s="27">
        <f>I359*J359</f>
        <v>0</v>
      </c>
      <c r="BK359" s="27" t="s">
        <v>1146</v>
      </c>
      <c r="BL359" s="45">
        <v>766</v>
      </c>
    </row>
    <row r="360" spans="1:64" x14ac:dyDescent="0.2">
      <c r="A360" s="6"/>
      <c r="D360" s="251" t="s">
        <v>868</v>
      </c>
      <c r="E360" s="252"/>
      <c r="F360" s="252"/>
      <c r="G360" s="252"/>
      <c r="H360" s="252"/>
      <c r="I360" s="252"/>
      <c r="J360" s="252"/>
      <c r="K360" s="252"/>
      <c r="L360" s="252"/>
      <c r="M360" s="252"/>
      <c r="N360" s="252"/>
      <c r="O360" s="253"/>
      <c r="P360" s="6"/>
    </row>
    <row r="361" spans="1:64" x14ac:dyDescent="0.2">
      <c r="A361" s="6"/>
      <c r="C361" s="21" t="s">
        <v>310</v>
      </c>
      <c r="D361" s="245" t="s">
        <v>753</v>
      </c>
      <c r="E361" s="246"/>
      <c r="F361" s="246"/>
      <c r="G361" s="246"/>
      <c r="H361" s="246"/>
      <c r="I361" s="246"/>
      <c r="J361" s="246"/>
      <c r="K361" s="246"/>
      <c r="L361" s="246"/>
      <c r="M361" s="246"/>
      <c r="N361" s="246"/>
      <c r="O361" s="247"/>
      <c r="P361" s="6"/>
    </row>
    <row r="362" spans="1:64" x14ac:dyDescent="0.2">
      <c r="A362" s="5" t="s">
        <v>173</v>
      </c>
      <c r="B362" s="16" t="s">
        <v>305</v>
      </c>
      <c r="C362" s="16" t="s">
        <v>483</v>
      </c>
      <c r="D362" s="243" t="s">
        <v>869</v>
      </c>
      <c r="E362" s="244"/>
      <c r="F362" s="244"/>
      <c r="G362" s="244"/>
      <c r="H362" s="16" t="s">
        <v>1042</v>
      </c>
      <c r="I362" s="27">
        <v>4.63</v>
      </c>
      <c r="J362" s="149"/>
      <c r="K362" s="27">
        <f>I362*AO362</f>
        <v>0</v>
      </c>
      <c r="L362" s="27">
        <f>I362*AP362</f>
        <v>0</v>
      </c>
      <c r="M362" s="27">
        <f>I362*J362</f>
        <v>0</v>
      </c>
      <c r="N362" s="56">
        <f>IF(M623=0,0,M362/M623)</f>
        <v>0</v>
      </c>
      <c r="O362" s="39" t="s">
        <v>1068</v>
      </c>
      <c r="P362" s="6"/>
      <c r="Z362" s="45">
        <f>IF(AQ362="5",BJ362,0)</f>
        <v>0</v>
      </c>
      <c r="AB362" s="45">
        <f>IF(AQ362="1",BH362,0)</f>
        <v>0</v>
      </c>
      <c r="AC362" s="45">
        <f>IF(AQ362="1",BI362,0)</f>
        <v>0</v>
      </c>
      <c r="AD362" s="45">
        <f>IF(AQ362="7",BH362,0)</f>
        <v>0</v>
      </c>
      <c r="AE362" s="45">
        <f>IF(AQ362="7",BI362,0)</f>
        <v>0</v>
      </c>
      <c r="AF362" s="45">
        <f>IF(AQ362="2",BH362,0)</f>
        <v>0</v>
      </c>
      <c r="AG362" s="45">
        <f>IF(AQ362="2",BI362,0)</f>
        <v>0</v>
      </c>
      <c r="AH362" s="45">
        <f>IF(AQ362="0",BJ362,0)</f>
        <v>0</v>
      </c>
      <c r="AI362" s="44" t="s">
        <v>305</v>
      </c>
      <c r="AJ362" s="27">
        <f>IF(AN362=0,M362,0)</f>
        <v>0</v>
      </c>
      <c r="AK362" s="27">
        <f>IF(AN362=15,M362,0)</f>
        <v>0</v>
      </c>
      <c r="AL362" s="27">
        <f>IF(AN362=21,M362,0)</f>
        <v>0</v>
      </c>
      <c r="AN362" s="45">
        <v>15</v>
      </c>
      <c r="AO362" s="45">
        <f>J362*0.431020746018026</f>
        <v>0</v>
      </c>
      <c r="AP362" s="45">
        <f>J362*(1-0.431020746018026)</f>
        <v>0</v>
      </c>
      <c r="AQ362" s="46" t="s">
        <v>13</v>
      </c>
      <c r="AV362" s="45">
        <f>AW362+AX362</f>
        <v>0</v>
      </c>
      <c r="AW362" s="45">
        <f>I362*AO362</f>
        <v>0</v>
      </c>
      <c r="AX362" s="45">
        <f>I362*AP362</f>
        <v>0</v>
      </c>
      <c r="AY362" s="48" t="s">
        <v>1099</v>
      </c>
      <c r="AZ362" s="48" t="s">
        <v>1125</v>
      </c>
      <c r="BA362" s="44" t="s">
        <v>1139</v>
      </c>
      <c r="BC362" s="45">
        <f>AW362+AX362</f>
        <v>0</v>
      </c>
      <c r="BD362" s="45">
        <f>J362/(100-BE362)*100</f>
        <v>0</v>
      </c>
      <c r="BE362" s="45">
        <v>0</v>
      </c>
      <c r="BF362" s="45">
        <f>362</f>
        <v>362</v>
      </c>
      <c r="BH362" s="27">
        <f>I362*AO362</f>
        <v>0</v>
      </c>
      <c r="BI362" s="27">
        <f>I362*AP362</f>
        <v>0</v>
      </c>
      <c r="BJ362" s="27">
        <f>I362*J362</f>
        <v>0</v>
      </c>
      <c r="BK362" s="27" t="s">
        <v>1146</v>
      </c>
      <c r="BL362" s="45">
        <v>766</v>
      </c>
    </row>
    <row r="363" spans="1:64" x14ac:dyDescent="0.2">
      <c r="A363" s="6"/>
      <c r="D363" s="251" t="s">
        <v>868</v>
      </c>
      <c r="E363" s="252"/>
      <c r="F363" s="252"/>
      <c r="G363" s="252"/>
      <c r="H363" s="252"/>
      <c r="I363" s="252"/>
      <c r="J363" s="252"/>
      <c r="K363" s="252"/>
      <c r="L363" s="252"/>
      <c r="M363" s="252"/>
      <c r="N363" s="252"/>
      <c r="O363" s="253"/>
      <c r="P363" s="6"/>
    </row>
    <row r="364" spans="1:64" x14ac:dyDescent="0.2">
      <c r="A364" s="6"/>
      <c r="C364" s="21" t="s">
        <v>310</v>
      </c>
      <c r="D364" s="245" t="s">
        <v>753</v>
      </c>
      <c r="E364" s="246"/>
      <c r="F364" s="246"/>
      <c r="G364" s="246"/>
      <c r="H364" s="246"/>
      <c r="I364" s="246"/>
      <c r="J364" s="246"/>
      <c r="K364" s="246"/>
      <c r="L364" s="246"/>
      <c r="M364" s="246"/>
      <c r="N364" s="246"/>
      <c r="O364" s="247"/>
      <c r="P364" s="6"/>
    </row>
    <row r="365" spans="1:64" x14ac:dyDescent="0.2">
      <c r="A365" s="5" t="s">
        <v>174</v>
      </c>
      <c r="B365" s="16" t="s">
        <v>305</v>
      </c>
      <c r="C365" s="16" t="s">
        <v>484</v>
      </c>
      <c r="D365" s="243" t="s">
        <v>870</v>
      </c>
      <c r="E365" s="244"/>
      <c r="F365" s="244"/>
      <c r="G365" s="244"/>
      <c r="H365" s="16" t="s">
        <v>1045</v>
      </c>
      <c r="I365" s="27">
        <v>3</v>
      </c>
      <c r="J365" s="149"/>
      <c r="K365" s="27">
        <f>I365*AO365</f>
        <v>0</v>
      </c>
      <c r="L365" s="27">
        <f>I365*AP365</f>
        <v>0</v>
      </c>
      <c r="M365" s="27">
        <f>I365*J365</f>
        <v>0</v>
      </c>
      <c r="N365" s="56">
        <f>IF(M623=0,0,M365/M623)</f>
        <v>0</v>
      </c>
      <c r="O365" s="39" t="s">
        <v>1068</v>
      </c>
      <c r="P365" s="6"/>
      <c r="Z365" s="45">
        <f>IF(AQ365="5",BJ365,0)</f>
        <v>0</v>
      </c>
      <c r="AB365" s="45">
        <f>IF(AQ365="1",BH365,0)</f>
        <v>0</v>
      </c>
      <c r="AC365" s="45">
        <f>IF(AQ365="1",BI365,0)</f>
        <v>0</v>
      </c>
      <c r="AD365" s="45">
        <f>IF(AQ365="7",BH365,0)</f>
        <v>0</v>
      </c>
      <c r="AE365" s="45">
        <f>IF(AQ365="7",BI365,0)</f>
        <v>0</v>
      </c>
      <c r="AF365" s="45">
        <f>IF(AQ365="2",BH365,0)</f>
        <v>0</v>
      </c>
      <c r="AG365" s="45">
        <f>IF(AQ365="2",BI365,0)</f>
        <v>0</v>
      </c>
      <c r="AH365" s="45">
        <f>IF(AQ365="0",BJ365,0)</f>
        <v>0</v>
      </c>
      <c r="AI365" s="44" t="s">
        <v>305</v>
      </c>
      <c r="AJ365" s="27">
        <f>IF(AN365=0,M365,0)</f>
        <v>0</v>
      </c>
      <c r="AK365" s="27">
        <f>IF(AN365=15,M365,0)</f>
        <v>0</v>
      </c>
      <c r="AL365" s="27">
        <f>IF(AN365=21,M365,0)</f>
        <v>0</v>
      </c>
      <c r="AN365" s="45">
        <v>15</v>
      </c>
      <c r="AO365" s="45">
        <f>J365*0.0239378238341969</f>
        <v>0</v>
      </c>
      <c r="AP365" s="45">
        <f>J365*(1-0.0239378238341969)</f>
        <v>0</v>
      </c>
      <c r="AQ365" s="46" t="s">
        <v>13</v>
      </c>
      <c r="AV365" s="45">
        <f>AW365+AX365</f>
        <v>0</v>
      </c>
      <c r="AW365" s="45">
        <f>I365*AO365</f>
        <v>0</v>
      </c>
      <c r="AX365" s="45">
        <f>I365*AP365</f>
        <v>0</v>
      </c>
      <c r="AY365" s="48" t="s">
        <v>1099</v>
      </c>
      <c r="AZ365" s="48" t="s">
        <v>1125</v>
      </c>
      <c r="BA365" s="44" t="s">
        <v>1139</v>
      </c>
      <c r="BC365" s="45">
        <f>AW365+AX365</f>
        <v>0</v>
      </c>
      <c r="BD365" s="45">
        <f>J365/(100-BE365)*100</f>
        <v>0</v>
      </c>
      <c r="BE365" s="45">
        <v>0</v>
      </c>
      <c r="BF365" s="45">
        <f>365</f>
        <v>365</v>
      </c>
      <c r="BH365" s="27">
        <f>I365*AO365</f>
        <v>0</v>
      </c>
      <c r="BI365" s="27">
        <f>I365*AP365</f>
        <v>0</v>
      </c>
      <c r="BJ365" s="27">
        <f>I365*J365</f>
        <v>0</v>
      </c>
      <c r="BK365" s="27" t="s">
        <v>1146</v>
      </c>
      <c r="BL365" s="45">
        <v>766</v>
      </c>
    </row>
    <row r="366" spans="1:64" x14ac:dyDescent="0.2">
      <c r="A366" s="6"/>
      <c r="C366" s="21" t="s">
        <v>310</v>
      </c>
      <c r="D366" s="245" t="s">
        <v>753</v>
      </c>
      <c r="E366" s="246"/>
      <c r="F366" s="246"/>
      <c r="G366" s="246"/>
      <c r="H366" s="246"/>
      <c r="I366" s="246"/>
      <c r="J366" s="246"/>
      <c r="K366" s="246"/>
      <c r="L366" s="246"/>
      <c r="M366" s="246"/>
      <c r="N366" s="246"/>
      <c r="O366" s="247"/>
      <c r="P366" s="6"/>
    </row>
    <row r="367" spans="1:64" x14ac:dyDescent="0.2">
      <c r="A367" s="5" t="s">
        <v>175</v>
      </c>
      <c r="B367" s="16" t="s">
        <v>305</v>
      </c>
      <c r="C367" s="16" t="s">
        <v>485</v>
      </c>
      <c r="D367" s="243" t="s">
        <v>871</v>
      </c>
      <c r="E367" s="244"/>
      <c r="F367" s="244"/>
      <c r="G367" s="244"/>
      <c r="H367" s="16" t="s">
        <v>1045</v>
      </c>
      <c r="I367" s="27">
        <v>11</v>
      </c>
      <c r="J367" s="149"/>
      <c r="K367" s="27">
        <f>I367*AO367</f>
        <v>0</v>
      </c>
      <c r="L367" s="27">
        <f>I367*AP367</f>
        <v>0</v>
      </c>
      <c r="M367" s="27">
        <f>I367*J367</f>
        <v>0</v>
      </c>
      <c r="N367" s="56">
        <f>IF(M623=0,0,M367/M623)</f>
        <v>0</v>
      </c>
      <c r="O367" s="39" t="s">
        <v>1068</v>
      </c>
      <c r="P367" s="6"/>
      <c r="Z367" s="45">
        <f>IF(AQ367="5",BJ367,0)</f>
        <v>0</v>
      </c>
      <c r="AB367" s="45">
        <f>IF(AQ367="1",BH367,0)</f>
        <v>0</v>
      </c>
      <c r="AC367" s="45">
        <f>IF(AQ367="1",BI367,0)</f>
        <v>0</v>
      </c>
      <c r="AD367" s="45">
        <f>IF(AQ367="7",BH367,0)</f>
        <v>0</v>
      </c>
      <c r="AE367" s="45">
        <f>IF(AQ367="7",BI367,0)</f>
        <v>0</v>
      </c>
      <c r="AF367" s="45">
        <f>IF(AQ367="2",BH367,0)</f>
        <v>0</v>
      </c>
      <c r="AG367" s="45">
        <f>IF(AQ367="2",BI367,0)</f>
        <v>0</v>
      </c>
      <c r="AH367" s="45">
        <f>IF(AQ367="0",BJ367,0)</f>
        <v>0</v>
      </c>
      <c r="AI367" s="44" t="s">
        <v>305</v>
      </c>
      <c r="AJ367" s="27">
        <f>IF(AN367=0,M367,0)</f>
        <v>0</v>
      </c>
      <c r="AK367" s="27">
        <f>IF(AN367=15,M367,0)</f>
        <v>0</v>
      </c>
      <c r="AL367" s="27">
        <f>IF(AN367=21,M367,0)</f>
        <v>0</v>
      </c>
      <c r="AN367" s="45">
        <v>15</v>
      </c>
      <c r="AO367" s="45">
        <f>J367*0.0262322946175637</f>
        <v>0</v>
      </c>
      <c r="AP367" s="45">
        <f>J367*(1-0.0262322946175637)</f>
        <v>0</v>
      </c>
      <c r="AQ367" s="46" t="s">
        <v>13</v>
      </c>
      <c r="AV367" s="45">
        <f>AW367+AX367</f>
        <v>0</v>
      </c>
      <c r="AW367" s="45">
        <f>I367*AO367</f>
        <v>0</v>
      </c>
      <c r="AX367" s="45">
        <f>I367*AP367</f>
        <v>0</v>
      </c>
      <c r="AY367" s="48" t="s">
        <v>1099</v>
      </c>
      <c r="AZ367" s="48" t="s">
        <v>1125</v>
      </c>
      <c r="BA367" s="44" t="s">
        <v>1139</v>
      </c>
      <c r="BC367" s="45">
        <f>AW367+AX367</f>
        <v>0</v>
      </c>
      <c r="BD367" s="45">
        <f>J367/(100-BE367)*100</f>
        <v>0</v>
      </c>
      <c r="BE367" s="45">
        <v>0</v>
      </c>
      <c r="BF367" s="45">
        <f>367</f>
        <v>367</v>
      </c>
      <c r="BH367" s="27">
        <f>I367*AO367</f>
        <v>0</v>
      </c>
      <c r="BI367" s="27">
        <f>I367*AP367</f>
        <v>0</v>
      </c>
      <c r="BJ367" s="27">
        <f>I367*J367</f>
        <v>0</v>
      </c>
      <c r="BK367" s="27" t="s">
        <v>1146</v>
      </c>
      <c r="BL367" s="45">
        <v>766</v>
      </c>
    </row>
    <row r="368" spans="1:64" x14ac:dyDescent="0.2">
      <c r="A368" s="6"/>
      <c r="C368" s="21" t="s">
        <v>310</v>
      </c>
      <c r="D368" s="245" t="s">
        <v>753</v>
      </c>
      <c r="E368" s="246"/>
      <c r="F368" s="246"/>
      <c r="G368" s="246"/>
      <c r="H368" s="246"/>
      <c r="I368" s="246"/>
      <c r="J368" s="246"/>
      <c r="K368" s="246"/>
      <c r="L368" s="246"/>
      <c r="M368" s="246"/>
      <c r="N368" s="246"/>
      <c r="O368" s="247"/>
      <c r="P368" s="6"/>
    </row>
    <row r="369" spans="1:64" x14ac:dyDescent="0.2">
      <c r="A369" s="7" t="s">
        <v>176</v>
      </c>
      <c r="B369" s="17" t="s">
        <v>305</v>
      </c>
      <c r="C369" s="17" t="s">
        <v>486</v>
      </c>
      <c r="D369" s="241" t="s">
        <v>872</v>
      </c>
      <c r="E369" s="242"/>
      <c r="F369" s="242"/>
      <c r="G369" s="242"/>
      <c r="H369" s="17" t="s">
        <v>1044</v>
      </c>
      <c r="I369" s="28">
        <v>24.2</v>
      </c>
      <c r="J369" s="154"/>
      <c r="K369" s="28">
        <f>I369*AO369</f>
        <v>0</v>
      </c>
      <c r="L369" s="28">
        <f>I369*AP369</f>
        <v>0</v>
      </c>
      <c r="M369" s="28">
        <f>I369*J369</f>
        <v>0</v>
      </c>
      <c r="N369" s="57">
        <f>IF(M623=0,0,M369/M623)</f>
        <v>0</v>
      </c>
      <c r="O369" s="40" t="s">
        <v>1069</v>
      </c>
      <c r="P369" s="6"/>
      <c r="Z369" s="45">
        <f>IF(AQ369="5",BJ369,0)</f>
        <v>0</v>
      </c>
      <c r="AB369" s="45">
        <f>IF(AQ369="1",BH369,0)</f>
        <v>0</v>
      </c>
      <c r="AC369" s="45">
        <f>IF(AQ369="1",BI369,0)</f>
        <v>0</v>
      </c>
      <c r="AD369" s="45">
        <f>IF(AQ369="7",BH369,0)</f>
        <v>0</v>
      </c>
      <c r="AE369" s="45">
        <f>IF(AQ369="7",BI369,0)</f>
        <v>0</v>
      </c>
      <c r="AF369" s="45">
        <f>IF(AQ369="2",BH369,0)</f>
        <v>0</v>
      </c>
      <c r="AG369" s="45">
        <f>IF(AQ369="2",BI369,0)</f>
        <v>0</v>
      </c>
      <c r="AH369" s="45">
        <f>IF(AQ369="0",BJ369,0)</f>
        <v>0</v>
      </c>
      <c r="AI369" s="44" t="s">
        <v>305</v>
      </c>
      <c r="AJ369" s="28">
        <f>IF(AN369=0,M369,0)</f>
        <v>0</v>
      </c>
      <c r="AK369" s="28">
        <f>IF(AN369=15,M369,0)</f>
        <v>0</v>
      </c>
      <c r="AL369" s="28">
        <f>IF(AN369=21,M369,0)</f>
        <v>0</v>
      </c>
      <c r="AN369" s="45">
        <v>15</v>
      </c>
      <c r="AO369" s="45">
        <f>J369*1</f>
        <v>0</v>
      </c>
      <c r="AP369" s="45">
        <f>J369*(1-1)</f>
        <v>0</v>
      </c>
      <c r="AQ369" s="47" t="s">
        <v>13</v>
      </c>
      <c r="AV369" s="45">
        <f>AW369+AX369</f>
        <v>0</v>
      </c>
      <c r="AW369" s="45">
        <f>I369*AO369</f>
        <v>0</v>
      </c>
      <c r="AX369" s="45">
        <f>I369*AP369</f>
        <v>0</v>
      </c>
      <c r="AY369" s="48" t="s">
        <v>1099</v>
      </c>
      <c r="AZ369" s="48" t="s">
        <v>1125</v>
      </c>
      <c r="BA369" s="44" t="s">
        <v>1139</v>
      </c>
      <c r="BC369" s="45">
        <f>AW369+AX369</f>
        <v>0</v>
      </c>
      <c r="BD369" s="45">
        <f>J369/(100-BE369)*100</f>
        <v>0</v>
      </c>
      <c r="BE369" s="45">
        <v>0</v>
      </c>
      <c r="BF369" s="45">
        <f>369</f>
        <v>369</v>
      </c>
      <c r="BH369" s="28">
        <f>I369*AO369</f>
        <v>0</v>
      </c>
      <c r="BI369" s="28">
        <f>I369*AP369</f>
        <v>0</v>
      </c>
      <c r="BJ369" s="28">
        <f>I369*J369</f>
        <v>0</v>
      </c>
      <c r="BK369" s="28" t="s">
        <v>1147</v>
      </c>
      <c r="BL369" s="45">
        <v>766</v>
      </c>
    </row>
    <row r="370" spans="1:64" x14ac:dyDescent="0.2">
      <c r="A370" s="6"/>
      <c r="C370" s="20" t="s">
        <v>302</v>
      </c>
      <c r="D370" s="248" t="s">
        <v>873</v>
      </c>
      <c r="E370" s="249"/>
      <c r="F370" s="249"/>
      <c r="G370" s="249"/>
      <c r="H370" s="249"/>
      <c r="I370" s="249"/>
      <c r="J370" s="249"/>
      <c r="K370" s="249"/>
      <c r="L370" s="249"/>
      <c r="M370" s="249"/>
      <c r="N370" s="249"/>
      <c r="O370" s="250"/>
      <c r="P370" s="6"/>
    </row>
    <row r="371" spans="1:64" x14ac:dyDescent="0.2">
      <c r="A371" s="5" t="s">
        <v>177</v>
      </c>
      <c r="B371" s="16" t="s">
        <v>305</v>
      </c>
      <c r="C371" s="16" t="s">
        <v>487</v>
      </c>
      <c r="D371" s="243" t="s">
        <v>874</v>
      </c>
      <c r="E371" s="244"/>
      <c r="F371" s="244"/>
      <c r="G371" s="244"/>
      <c r="H371" s="16" t="s">
        <v>1045</v>
      </c>
      <c r="I371" s="27">
        <v>15</v>
      </c>
      <c r="J371" s="149"/>
      <c r="K371" s="27">
        <f>I371*AO371</f>
        <v>0</v>
      </c>
      <c r="L371" s="27">
        <f>I371*AP371</f>
        <v>0</v>
      </c>
      <c r="M371" s="27">
        <f>I371*J371</f>
        <v>0</v>
      </c>
      <c r="N371" s="56">
        <f>IF(M623=0,0,M371/M623)</f>
        <v>0</v>
      </c>
      <c r="O371" s="39" t="s">
        <v>1068</v>
      </c>
      <c r="P371" s="6"/>
      <c r="Z371" s="45">
        <f>IF(AQ371="5",BJ371,0)</f>
        <v>0</v>
      </c>
      <c r="AB371" s="45">
        <f>IF(AQ371="1",BH371,0)</f>
        <v>0</v>
      </c>
      <c r="AC371" s="45">
        <f>IF(AQ371="1",BI371,0)</f>
        <v>0</v>
      </c>
      <c r="AD371" s="45">
        <f>IF(AQ371="7",BH371,0)</f>
        <v>0</v>
      </c>
      <c r="AE371" s="45">
        <f>IF(AQ371="7",BI371,0)</f>
        <v>0</v>
      </c>
      <c r="AF371" s="45">
        <f>IF(AQ371="2",BH371,0)</f>
        <v>0</v>
      </c>
      <c r="AG371" s="45">
        <f>IF(AQ371="2",BI371,0)</f>
        <v>0</v>
      </c>
      <c r="AH371" s="45">
        <f>IF(AQ371="0",BJ371,0)</f>
        <v>0</v>
      </c>
      <c r="AI371" s="44" t="s">
        <v>305</v>
      </c>
      <c r="AJ371" s="27">
        <f>IF(AN371=0,M371,0)</f>
        <v>0</v>
      </c>
      <c r="AK371" s="27">
        <f>IF(AN371=15,M371,0)</f>
        <v>0</v>
      </c>
      <c r="AL371" s="27">
        <f>IF(AN371=21,M371,0)</f>
        <v>0</v>
      </c>
      <c r="AN371" s="45">
        <v>15</v>
      </c>
      <c r="AO371" s="45">
        <f>J371*0.036319612590799</f>
        <v>0</v>
      </c>
      <c r="AP371" s="45">
        <f>J371*(1-0.036319612590799)</f>
        <v>0</v>
      </c>
      <c r="AQ371" s="46" t="s">
        <v>13</v>
      </c>
      <c r="AV371" s="45">
        <f>AW371+AX371</f>
        <v>0</v>
      </c>
      <c r="AW371" s="45">
        <f>I371*AO371</f>
        <v>0</v>
      </c>
      <c r="AX371" s="45">
        <f>I371*AP371</f>
        <v>0</v>
      </c>
      <c r="AY371" s="48" t="s">
        <v>1099</v>
      </c>
      <c r="AZ371" s="48" t="s">
        <v>1125</v>
      </c>
      <c r="BA371" s="44" t="s">
        <v>1139</v>
      </c>
      <c r="BC371" s="45">
        <f>AW371+AX371</f>
        <v>0</v>
      </c>
      <c r="BD371" s="45">
        <f>J371/(100-BE371)*100</f>
        <v>0</v>
      </c>
      <c r="BE371" s="45">
        <v>0</v>
      </c>
      <c r="BF371" s="45">
        <f>371</f>
        <v>371</v>
      </c>
      <c r="BH371" s="27">
        <f>I371*AO371</f>
        <v>0</v>
      </c>
      <c r="BI371" s="27">
        <f>I371*AP371</f>
        <v>0</v>
      </c>
      <c r="BJ371" s="27">
        <f>I371*J371</f>
        <v>0</v>
      </c>
      <c r="BK371" s="27" t="s">
        <v>1146</v>
      </c>
      <c r="BL371" s="45">
        <v>766</v>
      </c>
    </row>
    <row r="372" spans="1:64" x14ac:dyDescent="0.2">
      <c r="A372" s="6"/>
      <c r="C372" s="21" t="s">
        <v>310</v>
      </c>
      <c r="D372" s="245" t="s">
        <v>753</v>
      </c>
      <c r="E372" s="246"/>
      <c r="F372" s="246"/>
      <c r="G372" s="246"/>
      <c r="H372" s="246"/>
      <c r="I372" s="246"/>
      <c r="J372" s="246"/>
      <c r="K372" s="246"/>
      <c r="L372" s="246"/>
      <c r="M372" s="246"/>
      <c r="N372" s="246"/>
      <c r="O372" s="247"/>
      <c r="P372" s="6"/>
    </row>
    <row r="373" spans="1:64" x14ac:dyDescent="0.2">
      <c r="A373" s="7" t="s">
        <v>178</v>
      </c>
      <c r="B373" s="17" t="s">
        <v>305</v>
      </c>
      <c r="C373" s="17" t="s">
        <v>488</v>
      </c>
      <c r="D373" s="241" t="s">
        <v>875</v>
      </c>
      <c r="E373" s="242"/>
      <c r="F373" s="242"/>
      <c r="G373" s="242"/>
      <c r="H373" s="17" t="s">
        <v>1045</v>
      </c>
      <c r="I373" s="28">
        <v>5</v>
      </c>
      <c r="J373" s="154"/>
      <c r="K373" s="28">
        <f>I373*AO373</f>
        <v>0</v>
      </c>
      <c r="L373" s="28">
        <f>I373*AP373</f>
        <v>0</v>
      </c>
      <c r="M373" s="28">
        <f>I373*J373</f>
        <v>0</v>
      </c>
      <c r="N373" s="57">
        <f>IF(M623=0,0,M373/M623)</f>
        <v>0</v>
      </c>
      <c r="O373" s="40" t="s">
        <v>1068</v>
      </c>
      <c r="P373" s="6"/>
      <c r="Z373" s="45">
        <f>IF(AQ373="5",BJ373,0)</f>
        <v>0</v>
      </c>
      <c r="AB373" s="45">
        <f>IF(AQ373="1",BH373,0)</f>
        <v>0</v>
      </c>
      <c r="AC373" s="45">
        <f>IF(AQ373="1",BI373,0)</f>
        <v>0</v>
      </c>
      <c r="AD373" s="45">
        <f>IF(AQ373="7",BH373,0)</f>
        <v>0</v>
      </c>
      <c r="AE373" s="45">
        <f>IF(AQ373="7",BI373,0)</f>
        <v>0</v>
      </c>
      <c r="AF373" s="45">
        <f>IF(AQ373="2",BH373,0)</f>
        <v>0</v>
      </c>
      <c r="AG373" s="45">
        <f>IF(AQ373="2",BI373,0)</f>
        <v>0</v>
      </c>
      <c r="AH373" s="45">
        <f>IF(AQ373="0",BJ373,0)</f>
        <v>0</v>
      </c>
      <c r="AI373" s="44" t="s">
        <v>305</v>
      </c>
      <c r="AJ373" s="28">
        <f>IF(AN373=0,M373,0)</f>
        <v>0</v>
      </c>
      <c r="AK373" s="28">
        <f>IF(AN373=15,M373,0)</f>
        <v>0</v>
      </c>
      <c r="AL373" s="28">
        <f>IF(AN373=21,M373,0)</f>
        <v>0</v>
      </c>
      <c r="AN373" s="45">
        <v>15</v>
      </c>
      <c r="AO373" s="45">
        <f>J373*1</f>
        <v>0</v>
      </c>
      <c r="AP373" s="45">
        <f>J373*(1-1)</f>
        <v>0</v>
      </c>
      <c r="AQ373" s="47" t="s">
        <v>13</v>
      </c>
      <c r="AV373" s="45">
        <f>AW373+AX373</f>
        <v>0</v>
      </c>
      <c r="AW373" s="45">
        <f>I373*AO373</f>
        <v>0</v>
      </c>
      <c r="AX373" s="45">
        <f>I373*AP373</f>
        <v>0</v>
      </c>
      <c r="AY373" s="48" t="s">
        <v>1099</v>
      </c>
      <c r="AZ373" s="48" t="s">
        <v>1125</v>
      </c>
      <c r="BA373" s="44" t="s">
        <v>1139</v>
      </c>
      <c r="BC373" s="45">
        <f>AW373+AX373</f>
        <v>0</v>
      </c>
      <c r="BD373" s="45">
        <f>J373/(100-BE373)*100</f>
        <v>0</v>
      </c>
      <c r="BE373" s="45">
        <v>0</v>
      </c>
      <c r="BF373" s="45">
        <f>373</f>
        <v>373</v>
      </c>
      <c r="BH373" s="28">
        <f>I373*AO373</f>
        <v>0</v>
      </c>
      <c r="BI373" s="28">
        <f>I373*AP373</f>
        <v>0</v>
      </c>
      <c r="BJ373" s="28">
        <f>I373*J373</f>
        <v>0</v>
      </c>
      <c r="BK373" s="28" t="s">
        <v>1147</v>
      </c>
      <c r="BL373" s="45">
        <v>766</v>
      </c>
    </row>
    <row r="374" spans="1:64" x14ac:dyDescent="0.2">
      <c r="A374" s="6"/>
      <c r="C374" s="20" t="s">
        <v>302</v>
      </c>
      <c r="D374" s="248" t="s">
        <v>876</v>
      </c>
      <c r="E374" s="249"/>
      <c r="F374" s="249"/>
      <c r="G374" s="249"/>
      <c r="H374" s="249"/>
      <c r="I374" s="249"/>
      <c r="J374" s="249"/>
      <c r="K374" s="249"/>
      <c r="L374" s="249"/>
      <c r="M374" s="249"/>
      <c r="N374" s="249"/>
      <c r="O374" s="250"/>
      <c r="P374" s="6"/>
    </row>
    <row r="375" spans="1:64" x14ac:dyDescent="0.2">
      <c r="A375" s="7" t="s">
        <v>179</v>
      </c>
      <c r="B375" s="17" t="s">
        <v>305</v>
      </c>
      <c r="C375" s="17" t="s">
        <v>489</v>
      </c>
      <c r="D375" s="241" t="s">
        <v>877</v>
      </c>
      <c r="E375" s="242"/>
      <c r="F375" s="242"/>
      <c r="G375" s="242"/>
      <c r="H375" s="17" t="s">
        <v>1045</v>
      </c>
      <c r="I375" s="28">
        <v>2</v>
      </c>
      <c r="J375" s="154"/>
      <c r="K375" s="28">
        <f>I375*AO375</f>
        <v>0</v>
      </c>
      <c r="L375" s="28">
        <f>I375*AP375</f>
        <v>0</v>
      </c>
      <c r="M375" s="28">
        <f>I375*J375</f>
        <v>0</v>
      </c>
      <c r="N375" s="57">
        <f>IF(M623=0,0,M375/M623)</f>
        <v>0</v>
      </c>
      <c r="O375" s="40" t="s">
        <v>1068</v>
      </c>
      <c r="P375" s="6"/>
      <c r="Z375" s="45">
        <f>IF(AQ375="5",BJ375,0)</f>
        <v>0</v>
      </c>
      <c r="AB375" s="45">
        <f>IF(AQ375="1",BH375,0)</f>
        <v>0</v>
      </c>
      <c r="AC375" s="45">
        <f>IF(AQ375="1",BI375,0)</f>
        <v>0</v>
      </c>
      <c r="AD375" s="45">
        <f>IF(AQ375="7",BH375,0)</f>
        <v>0</v>
      </c>
      <c r="AE375" s="45">
        <f>IF(AQ375="7",BI375,0)</f>
        <v>0</v>
      </c>
      <c r="AF375" s="45">
        <f>IF(AQ375="2",BH375,0)</f>
        <v>0</v>
      </c>
      <c r="AG375" s="45">
        <f>IF(AQ375="2",BI375,0)</f>
        <v>0</v>
      </c>
      <c r="AH375" s="45">
        <f>IF(AQ375="0",BJ375,0)</f>
        <v>0</v>
      </c>
      <c r="AI375" s="44" t="s">
        <v>305</v>
      </c>
      <c r="AJ375" s="28">
        <f>IF(AN375=0,M375,0)</f>
        <v>0</v>
      </c>
      <c r="AK375" s="28">
        <f>IF(AN375=15,M375,0)</f>
        <v>0</v>
      </c>
      <c r="AL375" s="28">
        <f>IF(AN375=21,M375,0)</f>
        <v>0</v>
      </c>
      <c r="AN375" s="45">
        <v>15</v>
      </c>
      <c r="AO375" s="45">
        <f>J375*1</f>
        <v>0</v>
      </c>
      <c r="AP375" s="45">
        <f>J375*(1-1)</f>
        <v>0</v>
      </c>
      <c r="AQ375" s="47" t="s">
        <v>13</v>
      </c>
      <c r="AV375" s="45">
        <f>AW375+AX375</f>
        <v>0</v>
      </c>
      <c r="AW375" s="45">
        <f>I375*AO375</f>
        <v>0</v>
      </c>
      <c r="AX375" s="45">
        <f>I375*AP375</f>
        <v>0</v>
      </c>
      <c r="AY375" s="48" t="s">
        <v>1099</v>
      </c>
      <c r="AZ375" s="48" t="s">
        <v>1125</v>
      </c>
      <c r="BA375" s="44" t="s">
        <v>1139</v>
      </c>
      <c r="BC375" s="45">
        <f>AW375+AX375</f>
        <v>0</v>
      </c>
      <c r="BD375" s="45">
        <f>J375/(100-BE375)*100</f>
        <v>0</v>
      </c>
      <c r="BE375" s="45">
        <v>0</v>
      </c>
      <c r="BF375" s="45">
        <f>375</f>
        <v>375</v>
      </c>
      <c r="BH375" s="28">
        <f>I375*AO375</f>
        <v>0</v>
      </c>
      <c r="BI375" s="28">
        <f>I375*AP375</f>
        <v>0</v>
      </c>
      <c r="BJ375" s="28">
        <f>I375*J375</f>
        <v>0</v>
      </c>
      <c r="BK375" s="28" t="s">
        <v>1147</v>
      </c>
      <c r="BL375" s="45">
        <v>766</v>
      </c>
    </row>
    <row r="376" spans="1:64" x14ac:dyDescent="0.2">
      <c r="A376" s="6"/>
      <c r="C376" s="20" t="s">
        <v>302</v>
      </c>
      <c r="D376" s="248" t="s">
        <v>876</v>
      </c>
      <c r="E376" s="249"/>
      <c r="F376" s="249"/>
      <c r="G376" s="249"/>
      <c r="H376" s="249"/>
      <c r="I376" s="249"/>
      <c r="J376" s="249"/>
      <c r="K376" s="249"/>
      <c r="L376" s="249"/>
      <c r="M376" s="249"/>
      <c r="N376" s="249"/>
      <c r="O376" s="250"/>
      <c r="P376" s="6"/>
    </row>
    <row r="377" spans="1:64" x14ac:dyDescent="0.2">
      <c r="A377" s="7" t="s">
        <v>180</v>
      </c>
      <c r="B377" s="17" t="s">
        <v>305</v>
      </c>
      <c r="C377" s="17" t="s">
        <v>490</v>
      </c>
      <c r="D377" s="241" t="s">
        <v>878</v>
      </c>
      <c r="E377" s="242"/>
      <c r="F377" s="242"/>
      <c r="G377" s="242"/>
      <c r="H377" s="17" t="s">
        <v>1045</v>
      </c>
      <c r="I377" s="28">
        <v>4</v>
      </c>
      <c r="J377" s="154"/>
      <c r="K377" s="28">
        <f>I377*AO377</f>
        <v>0</v>
      </c>
      <c r="L377" s="28">
        <f>I377*AP377</f>
        <v>0</v>
      </c>
      <c r="M377" s="28">
        <f>I377*J377</f>
        <v>0</v>
      </c>
      <c r="N377" s="57">
        <f>IF(M623=0,0,M377/M623)</f>
        <v>0</v>
      </c>
      <c r="O377" s="40" t="s">
        <v>1068</v>
      </c>
      <c r="P377" s="6"/>
      <c r="Z377" s="45">
        <f>IF(AQ377="5",BJ377,0)</f>
        <v>0</v>
      </c>
      <c r="AB377" s="45">
        <f>IF(AQ377="1",BH377,0)</f>
        <v>0</v>
      </c>
      <c r="AC377" s="45">
        <f>IF(AQ377="1",BI377,0)</f>
        <v>0</v>
      </c>
      <c r="AD377" s="45">
        <f>IF(AQ377="7",BH377,0)</f>
        <v>0</v>
      </c>
      <c r="AE377" s="45">
        <f>IF(AQ377="7",BI377,0)</f>
        <v>0</v>
      </c>
      <c r="AF377" s="45">
        <f>IF(AQ377="2",BH377,0)</f>
        <v>0</v>
      </c>
      <c r="AG377" s="45">
        <f>IF(AQ377="2",BI377,0)</f>
        <v>0</v>
      </c>
      <c r="AH377" s="45">
        <f>IF(AQ377="0",BJ377,0)</f>
        <v>0</v>
      </c>
      <c r="AI377" s="44" t="s">
        <v>305</v>
      </c>
      <c r="AJ377" s="28">
        <f>IF(AN377=0,M377,0)</f>
        <v>0</v>
      </c>
      <c r="AK377" s="28">
        <f>IF(AN377=15,M377,0)</f>
        <v>0</v>
      </c>
      <c r="AL377" s="28">
        <f>IF(AN377=21,M377,0)</f>
        <v>0</v>
      </c>
      <c r="AN377" s="45">
        <v>15</v>
      </c>
      <c r="AO377" s="45">
        <f>J377*1</f>
        <v>0</v>
      </c>
      <c r="AP377" s="45">
        <f>J377*(1-1)</f>
        <v>0</v>
      </c>
      <c r="AQ377" s="47" t="s">
        <v>13</v>
      </c>
      <c r="AV377" s="45">
        <f>AW377+AX377</f>
        <v>0</v>
      </c>
      <c r="AW377" s="45">
        <f>I377*AO377</f>
        <v>0</v>
      </c>
      <c r="AX377" s="45">
        <f>I377*AP377</f>
        <v>0</v>
      </c>
      <c r="AY377" s="48" t="s">
        <v>1099</v>
      </c>
      <c r="AZ377" s="48" t="s">
        <v>1125</v>
      </c>
      <c r="BA377" s="44" t="s">
        <v>1139</v>
      </c>
      <c r="BC377" s="45">
        <f>AW377+AX377</f>
        <v>0</v>
      </c>
      <c r="BD377" s="45">
        <f>J377/(100-BE377)*100</f>
        <v>0</v>
      </c>
      <c r="BE377" s="45">
        <v>0</v>
      </c>
      <c r="BF377" s="45">
        <f>377</f>
        <v>377</v>
      </c>
      <c r="BH377" s="28">
        <f>I377*AO377</f>
        <v>0</v>
      </c>
      <c r="BI377" s="28">
        <f>I377*AP377</f>
        <v>0</v>
      </c>
      <c r="BJ377" s="28">
        <f>I377*J377</f>
        <v>0</v>
      </c>
      <c r="BK377" s="28" t="s">
        <v>1147</v>
      </c>
      <c r="BL377" s="45">
        <v>766</v>
      </c>
    </row>
    <row r="378" spans="1:64" x14ac:dyDescent="0.2">
      <c r="A378" s="6"/>
      <c r="C378" s="20" t="s">
        <v>302</v>
      </c>
      <c r="D378" s="248" t="s">
        <v>876</v>
      </c>
      <c r="E378" s="249"/>
      <c r="F378" s="249"/>
      <c r="G378" s="249"/>
      <c r="H378" s="249"/>
      <c r="I378" s="249"/>
      <c r="J378" s="249"/>
      <c r="K378" s="249"/>
      <c r="L378" s="249"/>
      <c r="M378" s="249"/>
      <c r="N378" s="249"/>
      <c r="O378" s="250"/>
      <c r="P378" s="6"/>
    </row>
    <row r="379" spans="1:64" x14ac:dyDescent="0.2">
      <c r="A379" s="7" t="s">
        <v>181</v>
      </c>
      <c r="B379" s="17" t="s">
        <v>305</v>
      </c>
      <c r="C379" s="17" t="s">
        <v>491</v>
      </c>
      <c r="D379" s="241" t="s">
        <v>879</v>
      </c>
      <c r="E379" s="242"/>
      <c r="F379" s="242"/>
      <c r="G379" s="242"/>
      <c r="H379" s="17" t="s">
        <v>1045</v>
      </c>
      <c r="I379" s="28">
        <v>1</v>
      </c>
      <c r="J379" s="154"/>
      <c r="K379" s="28">
        <f>I379*AO379</f>
        <v>0</v>
      </c>
      <c r="L379" s="28">
        <f>I379*AP379</f>
        <v>0</v>
      </c>
      <c r="M379" s="28">
        <f>I379*J379</f>
        <v>0</v>
      </c>
      <c r="N379" s="57">
        <f>IF(M623=0,0,M379/M623)</f>
        <v>0</v>
      </c>
      <c r="O379" s="40" t="s">
        <v>1068</v>
      </c>
      <c r="P379" s="6"/>
      <c r="Z379" s="45">
        <f>IF(AQ379="5",BJ379,0)</f>
        <v>0</v>
      </c>
      <c r="AB379" s="45">
        <f>IF(AQ379="1",BH379,0)</f>
        <v>0</v>
      </c>
      <c r="AC379" s="45">
        <f>IF(AQ379="1",BI379,0)</f>
        <v>0</v>
      </c>
      <c r="AD379" s="45">
        <f>IF(AQ379="7",BH379,0)</f>
        <v>0</v>
      </c>
      <c r="AE379" s="45">
        <f>IF(AQ379="7",BI379,0)</f>
        <v>0</v>
      </c>
      <c r="AF379" s="45">
        <f>IF(AQ379="2",BH379,0)</f>
        <v>0</v>
      </c>
      <c r="AG379" s="45">
        <f>IF(AQ379="2",BI379,0)</f>
        <v>0</v>
      </c>
      <c r="AH379" s="45">
        <f>IF(AQ379="0",BJ379,0)</f>
        <v>0</v>
      </c>
      <c r="AI379" s="44" t="s">
        <v>305</v>
      </c>
      <c r="AJ379" s="28">
        <f>IF(AN379=0,M379,0)</f>
        <v>0</v>
      </c>
      <c r="AK379" s="28">
        <f>IF(AN379=15,M379,0)</f>
        <v>0</v>
      </c>
      <c r="AL379" s="28">
        <f>IF(AN379=21,M379,0)</f>
        <v>0</v>
      </c>
      <c r="AN379" s="45">
        <v>15</v>
      </c>
      <c r="AO379" s="45">
        <f>J379*1</f>
        <v>0</v>
      </c>
      <c r="AP379" s="45">
        <f>J379*(1-1)</f>
        <v>0</v>
      </c>
      <c r="AQ379" s="47" t="s">
        <v>13</v>
      </c>
      <c r="AV379" s="45">
        <f>AW379+AX379</f>
        <v>0</v>
      </c>
      <c r="AW379" s="45">
        <f>I379*AO379</f>
        <v>0</v>
      </c>
      <c r="AX379" s="45">
        <f>I379*AP379</f>
        <v>0</v>
      </c>
      <c r="AY379" s="48" t="s">
        <v>1099</v>
      </c>
      <c r="AZ379" s="48" t="s">
        <v>1125</v>
      </c>
      <c r="BA379" s="44" t="s">
        <v>1139</v>
      </c>
      <c r="BC379" s="45">
        <f>AW379+AX379</f>
        <v>0</v>
      </c>
      <c r="BD379" s="45">
        <f>J379/(100-BE379)*100</f>
        <v>0</v>
      </c>
      <c r="BE379" s="45">
        <v>0</v>
      </c>
      <c r="BF379" s="45">
        <f>379</f>
        <v>379</v>
      </c>
      <c r="BH379" s="28">
        <f>I379*AO379</f>
        <v>0</v>
      </c>
      <c r="BI379" s="28">
        <f>I379*AP379</f>
        <v>0</v>
      </c>
      <c r="BJ379" s="28">
        <f>I379*J379</f>
        <v>0</v>
      </c>
      <c r="BK379" s="28" t="s">
        <v>1147</v>
      </c>
      <c r="BL379" s="45">
        <v>766</v>
      </c>
    </row>
    <row r="380" spans="1:64" x14ac:dyDescent="0.2">
      <c r="A380" s="6"/>
      <c r="C380" s="20" t="s">
        <v>302</v>
      </c>
      <c r="D380" s="248" t="s">
        <v>876</v>
      </c>
      <c r="E380" s="249"/>
      <c r="F380" s="249"/>
      <c r="G380" s="249"/>
      <c r="H380" s="249"/>
      <c r="I380" s="249"/>
      <c r="J380" s="249"/>
      <c r="K380" s="249"/>
      <c r="L380" s="249"/>
      <c r="M380" s="249"/>
      <c r="N380" s="249"/>
      <c r="O380" s="250"/>
      <c r="P380" s="6"/>
    </row>
    <row r="381" spans="1:64" x14ac:dyDescent="0.2">
      <c r="A381" s="7" t="s">
        <v>182</v>
      </c>
      <c r="B381" s="17" t="s">
        <v>305</v>
      </c>
      <c r="C381" s="17" t="s">
        <v>492</v>
      </c>
      <c r="D381" s="241" t="s">
        <v>880</v>
      </c>
      <c r="E381" s="242"/>
      <c r="F381" s="242"/>
      <c r="G381" s="242"/>
      <c r="H381" s="17" t="s">
        <v>1045</v>
      </c>
      <c r="I381" s="28">
        <v>3</v>
      </c>
      <c r="J381" s="154"/>
      <c r="K381" s="28">
        <f>I381*AO381</f>
        <v>0</v>
      </c>
      <c r="L381" s="28">
        <f>I381*AP381</f>
        <v>0</v>
      </c>
      <c r="M381" s="28">
        <f>I381*J381</f>
        <v>0</v>
      </c>
      <c r="N381" s="57">
        <f>IF(M623=0,0,M381/M623)</f>
        <v>0</v>
      </c>
      <c r="O381" s="40" t="s">
        <v>1068</v>
      </c>
      <c r="P381" s="6"/>
      <c r="Z381" s="45">
        <f>IF(AQ381="5",BJ381,0)</f>
        <v>0</v>
      </c>
      <c r="AB381" s="45">
        <f>IF(AQ381="1",BH381,0)</f>
        <v>0</v>
      </c>
      <c r="AC381" s="45">
        <f>IF(AQ381="1",BI381,0)</f>
        <v>0</v>
      </c>
      <c r="AD381" s="45">
        <f>IF(AQ381="7",BH381,0)</f>
        <v>0</v>
      </c>
      <c r="AE381" s="45">
        <f>IF(AQ381="7",BI381,0)</f>
        <v>0</v>
      </c>
      <c r="AF381" s="45">
        <f>IF(AQ381="2",BH381,0)</f>
        <v>0</v>
      </c>
      <c r="AG381" s="45">
        <f>IF(AQ381="2",BI381,0)</f>
        <v>0</v>
      </c>
      <c r="AH381" s="45">
        <f>IF(AQ381="0",BJ381,0)</f>
        <v>0</v>
      </c>
      <c r="AI381" s="44" t="s">
        <v>305</v>
      </c>
      <c r="AJ381" s="28">
        <f>IF(AN381=0,M381,0)</f>
        <v>0</v>
      </c>
      <c r="AK381" s="28">
        <f>IF(AN381=15,M381,0)</f>
        <v>0</v>
      </c>
      <c r="AL381" s="28">
        <f>IF(AN381=21,M381,0)</f>
        <v>0</v>
      </c>
      <c r="AN381" s="45">
        <v>15</v>
      </c>
      <c r="AO381" s="45">
        <f>J381*1</f>
        <v>0</v>
      </c>
      <c r="AP381" s="45">
        <f>J381*(1-1)</f>
        <v>0</v>
      </c>
      <c r="AQ381" s="47" t="s">
        <v>13</v>
      </c>
      <c r="AV381" s="45">
        <f>AW381+AX381</f>
        <v>0</v>
      </c>
      <c r="AW381" s="45">
        <f>I381*AO381</f>
        <v>0</v>
      </c>
      <c r="AX381" s="45">
        <f>I381*AP381</f>
        <v>0</v>
      </c>
      <c r="AY381" s="48" t="s">
        <v>1099</v>
      </c>
      <c r="AZ381" s="48" t="s">
        <v>1125</v>
      </c>
      <c r="BA381" s="44" t="s">
        <v>1139</v>
      </c>
      <c r="BC381" s="45">
        <f>AW381+AX381</f>
        <v>0</v>
      </c>
      <c r="BD381" s="45">
        <f>J381/(100-BE381)*100</f>
        <v>0</v>
      </c>
      <c r="BE381" s="45">
        <v>0</v>
      </c>
      <c r="BF381" s="45">
        <f>381</f>
        <v>381</v>
      </c>
      <c r="BH381" s="28">
        <f>I381*AO381</f>
        <v>0</v>
      </c>
      <c r="BI381" s="28">
        <f>I381*AP381</f>
        <v>0</v>
      </c>
      <c r="BJ381" s="28">
        <f>I381*J381</f>
        <v>0</v>
      </c>
      <c r="BK381" s="28" t="s">
        <v>1147</v>
      </c>
      <c r="BL381" s="45">
        <v>766</v>
      </c>
    </row>
    <row r="382" spans="1:64" x14ac:dyDescent="0.2">
      <c r="A382" s="6"/>
      <c r="C382" s="20" t="s">
        <v>302</v>
      </c>
      <c r="D382" s="248" t="s">
        <v>876</v>
      </c>
      <c r="E382" s="249"/>
      <c r="F382" s="249"/>
      <c r="G382" s="249"/>
      <c r="H382" s="249"/>
      <c r="I382" s="249"/>
      <c r="J382" s="249"/>
      <c r="K382" s="249"/>
      <c r="L382" s="249"/>
      <c r="M382" s="249"/>
      <c r="N382" s="249"/>
      <c r="O382" s="250"/>
      <c r="P382" s="6"/>
    </row>
    <row r="383" spans="1:64" x14ac:dyDescent="0.2">
      <c r="A383" s="7" t="s">
        <v>183</v>
      </c>
      <c r="B383" s="17" t="s">
        <v>305</v>
      </c>
      <c r="C383" s="17" t="s">
        <v>493</v>
      </c>
      <c r="D383" s="241" t="s">
        <v>881</v>
      </c>
      <c r="E383" s="242"/>
      <c r="F383" s="242"/>
      <c r="G383" s="242"/>
      <c r="H383" s="17" t="s">
        <v>1045</v>
      </c>
      <c r="I383" s="28">
        <v>6</v>
      </c>
      <c r="J383" s="154"/>
      <c r="K383" s="28">
        <f>I383*AO383</f>
        <v>0</v>
      </c>
      <c r="L383" s="28">
        <f>I383*AP383</f>
        <v>0</v>
      </c>
      <c r="M383" s="28">
        <f>I383*J383</f>
        <v>0</v>
      </c>
      <c r="N383" s="57">
        <f>IF(M623=0,0,M383/M623)</f>
        <v>0</v>
      </c>
      <c r="O383" s="40" t="s">
        <v>1068</v>
      </c>
      <c r="P383" s="6"/>
      <c r="Z383" s="45">
        <f>IF(AQ383="5",BJ383,0)</f>
        <v>0</v>
      </c>
      <c r="AB383" s="45">
        <f>IF(AQ383="1",BH383,0)</f>
        <v>0</v>
      </c>
      <c r="AC383" s="45">
        <f>IF(AQ383="1",BI383,0)</f>
        <v>0</v>
      </c>
      <c r="AD383" s="45">
        <f>IF(AQ383="7",BH383,0)</f>
        <v>0</v>
      </c>
      <c r="AE383" s="45">
        <f>IF(AQ383="7",BI383,0)</f>
        <v>0</v>
      </c>
      <c r="AF383" s="45">
        <f>IF(AQ383="2",BH383,0)</f>
        <v>0</v>
      </c>
      <c r="AG383" s="45">
        <f>IF(AQ383="2",BI383,0)</f>
        <v>0</v>
      </c>
      <c r="AH383" s="45">
        <f>IF(AQ383="0",BJ383,0)</f>
        <v>0</v>
      </c>
      <c r="AI383" s="44" t="s">
        <v>305</v>
      </c>
      <c r="AJ383" s="28">
        <f>IF(AN383=0,M383,0)</f>
        <v>0</v>
      </c>
      <c r="AK383" s="28">
        <f>IF(AN383=15,M383,0)</f>
        <v>0</v>
      </c>
      <c r="AL383" s="28">
        <f>IF(AN383=21,M383,0)</f>
        <v>0</v>
      </c>
      <c r="AN383" s="45">
        <v>15</v>
      </c>
      <c r="AO383" s="45">
        <f>J383*1</f>
        <v>0</v>
      </c>
      <c r="AP383" s="45">
        <f>J383*(1-1)</f>
        <v>0</v>
      </c>
      <c r="AQ383" s="47" t="s">
        <v>13</v>
      </c>
      <c r="AV383" s="45">
        <f>AW383+AX383</f>
        <v>0</v>
      </c>
      <c r="AW383" s="45">
        <f>I383*AO383</f>
        <v>0</v>
      </c>
      <c r="AX383" s="45">
        <f>I383*AP383</f>
        <v>0</v>
      </c>
      <c r="AY383" s="48" t="s">
        <v>1099</v>
      </c>
      <c r="AZ383" s="48" t="s">
        <v>1125</v>
      </c>
      <c r="BA383" s="44" t="s">
        <v>1139</v>
      </c>
      <c r="BC383" s="45">
        <f>AW383+AX383</f>
        <v>0</v>
      </c>
      <c r="BD383" s="45">
        <f>J383/(100-BE383)*100</f>
        <v>0</v>
      </c>
      <c r="BE383" s="45">
        <v>0</v>
      </c>
      <c r="BF383" s="45">
        <f>383</f>
        <v>383</v>
      </c>
      <c r="BH383" s="28">
        <f>I383*AO383</f>
        <v>0</v>
      </c>
      <c r="BI383" s="28">
        <f>I383*AP383</f>
        <v>0</v>
      </c>
      <c r="BJ383" s="28">
        <f>I383*J383</f>
        <v>0</v>
      </c>
      <c r="BK383" s="28" t="s">
        <v>1147</v>
      </c>
      <c r="BL383" s="45">
        <v>766</v>
      </c>
    </row>
    <row r="384" spans="1:64" x14ac:dyDescent="0.2">
      <c r="A384" s="6"/>
      <c r="C384" s="20" t="s">
        <v>302</v>
      </c>
      <c r="D384" s="248" t="s">
        <v>876</v>
      </c>
      <c r="E384" s="249"/>
      <c r="F384" s="249"/>
      <c r="G384" s="249"/>
      <c r="H384" s="249"/>
      <c r="I384" s="249"/>
      <c r="J384" s="249"/>
      <c r="K384" s="249"/>
      <c r="L384" s="249"/>
      <c r="M384" s="249"/>
      <c r="N384" s="249"/>
      <c r="O384" s="250"/>
      <c r="P384" s="6"/>
    </row>
    <row r="385" spans="1:64" x14ac:dyDescent="0.2">
      <c r="A385" s="7" t="s">
        <v>184</v>
      </c>
      <c r="B385" s="17" t="s">
        <v>305</v>
      </c>
      <c r="C385" s="17" t="s">
        <v>494</v>
      </c>
      <c r="D385" s="241" t="s">
        <v>882</v>
      </c>
      <c r="E385" s="242"/>
      <c r="F385" s="242"/>
      <c r="G385" s="242"/>
      <c r="H385" s="17" t="s">
        <v>1045</v>
      </c>
      <c r="I385" s="28">
        <v>8</v>
      </c>
      <c r="J385" s="154"/>
      <c r="K385" s="28">
        <f>I385*AO385</f>
        <v>0</v>
      </c>
      <c r="L385" s="28">
        <f>I385*AP385</f>
        <v>0</v>
      </c>
      <c r="M385" s="28">
        <f>I385*J385</f>
        <v>0</v>
      </c>
      <c r="N385" s="57">
        <f>IF(M623=0,0,M385/M623)</f>
        <v>0</v>
      </c>
      <c r="O385" s="40" t="s">
        <v>1068</v>
      </c>
      <c r="P385" s="6"/>
      <c r="Z385" s="45">
        <f>IF(AQ385="5",BJ385,0)</f>
        <v>0</v>
      </c>
      <c r="AB385" s="45">
        <f>IF(AQ385="1",BH385,0)</f>
        <v>0</v>
      </c>
      <c r="AC385" s="45">
        <f>IF(AQ385="1",BI385,0)</f>
        <v>0</v>
      </c>
      <c r="AD385" s="45">
        <f>IF(AQ385="7",BH385,0)</f>
        <v>0</v>
      </c>
      <c r="AE385" s="45">
        <f>IF(AQ385="7",BI385,0)</f>
        <v>0</v>
      </c>
      <c r="AF385" s="45">
        <f>IF(AQ385="2",BH385,0)</f>
        <v>0</v>
      </c>
      <c r="AG385" s="45">
        <f>IF(AQ385="2",BI385,0)</f>
        <v>0</v>
      </c>
      <c r="AH385" s="45">
        <f>IF(AQ385="0",BJ385,0)</f>
        <v>0</v>
      </c>
      <c r="AI385" s="44" t="s">
        <v>305</v>
      </c>
      <c r="AJ385" s="28">
        <f>IF(AN385=0,M385,0)</f>
        <v>0</v>
      </c>
      <c r="AK385" s="28">
        <f>IF(AN385=15,M385,0)</f>
        <v>0</v>
      </c>
      <c r="AL385" s="28">
        <f>IF(AN385=21,M385,0)</f>
        <v>0</v>
      </c>
      <c r="AN385" s="45">
        <v>15</v>
      </c>
      <c r="AO385" s="45">
        <f>J385*1</f>
        <v>0</v>
      </c>
      <c r="AP385" s="45">
        <f>J385*(1-1)</f>
        <v>0</v>
      </c>
      <c r="AQ385" s="47" t="s">
        <v>13</v>
      </c>
      <c r="AV385" s="45">
        <f>AW385+AX385</f>
        <v>0</v>
      </c>
      <c r="AW385" s="45">
        <f>I385*AO385</f>
        <v>0</v>
      </c>
      <c r="AX385" s="45">
        <f>I385*AP385</f>
        <v>0</v>
      </c>
      <c r="AY385" s="48" t="s">
        <v>1099</v>
      </c>
      <c r="AZ385" s="48" t="s">
        <v>1125</v>
      </c>
      <c r="BA385" s="44" t="s">
        <v>1139</v>
      </c>
      <c r="BC385" s="45">
        <f>AW385+AX385</f>
        <v>0</v>
      </c>
      <c r="BD385" s="45">
        <f>J385/(100-BE385)*100</f>
        <v>0</v>
      </c>
      <c r="BE385" s="45">
        <v>0</v>
      </c>
      <c r="BF385" s="45">
        <f>385</f>
        <v>385</v>
      </c>
      <c r="BH385" s="28">
        <f>I385*AO385</f>
        <v>0</v>
      </c>
      <c r="BI385" s="28">
        <f>I385*AP385</f>
        <v>0</v>
      </c>
      <c r="BJ385" s="28">
        <f>I385*J385</f>
        <v>0</v>
      </c>
      <c r="BK385" s="28" t="s">
        <v>1147</v>
      </c>
      <c r="BL385" s="45">
        <v>766</v>
      </c>
    </row>
    <row r="386" spans="1:64" x14ac:dyDescent="0.2">
      <c r="A386" s="6"/>
      <c r="C386" s="20" t="s">
        <v>302</v>
      </c>
      <c r="D386" s="248" t="s">
        <v>876</v>
      </c>
      <c r="E386" s="249"/>
      <c r="F386" s="249"/>
      <c r="G386" s="249"/>
      <c r="H386" s="249"/>
      <c r="I386" s="249"/>
      <c r="J386" s="249"/>
      <c r="K386" s="249"/>
      <c r="L386" s="249"/>
      <c r="M386" s="249"/>
      <c r="N386" s="249"/>
      <c r="O386" s="250"/>
      <c r="P386" s="6"/>
    </row>
    <row r="387" spans="1:64" x14ac:dyDescent="0.2">
      <c r="A387" s="7" t="s">
        <v>185</v>
      </c>
      <c r="B387" s="17" t="s">
        <v>305</v>
      </c>
      <c r="C387" s="17" t="s">
        <v>495</v>
      </c>
      <c r="D387" s="241" t="s">
        <v>883</v>
      </c>
      <c r="E387" s="242"/>
      <c r="F387" s="242"/>
      <c r="G387" s="242"/>
      <c r="H387" s="17" t="s">
        <v>1045</v>
      </c>
      <c r="I387" s="28">
        <v>1</v>
      </c>
      <c r="J387" s="154"/>
      <c r="K387" s="28">
        <f>I387*AO387</f>
        <v>0</v>
      </c>
      <c r="L387" s="28">
        <f>I387*AP387</f>
        <v>0</v>
      </c>
      <c r="M387" s="28">
        <f>I387*J387</f>
        <v>0</v>
      </c>
      <c r="N387" s="57">
        <f>IF(M623=0,0,M387/M623)</f>
        <v>0</v>
      </c>
      <c r="O387" s="40" t="s">
        <v>1068</v>
      </c>
      <c r="P387" s="6"/>
      <c r="Z387" s="45">
        <f>IF(AQ387="5",BJ387,0)</f>
        <v>0</v>
      </c>
      <c r="AB387" s="45">
        <f>IF(AQ387="1",BH387,0)</f>
        <v>0</v>
      </c>
      <c r="AC387" s="45">
        <f>IF(AQ387="1",BI387,0)</f>
        <v>0</v>
      </c>
      <c r="AD387" s="45">
        <f>IF(AQ387="7",BH387,0)</f>
        <v>0</v>
      </c>
      <c r="AE387" s="45">
        <f>IF(AQ387="7",BI387,0)</f>
        <v>0</v>
      </c>
      <c r="AF387" s="45">
        <f>IF(AQ387="2",BH387,0)</f>
        <v>0</v>
      </c>
      <c r="AG387" s="45">
        <f>IF(AQ387="2",BI387,0)</f>
        <v>0</v>
      </c>
      <c r="AH387" s="45">
        <f>IF(AQ387="0",BJ387,0)</f>
        <v>0</v>
      </c>
      <c r="AI387" s="44" t="s">
        <v>305</v>
      </c>
      <c r="AJ387" s="28">
        <f>IF(AN387=0,M387,0)</f>
        <v>0</v>
      </c>
      <c r="AK387" s="28">
        <f>IF(AN387=15,M387,0)</f>
        <v>0</v>
      </c>
      <c r="AL387" s="28">
        <f>IF(AN387=21,M387,0)</f>
        <v>0</v>
      </c>
      <c r="AN387" s="45">
        <v>15</v>
      </c>
      <c r="AO387" s="45">
        <f>J387*1</f>
        <v>0</v>
      </c>
      <c r="AP387" s="45">
        <f>J387*(1-1)</f>
        <v>0</v>
      </c>
      <c r="AQ387" s="47" t="s">
        <v>13</v>
      </c>
      <c r="AV387" s="45">
        <f>AW387+AX387</f>
        <v>0</v>
      </c>
      <c r="AW387" s="45">
        <f>I387*AO387</f>
        <v>0</v>
      </c>
      <c r="AX387" s="45">
        <f>I387*AP387</f>
        <v>0</v>
      </c>
      <c r="AY387" s="48" t="s">
        <v>1099</v>
      </c>
      <c r="AZ387" s="48" t="s">
        <v>1125</v>
      </c>
      <c r="BA387" s="44" t="s">
        <v>1139</v>
      </c>
      <c r="BC387" s="45">
        <f>AW387+AX387</f>
        <v>0</v>
      </c>
      <c r="BD387" s="45">
        <f>J387/(100-BE387)*100</f>
        <v>0</v>
      </c>
      <c r="BE387" s="45">
        <v>0</v>
      </c>
      <c r="BF387" s="45">
        <f>387</f>
        <v>387</v>
      </c>
      <c r="BH387" s="28">
        <f>I387*AO387</f>
        <v>0</v>
      </c>
      <c r="BI387" s="28">
        <f>I387*AP387</f>
        <v>0</v>
      </c>
      <c r="BJ387" s="28">
        <f>I387*J387</f>
        <v>0</v>
      </c>
      <c r="BK387" s="28" t="s">
        <v>1147</v>
      </c>
      <c r="BL387" s="45">
        <v>766</v>
      </c>
    </row>
    <row r="388" spans="1:64" x14ac:dyDescent="0.2">
      <c r="A388" s="6"/>
      <c r="C388" s="20" t="s">
        <v>302</v>
      </c>
      <c r="D388" s="248" t="s">
        <v>876</v>
      </c>
      <c r="E388" s="249"/>
      <c r="F388" s="249"/>
      <c r="G388" s="249"/>
      <c r="H388" s="249"/>
      <c r="I388" s="249"/>
      <c r="J388" s="249"/>
      <c r="K388" s="249"/>
      <c r="L388" s="249"/>
      <c r="M388" s="249"/>
      <c r="N388" s="249"/>
      <c r="O388" s="250"/>
      <c r="P388" s="6"/>
    </row>
    <row r="389" spans="1:64" x14ac:dyDescent="0.2">
      <c r="A389" s="5" t="s">
        <v>186</v>
      </c>
      <c r="B389" s="16" t="s">
        <v>305</v>
      </c>
      <c r="C389" s="16" t="s">
        <v>496</v>
      </c>
      <c r="D389" s="243" t="s">
        <v>884</v>
      </c>
      <c r="E389" s="244"/>
      <c r="F389" s="244"/>
      <c r="G389" s="244"/>
      <c r="H389" s="16" t="s">
        <v>1045</v>
      </c>
      <c r="I389" s="27">
        <v>16</v>
      </c>
      <c r="J389" s="149"/>
      <c r="K389" s="27">
        <f>I389*AO389</f>
        <v>0</v>
      </c>
      <c r="L389" s="27">
        <f>I389*AP389</f>
        <v>0</v>
      </c>
      <c r="M389" s="27">
        <f>I389*J389</f>
        <v>0</v>
      </c>
      <c r="N389" s="56">
        <f>IF(M623=0,0,M389/M623)</f>
        <v>0</v>
      </c>
      <c r="O389" s="39" t="s">
        <v>1068</v>
      </c>
      <c r="P389" s="6"/>
      <c r="Z389" s="45">
        <f>IF(AQ389="5",BJ389,0)</f>
        <v>0</v>
      </c>
      <c r="AB389" s="45">
        <f>IF(AQ389="1",BH389,0)</f>
        <v>0</v>
      </c>
      <c r="AC389" s="45">
        <f>IF(AQ389="1",BI389,0)</f>
        <v>0</v>
      </c>
      <c r="AD389" s="45">
        <f>IF(AQ389="7",BH389,0)</f>
        <v>0</v>
      </c>
      <c r="AE389" s="45">
        <f>IF(AQ389="7",BI389,0)</f>
        <v>0</v>
      </c>
      <c r="AF389" s="45">
        <f>IF(AQ389="2",BH389,0)</f>
        <v>0</v>
      </c>
      <c r="AG389" s="45">
        <f>IF(AQ389="2",BI389,0)</f>
        <v>0</v>
      </c>
      <c r="AH389" s="45">
        <f>IF(AQ389="0",BJ389,0)</f>
        <v>0</v>
      </c>
      <c r="AI389" s="44" t="s">
        <v>305</v>
      </c>
      <c r="AJ389" s="27">
        <f>IF(AN389=0,M389,0)</f>
        <v>0</v>
      </c>
      <c r="AK389" s="27">
        <f>IF(AN389=15,M389,0)</f>
        <v>0</v>
      </c>
      <c r="AL389" s="27">
        <f>IF(AN389=21,M389,0)</f>
        <v>0</v>
      </c>
      <c r="AN389" s="45">
        <v>15</v>
      </c>
      <c r="AO389" s="45">
        <f>J389*0</f>
        <v>0</v>
      </c>
      <c r="AP389" s="45">
        <f>J389*(1-0)</f>
        <v>0</v>
      </c>
      <c r="AQ389" s="46" t="s">
        <v>13</v>
      </c>
      <c r="AV389" s="45">
        <f>AW389+AX389</f>
        <v>0</v>
      </c>
      <c r="AW389" s="45">
        <f>I389*AO389</f>
        <v>0</v>
      </c>
      <c r="AX389" s="45">
        <f>I389*AP389</f>
        <v>0</v>
      </c>
      <c r="AY389" s="48" t="s">
        <v>1099</v>
      </c>
      <c r="AZ389" s="48" t="s">
        <v>1125</v>
      </c>
      <c r="BA389" s="44" t="s">
        <v>1139</v>
      </c>
      <c r="BC389" s="45">
        <f>AW389+AX389</f>
        <v>0</v>
      </c>
      <c r="BD389" s="45">
        <f>J389/(100-BE389)*100</f>
        <v>0</v>
      </c>
      <c r="BE389" s="45">
        <v>0</v>
      </c>
      <c r="BF389" s="45">
        <f>389</f>
        <v>389</v>
      </c>
      <c r="BH389" s="27">
        <f>I389*AO389</f>
        <v>0</v>
      </c>
      <c r="BI389" s="27">
        <f>I389*AP389</f>
        <v>0</v>
      </c>
      <c r="BJ389" s="27">
        <f>I389*J389</f>
        <v>0</v>
      </c>
      <c r="BK389" s="27" t="s">
        <v>1146</v>
      </c>
      <c r="BL389" s="45">
        <v>766</v>
      </c>
    </row>
    <row r="390" spans="1:64" x14ac:dyDescent="0.2">
      <c r="A390" s="7" t="s">
        <v>187</v>
      </c>
      <c r="B390" s="17" t="s">
        <v>305</v>
      </c>
      <c r="C390" s="17" t="s">
        <v>497</v>
      </c>
      <c r="D390" s="241" t="s">
        <v>885</v>
      </c>
      <c r="E390" s="242"/>
      <c r="F390" s="242"/>
      <c r="G390" s="242"/>
      <c r="H390" s="17" t="s">
        <v>1045</v>
      </c>
      <c r="I390" s="28">
        <v>16</v>
      </c>
      <c r="J390" s="154"/>
      <c r="K390" s="28">
        <f>I390*AO390</f>
        <v>0</v>
      </c>
      <c r="L390" s="28">
        <f>I390*AP390</f>
        <v>0</v>
      </c>
      <c r="M390" s="28">
        <f>I390*J390</f>
        <v>0</v>
      </c>
      <c r="N390" s="57">
        <f>IF(M623=0,0,M390/M623)</f>
        <v>0</v>
      </c>
      <c r="O390" s="40" t="s">
        <v>1068</v>
      </c>
      <c r="P390" s="6"/>
      <c r="Z390" s="45">
        <f>IF(AQ390="5",BJ390,0)</f>
        <v>0</v>
      </c>
      <c r="AB390" s="45">
        <f>IF(AQ390="1",BH390,0)</f>
        <v>0</v>
      </c>
      <c r="AC390" s="45">
        <f>IF(AQ390="1",BI390,0)</f>
        <v>0</v>
      </c>
      <c r="AD390" s="45">
        <f>IF(AQ390="7",BH390,0)</f>
        <v>0</v>
      </c>
      <c r="AE390" s="45">
        <f>IF(AQ390="7",BI390,0)</f>
        <v>0</v>
      </c>
      <c r="AF390" s="45">
        <f>IF(AQ390="2",BH390,0)</f>
        <v>0</v>
      </c>
      <c r="AG390" s="45">
        <f>IF(AQ390="2",BI390,0)</f>
        <v>0</v>
      </c>
      <c r="AH390" s="45">
        <f>IF(AQ390="0",BJ390,0)</f>
        <v>0</v>
      </c>
      <c r="AI390" s="44" t="s">
        <v>305</v>
      </c>
      <c r="AJ390" s="28">
        <f>IF(AN390=0,M390,0)</f>
        <v>0</v>
      </c>
      <c r="AK390" s="28">
        <f>IF(AN390=15,M390,0)</f>
        <v>0</v>
      </c>
      <c r="AL390" s="28">
        <f>IF(AN390=21,M390,0)</f>
        <v>0</v>
      </c>
      <c r="AN390" s="45">
        <v>15</v>
      </c>
      <c r="AO390" s="45">
        <f>J390*1</f>
        <v>0</v>
      </c>
      <c r="AP390" s="45">
        <f>J390*(1-1)</f>
        <v>0</v>
      </c>
      <c r="AQ390" s="47" t="s">
        <v>13</v>
      </c>
      <c r="AV390" s="45">
        <f>AW390+AX390</f>
        <v>0</v>
      </c>
      <c r="AW390" s="45">
        <f>I390*AO390</f>
        <v>0</v>
      </c>
      <c r="AX390" s="45">
        <f>I390*AP390</f>
        <v>0</v>
      </c>
      <c r="AY390" s="48" t="s">
        <v>1099</v>
      </c>
      <c r="AZ390" s="48" t="s">
        <v>1125</v>
      </c>
      <c r="BA390" s="44" t="s">
        <v>1139</v>
      </c>
      <c r="BC390" s="45">
        <f>AW390+AX390</f>
        <v>0</v>
      </c>
      <c r="BD390" s="45">
        <f>J390/(100-BE390)*100</f>
        <v>0</v>
      </c>
      <c r="BE390" s="45">
        <v>0</v>
      </c>
      <c r="BF390" s="45">
        <f>390</f>
        <v>390</v>
      </c>
      <c r="BH390" s="28">
        <f>I390*AO390</f>
        <v>0</v>
      </c>
      <c r="BI390" s="28">
        <f>I390*AP390</f>
        <v>0</v>
      </c>
      <c r="BJ390" s="28">
        <f>I390*J390</f>
        <v>0</v>
      </c>
      <c r="BK390" s="28" t="s">
        <v>1147</v>
      </c>
      <c r="BL390" s="45">
        <v>766</v>
      </c>
    </row>
    <row r="391" spans="1:64" x14ac:dyDescent="0.2">
      <c r="A391" s="6"/>
      <c r="C391" s="20" t="s">
        <v>302</v>
      </c>
      <c r="D391" s="248" t="s">
        <v>876</v>
      </c>
      <c r="E391" s="249"/>
      <c r="F391" s="249"/>
      <c r="G391" s="249"/>
      <c r="H391" s="249"/>
      <c r="I391" s="249"/>
      <c r="J391" s="249"/>
      <c r="K391" s="249"/>
      <c r="L391" s="249"/>
      <c r="M391" s="249"/>
      <c r="N391" s="249"/>
      <c r="O391" s="250"/>
      <c r="P391" s="6"/>
    </row>
    <row r="392" spans="1:64" x14ac:dyDescent="0.2">
      <c r="A392" s="5" t="s">
        <v>188</v>
      </c>
      <c r="B392" s="16" t="s">
        <v>305</v>
      </c>
      <c r="C392" s="16" t="s">
        <v>498</v>
      </c>
      <c r="D392" s="243" t="s">
        <v>886</v>
      </c>
      <c r="E392" s="244"/>
      <c r="F392" s="244"/>
      <c r="G392" s="244"/>
      <c r="H392" s="16" t="s">
        <v>1045</v>
      </c>
      <c r="I392" s="27">
        <v>1</v>
      </c>
      <c r="J392" s="149"/>
      <c r="K392" s="27">
        <f>I392*AO392</f>
        <v>0</v>
      </c>
      <c r="L392" s="27">
        <f>I392*AP392</f>
        <v>0</v>
      </c>
      <c r="M392" s="27">
        <f>I392*J392</f>
        <v>0</v>
      </c>
      <c r="N392" s="56">
        <f>IF(M623=0,0,M392/M623)</f>
        <v>0</v>
      </c>
      <c r="O392" s="39" t="s">
        <v>1068</v>
      </c>
      <c r="P392" s="6"/>
      <c r="Z392" s="45">
        <f>IF(AQ392="5",BJ392,0)</f>
        <v>0</v>
      </c>
      <c r="AB392" s="45">
        <f>IF(AQ392="1",BH392,0)</f>
        <v>0</v>
      </c>
      <c r="AC392" s="45">
        <f>IF(AQ392="1",BI392,0)</f>
        <v>0</v>
      </c>
      <c r="AD392" s="45">
        <f>IF(AQ392="7",BH392,0)</f>
        <v>0</v>
      </c>
      <c r="AE392" s="45">
        <f>IF(AQ392="7",BI392,0)</f>
        <v>0</v>
      </c>
      <c r="AF392" s="45">
        <f>IF(AQ392="2",BH392,0)</f>
        <v>0</v>
      </c>
      <c r="AG392" s="45">
        <f>IF(AQ392="2",BI392,0)</f>
        <v>0</v>
      </c>
      <c r="AH392" s="45">
        <f>IF(AQ392="0",BJ392,0)</f>
        <v>0</v>
      </c>
      <c r="AI392" s="44" t="s">
        <v>305</v>
      </c>
      <c r="AJ392" s="27">
        <f>IF(AN392=0,M392,0)</f>
        <v>0</v>
      </c>
      <c r="AK392" s="27">
        <f>IF(AN392=15,M392,0)</f>
        <v>0</v>
      </c>
      <c r="AL392" s="27">
        <f>IF(AN392=21,M392,0)</f>
        <v>0</v>
      </c>
      <c r="AN392" s="45">
        <v>15</v>
      </c>
      <c r="AO392" s="45">
        <f>J392*0</f>
        <v>0</v>
      </c>
      <c r="AP392" s="45">
        <f>J392*(1-0)</f>
        <v>0</v>
      </c>
      <c r="AQ392" s="46" t="s">
        <v>13</v>
      </c>
      <c r="AV392" s="45">
        <f>AW392+AX392</f>
        <v>0</v>
      </c>
      <c r="AW392" s="45">
        <f>I392*AO392</f>
        <v>0</v>
      </c>
      <c r="AX392" s="45">
        <f>I392*AP392</f>
        <v>0</v>
      </c>
      <c r="AY392" s="48" t="s">
        <v>1099</v>
      </c>
      <c r="AZ392" s="48" t="s">
        <v>1125</v>
      </c>
      <c r="BA392" s="44" t="s">
        <v>1139</v>
      </c>
      <c r="BC392" s="45">
        <f>AW392+AX392</f>
        <v>0</v>
      </c>
      <c r="BD392" s="45">
        <f>J392/(100-BE392)*100</f>
        <v>0</v>
      </c>
      <c r="BE392" s="45">
        <v>0</v>
      </c>
      <c r="BF392" s="45">
        <f>392</f>
        <v>392</v>
      </c>
      <c r="BH392" s="27">
        <f>I392*AO392</f>
        <v>0</v>
      </c>
      <c r="BI392" s="27">
        <f>I392*AP392</f>
        <v>0</v>
      </c>
      <c r="BJ392" s="27">
        <f>I392*J392</f>
        <v>0</v>
      </c>
      <c r="BK392" s="27" t="s">
        <v>1146</v>
      </c>
      <c r="BL392" s="45">
        <v>766</v>
      </c>
    </row>
    <row r="393" spans="1:64" x14ac:dyDescent="0.2">
      <c r="A393" s="6"/>
      <c r="C393" s="21" t="s">
        <v>310</v>
      </c>
      <c r="D393" s="245" t="s">
        <v>753</v>
      </c>
      <c r="E393" s="246"/>
      <c r="F393" s="246"/>
      <c r="G393" s="246"/>
      <c r="H393" s="246"/>
      <c r="I393" s="246"/>
      <c r="J393" s="246"/>
      <c r="K393" s="246"/>
      <c r="L393" s="246"/>
      <c r="M393" s="246"/>
      <c r="N393" s="246"/>
      <c r="O393" s="247"/>
      <c r="P393" s="6"/>
    </row>
    <row r="394" spans="1:64" x14ac:dyDescent="0.2">
      <c r="A394" s="7" t="s">
        <v>189</v>
      </c>
      <c r="B394" s="17" t="s">
        <v>305</v>
      </c>
      <c r="C394" s="17" t="s">
        <v>499</v>
      </c>
      <c r="D394" s="241" t="s">
        <v>887</v>
      </c>
      <c r="E394" s="242"/>
      <c r="F394" s="242"/>
      <c r="G394" s="242"/>
      <c r="H394" s="17" t="s">
        <v>1045</v>
      </c>
      <c r="I394" s="28">
        <v>1</v>
      </c>
      <c r="J394" s="154"/>
      <c r="K394" s="28">
        <f>I394*AO394</f>
        <v>0</v>
      </c>
      <c r="L394" s="28">
        <f>I394*AP394</f>
        <v>0</v>
      </c>
      <c r="M394" s="28">
        <f>I394*J394</f>
        <v>0</v>
      </c>
      <c r="N394" s="57">
        <f>IF(M623=0,0,M394/M623)</f>
        <v>0</v>
      </c>
      <c r="O394" s="40" t="s">
        <v>1069</v>
      </c>
      <c r="P394" s="6"/>
      <c r="Z394" s="45">
        <f>IF(AQ394="5",BJ394,0)</f>
        <v>0</v>
      </c>
      <c r="AB394" s="45">
        <f>IF(AQ394="1",BH394,0)</f>
        <v>0</v>
      </c>
      <c r="AC394" s="45">
        <f>IF(AQ394="1",BI394,0)</f>
        <v>0</v>
      </c>
      <c r="AD394" s="45">
        <f>IF(AQ394="7",BH394,0)</f>
        <v>0</v>
      </c>
      <c r="AE394" s="45">
        <f>IF(AQ394="7",BI394,0)</f>
        <v>0</v>
      </c>
      <c r="AF394" s="45">
        <f>IF(AQ394="2",BH394,0)</f>
        <v>0</v>
      </c>
      <c r="AG394" s="45">
        <f>IF(AQ394="2",BI394,0)</f>
        <v>0</v>
      </c>
      <c r="AH394" s="45">
        <f>IF(AQ394="0",BJ394,0)</f>
        <v>0</v>
      </c>
      <c r="AI394" s="44" t="s">
        <v>305</v>
      </c>
      <c r="AJ394" s="28">
        <f>IF(AN394=0,M394,0)</f>
        <v>0</v>
      </c>
      <c r="AK394" s="28">
        <f>IF(AN394=15,M394,0)</f>
        <v>0</v>
      </c>
      <c r="AL394" s="28">
        <f>IF(AN394=21,M394,0)</f>
        <v>0</v>
      </c>
      <c r="AN394" s="45">
        <v>15</v>
      </c>
      <c r="AO394" s="45">
        <f>J394*1</f>
        <v>0</v>
      </c>
      <c r="AP394" s="45">
        <f>J394*(1-1)</f>
        <v>0</v>
      </c>
      <c r="AQ394" s="47" t="s">
        <v>13</v>
      </c>
      <c r="AV394" s="45">
        <f>AW394+AX394</f>
        <v>0</v>
      </c>
      <c r="AW394" s="45">
        <f>I394*AO394</f>
        <v>0</v>
      </c>
      <c r="AX394" s="45">
        <f>I394*AP394</f>
        <v>0</v>
      </c>
      <c r="AY394" s="48" t="s">
        <v>1099</v>
      </c>
      <c r="AZ394" s="48" t="s">
        <v>1125</v>
      </c>
      <c r="BA394" s="44" t="s">
        <v>1139</v>
      </c>
      <c r="BC394" s="45">
        <f>AW394+AX394</f>
        <v>0</v>
      </c>
      <c r="BD394" s="45">
        <f>J394/(100-BE394)*100</f>
        <v>0</v>
      </c>
      <c r="BE394" s="45">
        <v>0</v>
      </c>
      <c r="BF394" s="45">
        <f>394</f>
        <v>394</v>
      </c>
      <c r="BH394" s="28">
        <f>I394*AO394</f>
        <v>0</v>
      </c>
      <c r="BI394" s="28">
        <f>I394*AP394</f>
        <v>0</v>
      </c>
      <c r="BJ394" s="28">
        <f>I394*J394</f>
        <v>0</v>
      </c>
      <c r="BK394" s="28" t="s">
        <v>1147</v>
      </c>
      <c r="BL394" s="45">
        <v>766</v>
      </c>
    </row>
    <row r="395" spans="1:64" x14ac:dyDescent="0.2">
      <c r="A395" s="6"/>
      <c r="C395" s="20" t="s">
        <v>302</v>
      </c>
      <c r="D395" s="248" t="s">
        <v>876</v>
      </c>
      <c r="E395" s="249"/>
      <c r="F395" s="249"/>
      <c r="G395" s="249"/>
      <c r="H395" s="249"/>
      <c r="I395" s="249"/>
      <c r="J395" s="249"/>
      <c r="K395" s="249"/>
      <c r="L395" s="249"/>
      <c r="M395" s="249"/>
      <c r="N395" s="249"/>
      <c r="O395" s="250"/>
      <c r="P395" s="6"/>
    </row>
    <row r="396" spans="1:64" x14ac:dyDescent="0.2">
      <c r="A396" s="7" t="s">
        <v>190</v>
      </c>
      <c r="B396" s="17" t="s">
        <v>305</v>
      </c>
      <c r="C396" s="17" t="s">
        <v>500</v>
      </c>
      <c r="D396" s="241" t="s">
        <v>888</v>
      </c>
      <c r="E396" s="242"/>
      <c r="F396" s="242"/>
      <c r="G396" s="242"/>
      <c r="H396" s="17" t="s">
        <v>1045</v>
      </c>
      <c r="I396" s="28">
        <v>1</v>
      </c>
      <c r="J396" s="154"/>
      <c r="K396" s="28">
        <f>I396*AO396</f>
        <v>0</v>
      </c>
      <c r="L396" s="28">
        <f>I396*AP396</f>
        <v>0</v>
      </c>
      <c r="M396" s="28">
        <f>I396*J396</f>
        <v>0</v>
      </c>
      <c r="N396" s="57">
        <f>IF(M623=0,0,M396/M623)</f>
        <v>0</v>
      </c>
      <c r="O396" s="40" t="s">
        <v>1069</v>
      </c>
      <c r="P396" s="6"/>
      <c r="Z396" s="45">
        <f>IF(AQ396="5",BJ396,0)</f>
        <v>0</v>
      </c>
      <c r="AB396" s="45">
        <f>IF(AQ396="1",BH396,0)</f>
        <v>0</v>
      </c>
      <c r="AC396" s="45">
        <f>IF(AQ396="1",BI396,0)</f>
        <v>0</v>
      </c>
      <c r="AD396" s="45">
        <f>IF(AQ396="7",BH396,0)</f>
        <v>0</v>
      </c>
      <c r="AE396" s="45">
        <f>IF(AQ396="7",BI396,0)</f>
        <v>0</v>
      </c>
      <c r="AF396" s="45">
        <f>IF(AQ396="2",BH396,0)</f>
        <v>0</v>
      </c>
      <c r="AG396" s="45">
        <f>IF(AQ396="2",BI396,0)</f>
        <v>0</v>
      </c>
      <c r="AH396" s="45">
        <f>IF(AQ396="0",BJ396,0)</f>
        <v>0</v>
      </c>
      <c r="AI396" s="44" t="s">
        <v>305</v>
      </c>
      <c r="AJ396" s="28">
        <f>IF(AN396=0,M396,0)</f>
        <v>0</v>
      </c>
      <c r="AK396" s="28">
        <f>IF(AN396=15,M396,0)</f>
        <v>0</v>
      </c>
      <c r="AL396" s="28">
        <f>IF(AN396=21,M396,0)</f>
        <v>0</v>
      </c>
      <c r="AN396" s="45">
        <v>15</v>
      </c>
      <c r="AO396" s="45">
        <f>J396*1</f>
        <v>0</v>
      </c>
      <c r="AP396" s="45">
        <f>J396*(1-1)</f>
        <v>0</v>
      </c>
      <c r="AQ396" s="47" t="s">
        <v>13</v>
      </c>
      <c r="AV396" s="45">
        <f>AW396+AX396</f>
        <v>0</v>
      </c>
      <c r="AW396" s="45">
        <f>I396*AO396</f>
        <v>0</v>
      </c>
      <c r="AX396" s="45">
        <f>I396*AP396</f>
        <v>0</v>
      </c>
      <c r="AY396" s="48" t="s">
        <v>1099</v>
      </c>
      <c r="AZ396" s="48" t="s">
        <v>1125</v>
      </c>
      <c r="BA396" s="44" t="s">
        <v>1139</v>
      </c>
      <c r="BC396" s="45">
        <f>AW396+AX396</f>
        <v>0</v>
      </c>
      <c r="BD396" s="45">
        <f>J396/(100-BE396)*100</f>
        <v>0</v>
      </c>
      <c r="BE396" s="45">
        <v>0</v>
      </c>
      <c r="BF396" s="45">
        <f>396</f>
        <v>396</v>
      </c>
      <c r="BH396" s="28">
        <f>I396*AO396</f>
        <v>0</v>
      </c>
      <c r="BI396" s="28">
        <f>I396*AP396</f>
        <v>0</v>
      </c>
      <c r="BJ396" s="28">
        <f>I396*J396</f>
        <v>0</v>
      </c>
      <c r="BK396" s="28" t="s">
        <v>1147</v>
      </c>
      <c r="BL396" s="45">
        <v>766</v>
      </c>
    </row>
    <row r="397" spans="1:64" x14ac:dyDescent="0.2">
      <c r="A397" s="6"/>
      <c r="C397" s="20" t="s">
        <v>302</v>
      </c>
      <c r="D397" s="248" t="s">
        <v>876</v>
      </c>
      <c r="E397" s="249"/>
      <c r="F397" s="249"/>
      <c r="G397" s="249"/>
      <c r="H397" s="249"/>
      <c r="I397" s="249"/>
      <c r="J397" s="249"/>
      <c r="K397" s="249"/>
      <c r="L397" s="249"/>
      <c r="M397" s="249"/>
      <c r="N397" s="249"/>
      <c r="O397" s="250"/>
      <c r="P397" s="6"/>
    </row>
    <row r="398" spans="1:64" x14ac:dyDescent="0.2">
      <c r="A398" s="5" t="s">
        <v>191</v>
      </c>
      <c r="B398" s="16" t="s">
        <v>305</v>
      </c>
      <c r="C398" s="16" t="s">
        <v>501</v>
      </c>
      <c r="D398" s="243" t="s">
        <v>889</v>
      </c>
      <c r="E398" s="244"/>
      <c r="F398" s="244"/>
      <c r="G398" s="244"/>
      <c r="H398" s="16" t="s">
        <v>1044</v>
      </c>
      <c r="I398" s="27">
        <v>33.659999999999997</v>
      </c>
      <c r="J398" s="149"/>
      <c r="K398" s="27">
        <f>I398*AO398</f>
        <v>0</v>
      </c>
      <c r="L398" s="27">
        <f>I398*AP398</f>
        <v>0</v>
      </c>
      <c r="M398" s="27">
        <f>I398*J398</f>
        <v>0</v>
      </c>
      <c r="N398" s="56">
        <f>IF(M623=0,0,M398/M623)</f>
        <v>0</v>
      </c>
      <c r="O398" s="39" t="s">
        <v>1068</v>
      </c>
      <c r="P398" s="6"/>
      <c r="Z398" s="45">
        <f>IF(AQ398="5",BJ398,0)</f>
        <v>0</v>
      </c>
      <c r="AB398" s="45">
        <f>IF(AQ398="1",BH398,0)</f>
        <v>0</v>
      </c>
      <c r="AC398" s="45">
        <f>IF(AQ398="1",BI398,0)</f>
        <v>0</v>
      </c>
      <c r="AD398" s="45">
        <f>IF(AQ398="7",BH398,0)</f>
        <v>0</v>
      </c>
      <c r="AE398" s="45">
        <f>IF(AQ398="7",BI398,0)</f>
        <v>0</v>
      </c>
      <c r="AF398" s="45">
        <f>IF(AQ398="2",BH398,0)</f>
        <v>0</v>
      </c>
      <c r="AG398" s="45">
        <f>IF(AQ398="2",BI398,0)</f>
        <v>0</v>
      </c>
      <c r="AH398" s="45">
        <f>IF(AQ398="0",BJ398,0)</f>
        <v>0</v>
      </c>
      <c r="AI398" s="44" t="s">
        <v>305</v>
      </c>
      <c r="AJ398" s="27">
        <f>IF(AN398=0,M398,0)</f>
        <v>0</v>
      </c>
      <c r="AK398" s="27">
        <f>IF(AN398=15,M398,0)</f>
        <v>0</v>
      </c>
      <c r="AL398" s="27">
        <f>IF(AN398=21,M398,0)</f>
        <v>0</v>
      </c>
      <c r="AN398" s="45">
        <v>15</v>
      </c>
      <c r="AO398" s="45">
        <f>J398*0.170830211160389</f>
        <v>0</v>
      </c>
      <c r="AP398" s="45">
        <f>J398*(1-0.170830211160389)</f>
        <v>0</v>
      </c>
      <c r="AQ398" s="46" t="s">
        <v>13</v>
      </c>
      <c r="AV398" s="45">
        <f>AW398+AX398</f>
        <v>0</v>
      </c>
      <c r="AW398" s="45">
        <f>I398*AO398</f>
        <v>0</v>
      </c>
      <c r="AX398" s="45">
        <f>I398*AP398</f>
        <v>0</v>
      </c>
      <c r="AY398" s="48" t="s">
        <v>1099</v>
      </c>
      <c r="AZ398" s="48" t="s">
        <v>1125</v>
      </c>
      <c r="BA398" s="44" t="s">
        <v>1139</v>
      </c>
      <c r="BC398" s="45">
        <f>AW398+AX398</f>
        <v>0</v>
      </c>
      <c r="BD398" s="45">
        <f>J398/(100-BE398)*100</f>
        <v>0</v>
      </c>
      <c r="BE398" s="45">
        <v>0</v>
      </c>
      <c r="BF398" s="45">
        <f>398</f>
        <v>398</v>
      </c>
      <c r="BH398" s="27">
        <f>I398*AO398</f>
        <v>0</v>
      </c>
      <c r="BI398" s="27">
        <f>I398*AP398</f>
        <v>0</v>
      </c>
      <c r="BJ398" s="27">
        <f>I398*J398</f>
        <v>0</v>
      </c>
      <c r="BK398" s="27" t="s">
        <v>1146</v>
      </c>
      <c r="BL398" s="45">
        <v>766</v>
      </c>
    </row>
    <row r="399" spans="1:64" x14ac:dyDescent="0.2">
      <c r="A399" s="7" t="s">
        <v>192</v>
      </c>
      <c r="B399" s="17" t="s">
        <v>305</v>
      </c>
      <c r="C399" s="17" t="s">
        <v>502</v>
      </c>
      <c r="D399" s="241" t="s">
        <v>890</v>
      </c>
      <c r="E399" s="242"/>
      <c r="F399" s="242"/>
      <c r="G399" s="242"/>
      <c r="H399" s="17" t="s">
        <v>1045</v>
      </c>
      <c r="I399" s="28">
        <v>33</v>
      </c>
      <c r="J399" s="154"/>
      <c r="K399" s="28">
        <f>I399*AO399</f>
        <v>0</v>
      </c>
      <c r="L399" s="28">
        <f>I399*AP399</f>
        <v>0</v>
      </c>
      <c r="M399" s="28">
        <f>I399*J399</f>
        <v>0</v>
      </c>
      <c r="N399" s="57">
        <f>IF(M623=0,0,M399/M623)</f>
        <v>0</v>
      </c>
      <c r="O399" s="40" t="s">
        <v>1068</v>
      </c>
      <c r="P399" s="6"/>
      <c r="Z399" s="45">
        <f>IF(AQ399="5",BJ399,0)</f>
        <v>0</v>
      </c>
      <c r="AB399" s="45">
        <f>IF(AQ399="1",BH399,0)</f>
        <v>0</v>
      </c>
      <c r="AC399" s="45">
        <f>IF(AQ399="1",BI399,0)</f>
        <v>0</v>
      </c>
      <c r="AD399" s="45">
        <f>IF(AQ399="7",BH399,0)</f>
        <v>0</v>
      </c>
      <c r="AE399" s="45">
        <f>IF(AQ399="7",BI399,0)</f>
        <v>0</v>
      </c>
      <c r="AF399" s="45">
        <f>IF(AQ399="2",BH399,0)</f>
        <v>0</v>
      </c>
      <c r="AG399" s="45">
        <f>IF(AQ399="2",BI399,0)</f>
        <v>0</v>
      </c>
      <c r="AH399" s="45">
        <f>IF(AQ399="0",BJ399,0)</f>
        <v>0</v>
      </c>
      <c r="AI399" s="44" t="s">
        <v>305</v>
      </c>
      <c r="AJ399" s="28">
        <f>IF(AN399=0,M399,0)</f>
        <v>0</v>
      </c>
      <c r="AK399" s="28">
        <f>IF(AN399=15,M399,0)</f>
        <v>0</v>
      </c>
      <c r="AL399" s="28">
        <f>IF(AN399=21,M399,0)</f>
        <v>0</v>
      </c>
      <c r="AN399" s="45">
        <v>15</v>
      </c>
      <c r="AO399" s="45">
        <f>J399*1</f>
        <v>0</v>
      </c>
      <c r="AP399" s="45">
        <f>J399*(1-1)</f>
        <v>0</v>
      </c>
      <c r="AQ399" s="47" t="s">
        <v>13</v>
      </c>
      <c r="AV399" s="45">
        <f>AW399+AX399</f>
        <v>0</v>
      </c>
      <c r="AW399" s="45">
        <f>I399*AO399</f>
        <v>0</v>
      </c>
      <c r="AX399" s="45">
        <f>I399*AP399</f>
        <v>0</v>
      </c>
      <c r="AY399" s="48" t="s">
        <v>1099</v>
      </c>
      <c r="AZ399" s="48" t="s">
        <v>1125</v>
      </c>
      <c r="BA399" s="44" t="s">
        <v>1139</v>
      </c>
      <c r="BC399" s="45">
        <f>AW399+AX399</f>
        <v>0</v>
      </c>
      <c r="BD399" s="45">
        <f>J399/(100-BE399)*100</f>
        <v>0</v>
      </c>
      <c r="BE399" s="45">
        <v>0</v>
      </c>
      <c r="BF399" s="45">
        <f>399</f>
        <v>399</v>
      </c>
      <c r="BH399" s="28">
        <f>I399*AO399</f>
        <v>0</v>
      </c>
      <c r="BI399" s="28">
        <f>I399*AP399</f>
        <v>0</v>
      </c>
      <c r="BJ399" s="28">
        <f>I399*J399</f>
        <v>0</v>
      </c>
      <c r="BK399" s="28" t="s">
        <v>1147</v>
      </c>
      <c r="BL399" s="45">
        <v>766</v>
      </c>
    </row>
    <row r="400" spans="1:64" x14ac:dyDescent="0.2">
      <c r="A400" s="5" t="s">
        <v>193</v>
      </c>
      <c r="B400" s="16" t="s">
        <v>305</v>
      </c>
      <c r="C400" s="16" t="s">
        <v>503</v>
      </c>
      <c r="D400" s="243" t="s">
        <v>891</v>
      </c>
      <c r="E400" s="244"/>
      <c r="F400" s="244"/>
      <c r="G400" s="244"/>
      <c r="H400" s="16" t="s">
        <v>1044</v>
      </c>
      <c r="I400" s="27">
        <v>33.659999999999997</v>
      </c>
      <c r="J400" s="149"/>
      <c r="K400" s="27">
        <f>I400*AO400</f>
        <v>0</v>
      </c>
      <c r="L400" s="27">
        <f>I400*AP400</f>
        <v>0</v>
      </c>
      <c r="M400" s="27">
        <f>I400*J400</f>
        <v>0</v>
      </c>
      <c r="N400" s="56">
        <f>IF(M623=0,0,M400/M623)</f>
        <v>0</v>
      </c>
      <c r="O400" s="39" t="s">
        <v>1068</v>
      </c>
      <c r="P400" s="6"/>
      <c r="Z400" s="45">
        <f>IF(AQ400="5",BJ400,0)</f>
        <v>0</v>
      </c>
      <c r="AB400" s="45">
        <f>IF(AQ400="1",BH400,0)</f>
        <v>0</v>
      </c>
      <c r="AC400" s="45">
        <f>IF(AQ400="1",BI400,0)</f>
        <v>0</v>
      </c>
      <c r="AD400" s="45">
        <f>IF(AQ400="7",BH400,0)</f>
        <v>0</v>
      </c>
      <c r="AE400" s="45">
        <f>IF(AQ400="7",BI400,0)</f>
        <v>0</v>
      </c>
      <c r="AF400" s="45">
        <f>IF(AQ400="2",BH400,0)</f>
        <v>0</v>
      </c>
      <c r="AG400" s="45">
        <f>IF(AQ400="2",BI400,0)</f>
        <v>0</v>
      </c>
      <c r="AH400" s="45">
        <f>IF(AQ400="0",BJ400,0)</f>
        <v>0</v>
      </c>
      <c r="AI400" s="44" t="s">
        <v>305</v>
      </c>
      <c r="AJ400" s="27">
        <f>IF(AN400=0,M400,0)</f>
        <v>0</v>
      </c>
      <c r="AK400" s="27">
        <f>IF(AN400=15,M400,0)</f>
        <v>0</v>
      </c>
      <c r="AL400" s="27">
        <f>IF(AN400=21,M400,0)</f>
        <v>0</v>
      </c>
      <c r="AN400" s="45">
        <v>15</v>
      </c>
      <c r="AO400" s="45">
        <f>J400*0.117651821862348</f>
        <v>0</v>
      </c>
      <c r="AP400" s="45">
        <f>J400*(1-0.117651821862348)</f>
        <v>0</v>
      </c>
      <c r="AQ400" s="46" t="s">
        <v>13</v>
      </c>
      <c r="AV400" s="45">
        <f>AW400+AX400</f>
        <v>0</v>
      </c>
      <c r="AW400" s="45">
        <f>I400*AO400</f>
        <v>0</v>
      </c>
      <c r="AX400" s="45">
        <f>I400*AP400</f>
        <v>0</v>
      </c>
      <c r="AY400" s="48" t="s">
        <v>1099</v>
      </c>
      <c r="AZ400" s="48" t="s">
        <v>1125</v>
      </c>
      <c r="BA400" s="44" t="s">
        <v>1139</v>
      </c>
      <c r="BC400" s="45">
        <f>AW400+AX400</f>
        <v>0</v>
      </c>
      <c r="BD400" s="45">
        <f>J400/(100-BE400)*100</f>
        <v>0</v>
      </c>
      <c r="BE400" s="45">
        <v>0</v>
      </c>
      <c r="BF400" s="45">
        <f>400</f>
        <v>400</v>
      </c>
      <c r="BH400" s="27">
        <f>I400*AO400</f>
        <v>0</v>
      </c>
      <c r="BI400" s="27">
        <f>I400*AP400</f>
        <v>0</v>
      </c>
      <c r="BJ400" s="27">
        <f>I400*J400</f>
        <v>0</v>
      </c>
      <c r="BK400" s="27" t="s">
        <v>1146</v>
      </c>
      <c r="BL400" s="45">
        <v>766</v>
      </c>
    </row>
    <row r="401" spans="1:64" x14ac:dyDescent="0.2">
      <c r="A401" s="7" t="s">
        <v>194</v>
      </c>
      <c r="B401" s="17" t="s">
        <v>305</v>
      </c>
      <c r="C401" s="17" t="s">
        <v>504</v>
      </c>
      <c r="D401" s="241" t="s">
        <v>892</v>
      </c>
      <c r="E401" s="242"/>
      <c r="F401" s="242"/>
      <c r="G401" s="242"/>
      <c r="H401" s="17" t="s">
        <v>1045</v>
      </c>
      <c r="I401" s="28">
        <v>33</v>
      </c>
      <c r="J401" s="154"/>
      <c r="K401" s="28">
        <f>I401*AO401</f>
        <v>0</v>
      </c>
      <c r="L401" s="28">
        <f>I401*AP401</f>
        <v>0</v>
      </c>
      <c r="M401" s="28">
        <f>I401*J401</f>
        <v>0</v>
      </c>
      <c r="N401" s="57">
        <f>IF(M623=0,0,M401/M623)</f>
        <v>0</v>
      </c>
      <c r="O401" s="40" t="s">
        <v>1068</v>
      </c>
      <c r="P401" s="6"/>
      <c r="Z401" s="45">
        <f>IF(AQ401="5",BJ401,0)</f>
        <v>0</v>
      </c>
      <c r="AB401" s="45">
        <f>IF(AQ401="1",BH401,0)</f>
        <v>0</v>
      </c>
      <c r="AC401" s="45">
        <f>IF(AQ401="1",BI401,0)</f>
        <v>0</v>
      </c>
      <c r="AD401" s="45">
        <f>IF(AQ401="7",BH401,0)</f>
        <v>0</v>
      </c>
      <c r="AE401" s="45">
        <f>IF(AQ401="7",BI401,0)</f>
        <v>0</v>
      </c>
      <c r="AF401" s="45">
        <f>IF(AQ401="2",BH401,0)</f>
        <v>0</v>
      </c>
      <c r="AG401" s="45">
        <f>IF(AQ401="2",BI401,0)</f>
        <v>0</v>
      </c>
      <c r="AH401" s="45">
        <f>IF(AQ401="0",BJ401,0)</f>
        <v>0</v>
      </c>
      <c r="AI401" s="44" t="s">
        <v>305</v>
      </c>
      <c r="AJ401" s="28">
        <f>IF(AN401=0,M401,0)</f>
        <v>0</v>
      </c>
      <c r="AK401" s="28">
        <f>IF(AN401=15,M401,0)</f>
        <v>0</v>
      </c>
      <c r="AL401" s="28">
        <f>IF(AN401=21,M401,0)</f>
        <v>0</v>
      </c>
      <c r="AN401" s="45">
        <v>15</v>
      </c>
      <c r="AO401" s="45">
        <f>J401*1</f>
        <v>0</v>
      </c>
      <c r="AP401" s="45">
        <f>J401*(1-1)</f>
        <v>0</v>
      </c>
      <c r="AQ401" s="47" t="s">
        <v>13</v>
      </c>
      <c r="AV401" s="45">
        <f>AW401+AX401</f>
        <v>0</v>
      </c>
      <c r="AW401" s="45">
        <f>I401*AO401</f>
        <v>0</v>
      </c>
      <c r="AX401" s="45">
        <f>I401*AP401</f>
        <v>0</v>
      </c>
      <c r="AY401" s="48" t="s">
        <v>1099</v>
      </c>
      <c r="AZ401" s="48" t="s">
        <v>1125</v>
      </c>
      <c r="BA401" s="44" t="s">
        <v>1139</v>
      </c>
      <c r="BC401" s="45">
        <f>AW401+AX401</f>
        <v>0</v>
      </c>
      <c r="BD401" s="45">
        <f>J401/(100-BE401)*100</f>
        <v>0</v>
      </c>
      <c r="BE401" s="45">
        <v>0</v>
      </c>
      <c r="BF401" s="45">
        <f>401</f>
        <v>401</v>
      </c>
      <c r="BH401" s="28">
        <f>I401*AO401</f>
        <v>0</v>
      </c>
      <c r="BI401" s="28">
        <f>I401*AP401</f>
        <v>0</v>
      </c>
      <c r="BJ401" s="28">
        <f>I401*J401</f>
        <v>0</v>
      </c>
      <c r="BK401" s="28" t="s">
        <v>1147</v>
      </c>
      <c r="BL401" s="45">
        <v>766</v>
      </c>
    </row>
    <row r="402" spans="1:64" x14ac:dyDescent="0.2">
      <c r="A402" s="5" t="s">
        <v>195</v>
      </c>
      <c r="B402" s="16" t="s">
        <v>305</v>
      </c>
      <c r="C402" s="16" t="s">
        <v>505</v>
      </c>
      <c r="D402" s="243" t="s">
        <v>893</v>
      </c>
      <c r="E402" s="244"/>
      <c r="F402" s="244"/>
      <c r="G402" s="244"/>
      <c r="H402" s="16" t="s">
        <v>1044</v>
      </c>
      <c r="I402" s="27">
        <v>28.78</v>
      </c>
      <c r="J402" s="149"/>
      <c r="K402" s="27">
        <f>I402*AO402</f>
        <v>0</v>
      </c>
      <c r="L402" s="27">
        <f>I402*AP402</f>
        <v>0</v>
      </c>
      <c r="M402" s="27">
        <f>I402*J402</f>
        <v>0</v>
      </c>
      <c r="N402" s="56">
        <f>IF(M623=0,0,M402/M623)</f>
        <v>0</v>
      </c>
      <c r="O402" s="39" t="s">
        <v>1068</v>
      </c>
      <c r="P402" s="6"/>
      <c r="Z402" s="45">
        <f>IF(AQ402="5",BJ402,0)</f>
        <v>0</v>
      </c>
      <c r="AB402" s="45">
        <f>IF(AQ402="1",BH402,0)</f>
        <v>0</v>
      </c>
      <c r="AC402" s="45">
        <f>IF(AQ402="1",BI402,0)</f>
        <v>0</v>
      </c>
      <c r="AD402" s="45">
        <f>IF(AQ402="7",BH402,0)</f>
        <v>0</v>
      </c>
      <c r="AE402" s="45">
        <f>IF(AQ402="7",BI402,0)</f>
        <v>0</v>
      </c>
      <c r="AF402" s="45">
        <f>IF(AQ402="2",BH402,0)</f>
        <v>0</v>
      </c>
      <c r="AG402" s="45">
        <f>IF(AQ402="2",BI402,0)</f>
        <v>0</v>
      </c>
      <c r="AH402" s="45">
        <f>IF(AQ402="0",BJ402,0)</f>
        <v>0</v>
      </c>
      <c r="AI402" s="44" t="s">
        <v>305</v>
      </c>
      <c r="AJ402" s="27">
        <f>IF(AN402=0,M402,0)</f>
        <v>0</v>
      </c>
      <c r="AK402" s="27">
        <f>IF(AN402=15,M402,0)</f>
        <v>0</v>
      </c>
      <c r="AL402" s="27">
        <f>IF(AN402=21,M402,0)</f>
        <v>0</v>
      </c>
      <c r="AN402" s="45">
        <v>15</v>
      </c>
      <c r="AO402" s="45">
        <f>J402*0.0606968641114983</f>
        <v>0</v>
      </c>
      <c r="AP402" s="45">
        <f>J402*(1-0.0606968641114983)</f>
        <v>0</v>
      </c>
      <c r="AQ402" s="46" t="s">
        <v>13</v>
      </c>
      <c r="AV402" s="45">
        <f>AW402+AX402</f>
        <v>0</v>
      </c>
      <c r="AW402" s="45">
        <f>I402*AO402</f>
        <v>0</v>
      </c>
      <c r="AX402" s="45">
        <f>I402*AP402</f>
        <v>0</v>
      </c>
      <c r="AY402" s="48" t="s">
        <v>1099</v>
      </c>
      <c r="AZ402" s="48" t="s">
        <v>1125</v>
      </c>
      <c r="BA402" s="44" t="s">
        <v>1139</v>
      </c>
      <c r="BC402" s="45">
        <f>AW402+AX402</f>
        <v>0</v>
      </c>
      <c r="BD402" s="45">
        <f>J402/(100-BE402)*100</f>
        <v>0</v>
      </c>
      <c r="BE402" s="45">
        <v>0</v>
      </c>
      <c r="BF402" s="45">
        <f>402</f>
        <v>402</v>
      </c>
      <c r="BH402" s="27">
        <f>I402*AO402</f>
        <v>0</v>
      </c>
      <c r="BI402" s="27">
        <f>I402*AP402</f>
        <v>0</v>
      </c>
      <c r="BJ402" s="27">
        <f>I402*J402</f>
        <v>0</v>
      </c>
      <c r="BK402" s="27" t="s">
        <v>1146</v>
      </c>
      <c r="BL402" s="45">
        <v>766</v>
      </c>
    </row>
    <row r="403" spans="1:64" x14ac:dyDescent="0.2">
      <c r="A403" s="6"/>
      <c r="C403" s="21" t="s">
        <v>310</v>
      </c>
      <c r="D403" s="245" t="s">
        <v>894</v>
      </c>
      <c r="E403" s="246"/>
      <c r="F403" s="246"/>
      <c r="G403" s="246"/>
      <c r="H403" s="246"/>
      <c r="I403" s="246"/>
      <c r="J403" s="246"/>
      <c r="K403" s="246"/>
      <c r="L403" s="246"/>
      <c r="M403" s="246"/>
      <c r="N403" s="246"/>
      <c r="O403" s="247"/>
      <c r="P403" s="6"/>
    </row>
    <row r="404" spans="1:64" x14ac:dyDescent="0.2">
      <c r="A404" s="7" t="s">
        <v>196</v>
      </c>
      <c r="B404" s="17" t="s">
        <v>305</v>
      </c>
      <c r="C404" s="17" t="s">
        <v>506</v>
      </c>
      <c r="D404" s="241" t="s">
        <v>895</v>
      </c>
      <c r="E404" s="242"/>
      <c r="F404" s="242"/>
      <c r="G404" s="242"/>
      <c r="H404" s="17" t="s">
        <v>1044</v>
      </c>
      <c r="I404" s="28">
        <v>28.78</v>
      </c>
      <c r="J404" s="154"/>
      <c r="K404" s="28">
        <f>I404*AO404</f>
        <v>0</v>
      </c>
      <c r="L404" s="28">
        <f>I404*AP404</f>
        <v>0</v>
      </c>
      <c r="M404" s="28">
        <f>I404*J404</f>
        <v>0</v>
      </c>
      <c r="N404" s="57">
        <f>IF(M623=0,0,M404/M623)</f>
        <v>0</v>
      </c>
      <c r="O404" s="40" t="s">
        <v>1068</v>
      </c>
      <c r="P404" s="6"/>
      <c r="Z404" s="45">
        <f>IF(AQ404="5",BJ404,0)</f>
        <v>0</v>
      </c>
      <c r="AB404" s="45">
        <f>IF(AQ404="1",BH404,0)</f>
        <v>0</v>
      </c>
      <c r="AC404" s="45">
        <f>IF(AQ404="1",BI404,0)</f>
        <v>0</v>
      </c>
      <c r="AD404" s="45">
        <f>IF(AQ404="7",BH404,0)</f>
        <v>0</v>
      </c>
      <c r="AE404" s="45">
        <f>IF(AQ404="7",BI404,0)</f>
        <v>0</v>
      </c>
      <c r="AF404" s="45">
        <f>IF(AQ404="2",BH404,0)</f>
        <v>0</v>
      </c>
      <c r="AG404" s="45">
        <f>IF(AQ404="2",BI404,0)</f>
        <v>0</v>
      </c>
      <c r="AH404" s="45">
        <f>IF(AQ404="0",BJ404,0)</f>
        <v>0</v>
      </c>
      <c r="AI404" s="44" t="s">
        <v>305</v>
      </c>
      <c r="AJ404" s="28">
        <f>IF(AN404=0,M404,0)</f>
        <v>0</v>
      </c>
      <c r="AK404" s="28">
        <f>IF(AN404=15,M404,0)</f>
        <v>0</v>
      </c>
      <c r="AL404" s="28">
        <f>IF(AN404=21,M404,0)</f>
        <v>0</v>
      </c>
      <c r="AN404" s="45">
        <v>15</v>
      </c>
      <c r="AO404" s="45">
        <f>J404*1</f>
        <v>0</v>
      </c>
      <c r="AP404" s="45">
        <f>J404*(1-1)</f>
        <v>0</v>
      </c>
      <c r="AQ404" s="47" t="s">
        <v>13</v>
      </c>
      <c r="AV404" s="45">
        <f>AW404+AX404</f>
        <v>0</v>
      </c>
      <c r="AW404" s="45">
        <f>I404*AO404</f>
        <v>0</v>
      </c>
      <c r="AX404" s="45">
        <f>I404*AP404</f>
        <v>0</v>
      </c>
      <c r="AY404" s="48" t="s">
        <v>1099</v>
      </c>
      <c r="AZ404" s="48" t="s">
        <v>1125</v>
      </c>
      <c r="BA404" s="44" t="s">
        <v>1139</v>
      </c>
      <c r="BC404" s="45">
        <f>AW404+AX404</f>
        <v>0</v>
      </c>
      <c r="BD404" s="45">
        <f>J404/(100-BE404)*100</f>
        <v>0</v>
      </c>
      <c r="BE404" s="45">
        <v>0</v>
      </c>
      <c r="BF404" s="45">
        <f>404</f>
        <v>404</v>
      </c>
      <c r="BH404" s="28">
        <f>I404*AO404</f>
        <v>0</v>
      </c>
      <c r="BI404" s="28">
        <f>I404*AP404</f>
        <v>0</v>
      </c>
      <c r="BJ404" s="28">
        <f>I404*J404</f>
        <v>0</v>
      </c>
      <c r="BK404" s="28" t="s">
        <v>1147</v>
      </c>
      <c r="BL404" s="45">
        <v>766</v>
      </c>
    </row>
    <row r="405" spans="1:64" x14ac:dyDescent="0.2">
      <c r="A405" s="5" t="s">
        <v>197</v>
      </c>
      <c r="B405" s="16" t="s">
        <v>305</v>
      </c>
      <c r="C405" s="16" t="s">
        <v>507</v>
      </c>
      <c r="D405" s="243" t="s">
        <v>896</v>
      </c>
      <c r="E405" s="244"/>
      <c r="F405" s="244"/>
      <c r="G405" s="244"/>
      <c r="H405" s="16" t="s">
        <v>1043</v>
      </c>
      <c r="I405" s="27">
        <v>3.1</v>
      </c>
      <c r="J405" s="149"/>
      <c r="K405" s="27">
        <f>I405*AO405</f>
        <v>0</v>
      </c>
      <c r="L405" s="27">
        <f>I405*AP405</f>
        <v>0</v>
      </c>
      <c r="M405" s="27">
        <f>I405*J405</f>
        <v>0</v>
      </c>
      <c r="N405" s="56">
        <f>IF(M623=0,0,M405/M623)</f>
        <v>0</v>
      </c>
      <c r="O405" s="39" t="s">
        <v>1068</v>
      </c>
      <c r="P405" s="6"/>
      <c r="Z405" s="45">
        <f>IF(AQ405="5",BJ405,0)</f>
        <v>0</v>
      </c>
      <c r="AB405" s="45">
        <f>IF(AQ405="1",BH405,0)</f>
        <v>0</v>
      </c>
      <c r="AC405" s="45">
        <f>IF(AQ405="1",BI405,0)</f>
        <v>0</v>
      </c>
      <c r="AD405" s="45">
        <f>IF(AQ405="7",BH405,0)</f>
        <v>0</v>
      </c>
      <c r="AE405" s="45">
        <f>IF(AQ405="7",BI405,0)</f>
        <v>0</v>
      </c>
      <c r="AF405" s="45">
        <f>IF(AQ405="2",BH405,0)</f>
        <v>0</v>
      </c>
      <c r="AG405" s="45">
        <f>IF(AQ405="2",BI405,0)</f>
        <v>0</v>
      </c>
      <c r="AH405" s="45">
        <f>IF(AQ405="0",BJ405,0)</f>
        <v>0</v>
      </c>
      <c r="AI405" s="44" t="s">
        <v>305</v>
      </c>
      <c r="AJ405" s="27">
        <f>IF(AN405=0,M405,0)</f>
        <v>0</v>
      </c>
      <c r="AK405" s="27">
        <f>IF(AN405=15,M405,0)</f>
        <v>0</v>
      </c>
      <c r="AL405" s="27">
        <f>IF(AN405=21,M405,0)</f>
        <v>0</v>
      </c>
      <c r="AN405" s="45">
        <v>15</v>
      </c>
      <c r="AO405" s="45">
        <f>J405*0</f>
        <v>0</v>
      </c>
      <c r="AP405" s="45">
        <f>J405*(1-0)</f>
        <v>0</v>
      </c>
      <c r="AQ405" s="46" t="s">
        <v>11</v>
      </c>
      <c r="AV405" s="45">
        <f>AW405+AX405</f>
        <v>0</v>
      </c>
      <c r="AW405" s="45">
        <f>I405*AO405</f>
        <v>0</v>
      </c>
      <c r="AX405" s="45">
        <f>I405*AP405</f>
        <v>0</v>
      </c>
      <c r="AY405" s="48" t="s">
        <v>1099</v>
      </c>
      <c r="AZ405" s="48" t="s">
        <v>1125</v>
      </c>
      <c r="BA405" s="44" t="s">
        <v>1139</v>
      </c>
      <c r="BC405" s="45">
        <f>AW405+AX405</f>
        <v>0</v>
      </c>
      <c r="BD405" s="45">
        <f>J405/(100-BE405)*100</f>
        <v>0</v>
      </c>
      <c r="BE405" s="45">
        <v>0</v>
      </c>
      <c r="BF405" s="45">
        <f>405</f>
        <v>405</v>
      </c>
      <c r="BH405" s="27">
        <f>I405*AO405</f>
        <v>0</v>
      </c>
      <c r="BI405" s="27">
        <f>I405*AP405</f>
        <v>0</v>
      </c>
      <c r="BJ405" s="27">
        <f>I405*J405</f>
        <v>0</v>
      </c>
      <c r="BK405" s="27" t="s">
        <v>1146</v>
      </c>
      <c r="BL405" s="45">
        <v>766</v>
      </c>
    </row>
    <row r="406" spans="1:64" x14ac:dyDescent="0.2">
      <c r="A406" s="4"/>
      <c r="B406" s="15" t="s">
        <v>305</v>
      </c>
      <c r="C406" s="15" t="s">
        <v>508</v>
      </c>
      <c r="D406" s="237" t="s">
        <v>897</v>
      </c>
      <c r="E406" s="238"/>
      <c r="F406" s="238"/>
      <c r="G406" s="238"/>
      <c r="H406" s="24" t="s">
        <v>6</v>
      </c>
      <c r="I406" s="24" t="s">
        <v>6</v>
      </c>
      <c r="J406" s="24" t="s">
        <v>6</v>
      </c>
      <c r="K406" s="51">
        <f>SUM(K407:K442)</f>
        <v>0</v>
      </c>
      <c r="L406" s="51">
        <f>SUM(L407:L442)</f>
        <v>0</v>
      </c>
      <c r="M406" s="51">
        <f>SUM(M407:M442)</f>
        <v>0</v>
      </c>
      <c r="N406" s="55">
        <f>IF(M623=0,0,M406/M623)</f>
        <v>0</v>
      </c>
      <c r="O406" s="38"/>
      <c r="P406" s="6"/>
      <c r="AI406" s="44" t="s">
        <v>305</v>
      </c>
      <c r="AS406" s="51">
        <f>SUM(AJ407:AJ442)</f>
        <v>0</v>
      </c>
      <c r="AT406" s="51">
        <f>SUM(AK407:AK442)</f>
        <v>0</v>
      </c>
      <c r="AU406" s="51">
        <f>SUM(AL407:AL442)</f>
        <v>0</v>
      </c>
    </row>
    <row r="407" spans="1:64" x14ac:dyDescent="0.2">
      <c r="A407" s="5" t="s">
        <v>198</v>
      </c>
      <c r="B407" s="16" t="s">
        <v>305</v>
      </c>
      <c r="C407" s="16" t="s">
        <v>509</v>
      </c>
      <c r="D407" s="243" t="s">
        <v>898</v>
      </c>
      <c r="E407" s="244"/>
      <c r="F407" s="244"/>
      <c r="G407" s="244"/>
      <c r="H407" s="16" t="s">
        <v>1042</v>
      </c>
      <c r="I407" s="27">
        <v>42.11</v>
      </c>
      <c r="J407" s="149"/>
      <c r="K407" s="27">
        <f>I407*AO407</f>
        <v>0</v>
      </c>
      <c r="L407" s="27">
        <f>I407*AP407</f>
        <v>0</v>
      </c>
      <c r="M407" s="27">
        <f>I407*J407</f>
        <v>0</v>
      </c>
      <c r="N407" s="56">
        <f>IF(M623=0,0,M407/M623)</f>
        <v>0</v>
      </c>
      <c r="O407" s="39" t="s">
        <v>1069</v>
      </c>
      <c r="P407" s="6"/>
      <c r="Z407" s="45">
        <f>IF(AQ407="5",BJ407,0)</f>
        <v>0</v>
      </c>
      <c r="AB407" s="45">
        <f>IF(AQ407="1",BH407,0)</f>
        <v>0</v>
      </c>
      <c r="AC407" s="45">
        <f>IF(AQ407="1",BI407,0)</f>
        <v>0</v>
      </c>
      <c r="AD407" s="45">
        <f>IF(AQ407="7",BH407,0)</f>
        <v>0</v>
      </c>
      <c r="AE407" s="45">
        <f>IF(AQ407="7",BI407,0)</f>
        <v>0</v>
      </c>
      <c r="AF407" s="45">
        <f>IF(AQ407="2",BH407,0)</f>
        <v>0</v>
      </c>
      <c r="AG407" s="45">
        <f>IF(AQ407="2",BI407,0)</f>
        <v>0</v>
      </c>
      <c r="AH407" s="45">
        <f>IF(AQ407="0",BJ407,0)</f>
        <v>0</v>
      </c>
      <c r="AI407" s="44" t="s">
        <v>305</v>
      </c>
      <c r="AJ407" s="27">
        <f>IF(AN407=0,M407,0)</f>
        <v>0</v>
      </c>
      <c r="AK407" s="27">
        <f>IF(AN407=15,M407,0)</f>
        <v>0</v>
      </c>
      <c r="AL407" s="27">
        <f>IF(AN407=21,M407,0)</f>
        <v>0</v>
      </c>
      <c r="AN407" s="45">
        <v>15</v>
      </c>
      <c r="AO407" s="45">
        <f>J407*0.821884972170686</f>
        <v>0</v>
      </c>
      <c r="AP407" s="45">
        <f>J407*(1-0.821884972170686)</f>
        <v>0</v>
      </c>
      <c r="AQ407" s="46" t="s">
        <v>13</v>
      </c>
      <c r="AV407" s="45">
        <f>AW407+AX407</f>
        <v>0</v>
      </c>
      <c r="AW407" s="45">
        <f>I407*AO407</f>
        <v>0</v>
      </c>
      <c r="AX407" s="45">
        <f>I407*AP407</f>
        <v>0</v>
      </c>
      <c r="AY407" s="48" t="s">
        <v>1100</v>
      </c>
      <c r="AZ407" s="48" t="s">
        <v>1125</v>
      </c>
      <c r="BA407" s="44" t="s">
        <v>1139</v>
      </c>
      <c r="BC407" s="45">
        <f>AW407+AX407</f>
        <v>0</v>
      </c>
      <c r="BD407" s="45">
        <f>J407/(100-BE407)*100</f>
        <v>0</v>
      </c>
      <c r="BE407" s="45">
        <v>0</v>
      </c>
      <c r="BF407" s="45">
        <f>407</f>
        <v>407</v>
      </c>
      <c r="BH407" s="27">
        <f>I407*AO407</f>
        <v>0</v>
      </c>
      <c r="BI407" s="27">
        <f>I407*AP407</f>
        <v>0</v>
      </c>
      <c r="BJ407" s="27">
        <f>I407*J407</f>
        <v>0</v>
      </c>
      <c r="BK407" s="27" t="s">
        <v>1146</v>
      </c>
      <c r="BL407" s="45">
        <v>767</v>
      </c>
    </row>
    <row r="408" spans="1:64" x14ac:dyDescent="0.2">
      <c r="A408" s="6"/>
      <c r="C408" s="21" t="s">
        <v>310</v>
      </c>
      <c r="D408" s="245" t="s">
        <v>748</v>
      </c>
      <c r="E408" s="246"/>
      <c r="F408" s="246"/>
      <c r="G408" s="246"/>
      <c r="H408" s="246"/>
      <c r="I408" s="246"/>
      <c r="J408" s="246"/>
      <c r="K408" s="246"/>
      <c r="L408" s="246"/>
      <c r="M408" s="246"/>
      <c r="N408" s="246"/>
      <c r="O408" s="247"/>
      <c r="P408" s="6"/>
    </row>
    <row r="409" spans="1:64" x14ac:dyDescent="0.2">
      <c r="A409" s="5" t="s">
        <v>199</v>
      </c>
      <c r="B409" s="16" t="s">
        <v>305</v>
      </c>
      <c r="C409" s="16" t="s">
        <v>510</v>
      </c>
      <c r="D409" s="243" t="s">
        <v>899</v>
      </c>
      <c r="E409" s="244"/>
      <c r="F409" s="244"/>
      <c r="G409" s="244"/>
      <c r="H409" s="16" t="s">
        <v>1044</v>
      </c>
      <c r="I409" s="27">
        <v>16.600000000000001</v>
      </c>
      <c r="J409" s="149"/>
      <c r="K409" s="27">
        <f>I409*AO409</f>
        <v>0</v>
      </c>
      <c r="L409" s="27">
        <f>I409*AP409</f>
        <v>0</v>
      </c>
      <c r="M409" s="27">
        <f>I409*J409</f>
        <v>0</v>
      </c>
      <c r="N409" s="56">
        <f>IF(M623=0,0,M409/M623)</f>
        <v>0</v>
      </c>
      <c r="O409" s="39" t="s">
        <v>1069</v>
      </c>
      <c r="P409" s="6"/>
      <c r="Z409" s="45">
        <f>IF(AQ409="5",BJ409,0)</f>
        <v>0</v>
      </c>
      <c r="AB409" s="45">
        <f>IF(AQ409="1",BH409,0)</f>
        <v>0</v>
      </c>
      <c r="AC409" s="45">
        <f>IF(AQ409="1",BI409,0)</f>
        <v>0</v>
      </c>
      <c r="AD409" s="45">
        <f>IF(AQ409="7",BH409,0)</f>
        <v>0</v>
      </c>
      <c r="AE409" s="45">
        <f>IF(AQ409="7",BI409,0)</f>
        <v>0</v>
      </c>
      <c r="AF409" s="45">
        <f>IF(AQ409="2",BH409,0)</f>
        <v>0</v>
      </c>
      <c r="AG409" s="45">
        <f>IF(AQ409="2",BI409,0)</f>
        <v>0</v>
      </c>
      <c r="AH409" s="45">
        <f>IF(AQ409="0",BJ409,0)</f>
        <v>0</v>
      </c>
      <c r="AI409" s="44" t="s">
        <v>305</v>
      </c>
      <c r="AJ409" s="27">
        <f>IF(AN409=0,M409,0)</f>
        <v>0</v>
      </c>
      <c r="AK409" s="27">
        <f>IF(AN409=15,M409,0)</f>
        <v>0</v>
      </c>
      <c r="AL409" s="27">
        <f>IF(AN409=21,M409,0)</f>
        <v>0</v>
      </c>
      <c r="AN409" s="45">
        <v>15</v>
      </c>
      <c r="AO409" s="45">
        <f>J409*0.398905555555556</f>
        <v>0</v>
      </c>
      <c r="AP409" s="45">
        <f>J409*(1-0.398905555555556)</f>
        <v>0</v>
      </c>
      <c r="AQ409" s="46" t="s">
        <v>13</v>
      </c>
      <c r="AV409" s="45">
        <f>AW409+AX409</f>
        <v>0</v>
      </c>
      <c r="AW409" s="45">
        <f>I409*AO409</f>
        <v>0</v>
      </c>
      <c r="AX409" s="45">
        <f>I409*AP409</f>
        <v>0</v>
      </c>
      <c r="AY409" s="48" t="s">
        <v>1100</v>
      </c>
      <c r="AZ409" s="48" t="s">
        <v>1125</v>
      </c>
      <c r="BA409" s="44" t="s">
        <v>1139</v>
      </c>
      <c r="BC409" s="45">
        <f>AW409+AX409</f>
        <v>0</v>
      </c>
      <c r="BD409" s="45">
        <f>J409/(100-BE409)*100</f>
        <v>0</v>
      </c>
      <c r="BE409" s="45">
        <v>0</v>
      </c>
      <c r="BF409" s="45">
        <f>409</f>
        <v>409</v>
      </c>
      <c r="BH409" s="27">
        <f>I409*AO409</f>
        <v>0</v>
      </c>
      <c r="BI409" s="27">
        <f>I409*AP409</f>
        <v>0</v>
      </c>
      <c r="BJ409" s="27">
        <f>I409*J409</f>
        <v>0</v>
      </c>
      <c r="BK409" s="27" t="s">
        <v>1146</v>
      </c>
      <c r="BL409" s="45">
        <v>767</v>
      </c>
    </row>
    <row r="410" spans="1:64" x14ac:dyDescent="0.2">
      <c r="A410" s="6"/>
      <c r="C410" s="21" t="s">
        <v>310</v>
      </c>
      <c r="D410" s="245" t="s">
        <v>748</v>
      </c>
      <c r="E410" s="246"/>
      <c r="F410" s="246"/>
      <c r="G410" s="246"/>
      <c r="H410" s="246"/>
      <c r="I410" s="246"/>
      <c r="J410" s="246"/>
      <c r="K410" s="246"/>
      <c r="L410" s="246"/>
      <c r="M410" s="246"/>
      <c r="N410" s="246"/>
      <c r="O410" s="247"/>
      <c r="P410" s="6"/>
    </row>
    <row r="411" spans="1:64" x14ac:dyDescent="0.2">
      <c r="A411" s="5" t="s">
        <v>200</v>
      </c>
      <c r="B411" s="16" t="s">
        <v>305</v>
      </c>
      <c r="C411" s="16" t="s">
        <v>511</v>
      </c>
      <c r="D411" s="243" t="s">
        <v>900</v>
      </c>
      <c r="E411" s="244"/>
      <c r="F411" s="244"/>
      <c r="G411" s="244"/>
      <c r="H411" s="16" t="s">
        <v>1044</v>
      </c>
      <c r="I411" s="27">
        <v>19.2</v>
      </c>
      <c r="J411" s="149"/>
      <c r="K411" s="27">
        <f>I411*AO411</f>
        <v>0</v>
      </c>
      <c r="L411" s="27">
        <f>I411*AP411</f>
        <v>0</v>
      </c>
      <c r="M411" s="27">
        <f>I411*J411</f>
        <v>0</v>
      </c>
      <c r="N411" s="56">
        <f>IF(M623=0,0,M411/M623)</f>
        <v>0</v>
      </c>
      <c r="O411" s="39" t="s">
        <v>1069</v>
      </c>
      <c r="P411" s="6"/>
      <c r="Z411" s="45">
        <f>IF(AQ411="5",BJ411,0)</f>
        <v>0</v>
      </c>
      <c r="AB411" s="45">
        <f>IF(AQ411="1",BH411,0)</f>
        <v>0</v>
      </c>
      <c r="AC411" s="45">
        <f>IF(AQ411="1",BI411,0)</f>
        <v>0</v>
      </c>
      <c r="AD411" s="45">
        <f>IF(AQ411="7",BH411,0)</f>
        <v>0</v>
      </c>
      <c r="AE411" s="45">
        <f>IF(AQ411="7",BI411,0)</f>
        <v>0</v>
      </c>
      <c r="AF411" s="45">
        <f>IF(AQ411="2",BH411,0)</f>
        <v>0</v>
      </c>
      <c r="AG411" s="45">
        <f>IF(AQ411="2",BI411,0)</f>
        <v>0</v>
      </c>
      <c r="AH411" s="45">
        <f>IF(AQ411="0",BJ411,0)</f>
        <v>0</v>
      </c>
      <c r="AI411" s="44" t="s">
        <v>305</v>
      </c>
      <c r="AJ411" s="27">
        <f>IF(AN411=0,M411,0)</f>
        <v>0</v>
      </c>
      <c r="AK411" s="27">
        <f>IF(AN411=15,M411,0)</f>
        <v>0</v>
      </c>
      <c r="AL411" s="27">
        <f>IF(AN411=21,M411,0)</f>
        <v>0</v>
      </c>
      <c r="AN411" s="45">
        <v>15</v>
      </c>
      <c r="AO411" s="45">
        <f>J411*0.138976335323285</f>
        <v>0</v>
      </c>
      <c r="AP411" s="45">
        <f>J411*(1-0.138976335323285)</f>
        <v>0</v>
      </c>
      <c r="AQ411" s="46" t="s">
        <v>13</v>
      </c>
      <c r="AV411" s="45">
        <f>AW411+AX411</f>
        <v>0</v>
      </c>
      <c r="AW411" s="45">
        <f>I411*AO411</f>
        <v>0</v>
      </c>
      <c r="AX411" s="45">
        <f>I411*AP411</f>
        <v>0</v>
      </c>
      <c r="AY411" s="48" t="s">
        <v>1100</v>
      </c>
      <c r="AZ411" s="48" t="s">
        <v>1125</v>
      </c>
      <c r="BA411" s="44" t="s">
        <v>1139</v>
      </c>
      <c r="BC411" s="45">
        <f>AW411+AX411</f>
        <v>0</v>
      </c>
      <c r="BD411" s="45">
        <f>J411/(100-BE411)*100</f>
        <v>0</v>
      </c>
      <c r="BE411" s="45">
        <v>0</v>
      </c>
      <c r="BF411" s="45">
        <f>411</f>
        <v>411</v>
      </c>
      <c r="BH411" s="27">
        <f>I411*AO411</f>
        <v>0</v>
      </c>
      <c r="BI411" s="27">
        <f>I411*AP411</f>
        <v>0</v>
      </c>
      <c r="BJ411" s="27">
        <f>I411*J411</f>
        <v>0</v>
      </c>
      <c r="BK411" s="27" t="s">
        <v>1146</v>
      </c>
      <c r="BL411" s="45">
        <v>767</v>
      </c>
    </row>
    <row r="412" spans="1:64" x14ac:dyDescent="0.2">
      <c r="A412" s="6"/>
      <c r="D412" s="251" t="s">
        <v>901</v>
      </c>
      <c r="E412" s="252"/>
      <c r="F412" s="252"/>
      <c r="G412" s="252"/>
      <c r="H412" s="252"/>
      <c r="I412" s="252"/>
      <c r="J412" s="252"/>
      <c r="K412" s="252"/>
      <c r="L412" s="252"/>
      <c r="M412" s="252"/>
      <c r="N412" s="252"/>
      <c r="O412" s="253"/>
      <c r="P412" s="6"/>
    </row>
    <row r="413" spans="1:64" x14ac:dyDescent="0.2">
      <c r="A413" s="6"/>
      <c r="C413" s="21" t="s">
        <v>310</v>
      </c>
      <c r="D413" s="245" t="s">
        <v>748</v>
      </c>
      <c r="E413" s="246"/>
      <c r="F413" s="246"/>
      <c r="G413" s="246"/>
      <c r="H413" s="246"/>
      <c r="I413" s="246"/>
      <c r="J413" s="246"/>
      <c r="K413" s="246"/>
      <c r="L413" s="246"/>
      <c r="M413" s="246"/>
      <c r="N413" s="246"/>
      <c r="O413" s="247"/>
      <c r="P413" s="6"/>
    </row>
    <row r="414" spans="1:64" x14ac:dyDescent="0.2">
      <c r="A414" s="5" t="s">
        <v>201</v>
      </c>
      <c r="B414" s="16" t="s">
        <v>305</v>
      </c>
      <c r="C414" s="16" t="s">
        <v>512</v>
      </c>
      <c r="D414" s="243" t="s">
        <v>902</v>
      </c>
      <c r="E414" s="244"/>
      <c r="F414" s="244"/>
      <c r="G414" s="244"/>
      <c r="H414" s="16" t="s">
        <v>1042</v>
      </c>
      <c r="I414" s="27">
        <v>84.27</v>
      </c>
      <c r="J414" s="149"/>
      <c r="K414" s="27">
        <f>I414*AO414</f>
        <v>0</v>
      </c>
      <c r="L414" s="27">
        <f>I414*AP414</f>
        <v>0</v>
      </c>
      <c r="M414" s="27">
        <f>I414*J414</f>
        <v>0</v>
      </c>
      <c r="N414" s="56">
        <f>IF(M623=0,0,M414/M623)</f>
        <v>0</v>
      </c>
      <c r="O414" s="39" t="s">
        <v>1068</v>
      </c>
      <c r="P414" s="6"/>
      <c r="Z414" s="45">
        <f>IF(AQ414="5",BJ414,0)</f>
        <v>0</v>
      </c>
      <c r="AB414" s="45">
        <f>IF(AQ414="1",BH414,0)</f>
        <v>0</v>
      </c>
      <c r="AC414" s="45">
        <f>IF(AQ414="1",BI414,0)</f>
        <v>0</v>
      </c>
      <c r="AD414" s="45">
        <f>IF(AQ414="7",BH414,0)</f>
        <v>0</v>
      </c>
      <c r="AE414" s="45">
        <f>IF(AQ414="7",BI414,0)</f>
        <v>0</v>
      </c>
      <c r="AF414" s="45">
        <f>IF(AQ414="2",BH414,0)</f>
        <v>0</v>
      </c>
      <c r="AG414" s="45">
        <f>IF(AQ414="2",BI414,0)</f>
        <v>0</v>
      </c>
      <c r="AH414" s="45">
        <f>IF(AQ414="0",BJ414,0)</f>
        <v>0</v>
      </c>
      <c r="AI414" s="44" t="s">
        <v>305</v>
      </c>
      <c r="AJ414" s="27">
        <f>IF(AN414=0,M414,0)</f>
        <v>0</v>
      </c>
      <c r="AK414" s="27">
        <f>IF(AN414=15,M414,0)</f>
        <v>0</v>
      </c>
      <c r="AL414" s="27">
        <f>IF(AN414=21,M414,0)</f>
        <v>0</v>
      </c>
      <c r="AN414" s="45">
        <v>15</v>
      </c>
      <c r="AO414" s="45">
        <f>J414*0</f>
        <v>0</v>
      </c>
      <c r="AP414" s="45">
        <f>J414*(1-0)</f>
        <v>0</v>
      </c>
      <c r="AQ414" s="46" t="s">
        <v>13</v>
      </c>
      <c r="AV414" s="45">
        <f>AW414+AX414</f>
        <v>0</v>
      </c>
      <c r="AW414" s="45">
        <f>I414*AO414</f>
        <v>0</v>
      </c>
      <c r="AX414" s="45">
        <f>I414*AP414</f>
        <v>0</v>
      </c>
      <c r="AY414" s="48" t="s">
        <v>1100</v>
      </c>
      <c r="AZ414" s="48" t="s">
        <v>1125</v>
      </c>
      <c r="BA414" s="44" t="s">
        <v>1139</v>
      </c>
      <c r="BC414" s="45">
        <f>AW414+AX414</f>
        <v>0</v>
      </c>
      <c r="BD414" s="45">
        <f>J414/(100-BE414)*100</f>
        <v>0</v>
      </c>
      <c r="BE414" s="45">
        <v>0</v>
      </c>
      <c r="BF414" s="45">
        <f>414</f>
        <v>414</v>
      </c>
      <c r="BH414" s="27">
        <f>I414*AO414</f>
        <v>0</v>
      </c>
      <c r="BI414" s="27">
        <f>I414*AP414</f>
        <v>0</v>
      </c>
      <c r="BJ414" s="27">
        <f>I414*J414</f>
        <v>0</v>
      </c>
      <c r="BK414" s="27" t="s">
        <v>1146</v>
      </c>
      <c r="BL414" s="45">
        <v>767</v>
      </c>
    </row>
    <row r="415" spans="1:64" x14ac:dyDescent="0.2">
      <c r="A415" s="6"/>
      <c r="C415" s="21" t="s">
        <v>310</v>
      </c>
      <c r="D415" s="245" t="s">
        <v>753</v>
      </c>
      <c r="E415" s="246"/>
      <c r="F415" s="246"/>
      <c r="G415" s="246"/>
      <c r="H415" s="246"/>
      <c r="I415" s="246"/>
      <c r="J415" s="246"/>
      <c r="K415" s="246"/>
      <c r="L415" s="246"/>
      <c r="M415" s="246"/>
      <c r="N415" s="246"/>
      <c r="O415" s="247"/>
      <c r="P415" s="6"/>
    </row>
    <row r="416" spans="1:64" x14ac:dyDescent="0.2">
      <c r="A416" s="7" t="s">
        <v>202</v>
      </c>
      <c r="B416" s="17" t="s">
        <v>305</v>
      </c>
      <c r="C416" s="17" t="s">
        <v>513</v>
      </c>
      <c r="D416" s="241" t="s">
        <v>903</v>
      </c>
      <c r="E416" s="242"/>
      <c r="F416" s="242"/>
      <c r="G416" s="242"/>
      <c r="H416" s="17" t="s">
        <v>1042</v>
      </c>
      <c r="I416" s="28">
        <v>84.27</v>
      </c>
      <c r="J416" s="154"/>
      <c r="K416" s="28">
        <f>I416*AO416</f>
        <v>0</v>
      </c>
      <c r="L416" s="28">
        <f>I416*AP416</f>
        <v>0</v>
      </c>
      <c r="M416" s="28">
        <f>I416*J416</f>
        <v>0</v>
      </c>
      <c r="N416" s="57">
        <f>IF(M623=0,0,M416/M623)</f>
        <v>0</v>
      </c>
      <c r="O416" s="40" t="s">
        <v>1069</v>
      </c>
      <c r="P416" s="6"/>
      <c r="Z416" s="45">
        <f>IF(AQ416="5",BJ416,0)</f>
        <v>0</v>
      </c>
      <c r="AB416" s="45">
        <f>IF(AQ416="1",BH416,0)</f>
        <v>0</v>
      </c>
      <c r="AC416" s="45">
        <f>IF(AQ416="1",BI416,0)</f>
        <v>0</v>
      </c>
      <c r="AD416" s="45">
        <f>IF(AQ416="7",BH416,0)</f>
        <v>0</v>
      </c>
      <c r="AE416" s="45">
        <f>IF(AQ416="7",BI416,0)</f>
        <v>0</v>
      </c>
      <c r="AF416" s="45">
        <f>IF(AQ416="2",BH416,0)</f>
        <v>0</v>
      </c>
      <c r="AG416" s="45">
        <f>IF(AQ416="2",BI416,0)</f>
        <v>0</v>
      </c>
      <c r="AH416" s="45">
        <f>IF(AQ416="0",BJ416,0)</f>
        <v>0</v>
      </c>
      <c r="AI416" s="44" t="s">
        <v>305</v>
      </c>
      <c r="AJ416" s="28">
        <f>IF(AN416=0,M416,0)</f>
        <v>0</v>
      </c>
      <c r="AK416" s="28">
        <f>IF(AN416=15,M416,0)</f>
        <v>0</v>
      </c>
      <c r="AL416" s="28">
        <f>IF(AN416=21,M416,0)</f>
        <v>0</v>
      </c>
      <c r="AN416" s="45">
        <v>15</v>
      </c>
      <c r="AO416" s="45">
        <f>J416*1</f>
        <v>0</v>
      </c>
      <c r="AP416" s="45">
        <f>J416*(1-1)</f>
        <v>0</v>
      </c>
      <c r="AQ416" s="47" t="s">
        <v>13</v>
      </c>
      <c r="AV416" s="45">
        <f>AW416+AX416</f>
        <v>0</v>
      </c>
      <c r="AW416" s="45">
        <f>I416*AO416</f>
        <v>0</v>
      </c>
      <c r="AX416" s="45">
        <f>I416*AP416</f>
        <v>0</v>
      </c>
      <c r="AY416" s="48" t="s">
        <v>1100</v>
      </c>
      <c r="AZ416" s="48" t="s">
        <v>1125</v>
      </c>
      <c r="BA416" s="44" t="s">
        <v>1139</v>
      </c>
      <c r="BC416" s="45">
        <f>AW416+AX416</f>
        <v>0</v>
      </c>
      <c r="BD416" s="45">
        <f>J416/(100-BE416)*100</f>
        <v>0</v>
      </c>
      <c r="BE416" s="45">
        <v>0</v>
      </c>
      <c r="BF416" s="45">
        <f>416</f>
        <v>416</v>
      </c>
      <c r="BH416" s="28">
        <f>I416*AO416</f>
        <v>0</v>
      </c>
      <c r="BI416" s="28">
        <f>I416*AP416</f>
        <v>0</v>
      </c>
      <c r="BJ416" s="28">
        <f>I416*J416</f>
        <v>0</v>
      </c>
      <c r="BK416" s="28" t="s">
        <v>1147</v>
      </c>
      <c r="BL416" s="45">
        <v>767</v>
      </c>
    </row>
    <row r="417" spans="1:64" x14ac:dyDescent="0.2">
      <c r="A417" s="6"/>
      <c r="C417" s="20" t="s">
        <v>302</v>
      </c>
      <c r="D417" s="248" t="s">
        <v>904</v>
      </c>
      <c r="E417" s="249"/>
      <c r="F417" s="249"/>
      <c r="G417" s="249"/>
      <c r="H417" s="249"/>
      <c r="I417" s="249"/>
      <c r="J417" s="249"/>
      <c r="K417" s="249"/>
      <c r="L417" s="249"/>
      <c r="M417" s="249"/>
      <c r="N417" s="249"/>
      <c r="O417" s="250"/>
      <c r="P417" s="6"/>
    </row>
    <row r="418" spans="1:64" x14ac:dyDescent="0.2">
      <c r="A418" s="5" t="s">
        <v>203</v>
      </c>
      <c r="B418" s="16" t="s">
        <v>305</v>
      </c>
      <c r="C418" s="16" t="s">
        <v>514</v>
      </c>
      <c r="D418" s="243" t="s">
        <v>905</v>
      </c>
      <c r="E418" s="244"/>
      <c r="F418" s="244"/>
      <c r="G418" s="244"/>
      <c r="H418" s="16" t="s">
        <v>1045</v>
      </c>
      <c r="I418" s="27">
        <v>1</v>
      </c>
      <c r="J418" s="149"/>
      <c r="K418" s="27">
        <f>I418*AO418</f>
        <v>0</v>
      </c>
      <c r="L418" s="27">
        <f>I418*AP418</f>
        <v>0</v>
      </c>
      <c r="M418" s="27">
        <f>I418*J418</f>
        <v>0</v>
      </c>
      <c r="N418" s="56">
        <f>IF(M623=0,0,M418/M623)</f>
        <v>0</v>
      </c>
      <c r="O418" s="39" t="s">
        <v>1068</v>
      </c>
      <c r="P418" s="6"/>
      <c r="Z418" s="45">
        <f>IF(AQ418="5",BJ418,0)</f>
        <v>0</v>
      </c>
      <c r="AB418" s="45">
        <f>IF(AQ418="1",BH418,0)</f>
        <v>0</v>
      </c>
      <c r="AC418" s="45">
        <f>IF(AQ418="1",BI418,0)</f>
        <v>0</v>
      </c>
      <c r="AD418" s="45">
        <f>IF(AQ418="7",BH418,0)</f>
        <v>0</v>
      </c>
      <c r="AE418" s="45">
        <f>IF(AQ418="7",BI418,0)</f>
        <v>0</v>
      </c>
      <c r="AF418" s="45">
        <f>IF(AQ418="2",BH418,0)</f>
        <v>0</v>
      </c>
      <c r="AG418" s="45">
        <f>IF(AQ418="2",BI418,0)</f>
        <v>0</v>
      </c>
      <c r="AH418" s="45">
        <f>IF(AQ418="0",BJ418,0)</f>
        <v>0</v>
      </c>
      <c r="AI418" s="44" t="s">
        <v>305</v>
      </c>
      <c r="AJ418" s="27">
        <f>IF(AN418=0,M418,0)</f>
        <v>0</v>
      </c>
      <c r="AK418" s="27">
        <f>IF(AN418=15,M418,0)</f>
        <v>0</v>
      </c>
      <c r="AL418" s="27">
        <f>IF(AN418=21,M418,0)</f>
        <v>0</v>
      </c>
      <c r="AN418" s="45">
        <v>15</v>
      </c>
      <c r="AO418" s="45">
        <f>J418*0</f>
        <v>0</v>
      </c>
      <c r="AP418" s="45">
        <f>J418*(1-0)</f>
        <v>0</v>
      </c>
      <c r="AQ418" s="46" t="s">
        <v>13</v>
      </c>
      <c r="AV418" s="45">
        <f>AW418+AX418</f>
        <v>0</v>
      </c>
      <c r="AW418" s="45">
        <f>I418*AO418</f>
        <v>0</v>
      </c>
      <c r="AX418" s="45">
        <f>I418*AP418</f>
        <v>0</v>
      </c>
      <c r="AY418" s="48" t="s">
        <v>1100</v>
      </c>
      <c r="AZ418" s="48" t="s">
        <v>1125</v>
      </c>
      <c r="BA418" s="44" t="s">
        <v>1139</v>
      </c>
      <c r="BC418" s="45">
        <f>AW418+AX418</f>
        <v>0</v>
      </c>
      <c r="BD418" s="45">
        <f>J418/(100-BE418)*100</f>
        <v>0</v>
      </c>
      <c r="BE418" s="45">
        <v>0</v>
      </c>
      <c r="BF418" s="45">
        <f>418</f>
        <v>418</v>
      </c>
      <c r="BH418" s="27">
        <f>I418*AO418</f>
        <v>0</v>
      </c>
      <c r="BI418" s="27">
        <f>I418*AP418</f>
        <v>0</v>
      </c>
      <c r="BJ418" s="27">
        <f>I418*J418</f>
        <v>0</v>
      </c>
      <c r="BK418" s="27" t="s">
        <v>1146</v>
      </c>
      <c r="BL418" s="45">
        <v>767</v>
      </c>
    </row>
    <row r="419" spans="1:64" x14ac:dyDescent="0.2">
      <c r="A419" s="7" t="s">
        <v>204</v>
      </c>
      <c r="B419" s="17" t="s">
        <v>305</v>
      </c>
      <c r="C419" s="17" t="s">
        <v>515</v>
      </c>
      <c r="D419" s="241" t="s">
        <v>906</v>
      </c>
      <c r="E419" s="242"/>
      <c r="F419" s="242"/>
      <c r="G419" s="242"/>
      <c r="H419" s="17" t="s">
        <v>1045</v>
      </c>
      <c r="I419" s="28">
        <v>1</v>
      </c>
      <c r="J419" s="154"/>
      <c r="K419" s="28">
        <f>I419*AO419</f>
        <v>0</v>
      </c>
      <c r="L419" s="28">
        <f>I419*AP419</f>
        <v>0</v>
      </c>
      <c r="M419" s="28">
        <f>I419*J419</f>
        <v>0</v>
      </c>
      <c r="N419" s="57">
        <f>IF(M623=0,0,M419/M623)</f>
        <v>0</v>
      </c>
      <c r="O419" s="40" t="s">
        <v>1069</v>
      </c>
      <c r="P419" s="6"/>
      <c r="Z419" s="45">
        <f>IF(AQ419="5",BJ419,0)</f>
        <v>0</v>
      </c>
      <c r="AB419" s="45">
        <f>IF(AQ419="1",BH419,0)</f>
        <v>0</v>
      </c>
      <c r="AC419" s="45">
        <f>IF(AQ419="1",BI419,0)</f>
        <v>0</v>
      </c>
      <c r="AD419" s="45">
        <f>IF(AQ419="7",BH419,0)</f>
        <v>0</v>
      </c>
      <c r="AE419" s="45">
        <f>IF(AQ419="7",BI419,0)</f>
        <v>0</v>
      </c>
      <c r="AF419" s="45">
        <f>IF(AQ419="2",BH419,0)</f>
        <v>0</v>
      </c>
      <c r="AG419" s="45">
        <f>IF(AQ419="2",BI419,0)</f>
        <v>0</v>
      </c>
      <c r="AH419" s="45">
        <f>IF(AQ419="0",BJ419,0)</f>
        <v>0</v>
      </c>
      <c r="AI419" s="44" t="s">
        <v>305</v>
      </c>
      <c r="AJ419" s="28">
        <f>IF(AN419=0,M419,0)</f>
        <v>0</v>
      </c>
      <c r="AK419" s="28">
        <f>IF(AN419=15,M419,0)</f>
        <v>0</v>
      </c>
      <c r="AL419" s="28">
        <f>IF(AN419=21,M419,0)</f>
        <v>0</v>
      </c>
      <c r="AN419" s="45">
        <v>15</v>
      </c>
      <c r="AO419" s="45">
        <f>J419*1</f>
        <v>0</v>
      </c>
      <c r="AP419" s="45">
        <f>J419*(1-1)</f>
        <v>0</v>
      </c>
      <c r="AQ419" s="47" t="s">
        <v>13</v>
      </c>
      <c r="AV419" s="45">
        <f>AW419+AX419</f>
        <v>0</v>
      </c>
      <c r="AW419" s="45">
        <f>I419*AO419</f>
        <v>0</v>
      </c>
      <c r="AX419" s="45">
        <f>I419*AP419</f>
        <v>0</v>
      </c>
      <c r="AY419" s="48" t="s">
        <v>1100</v>
      </c>
      <c r="AZ419" s="48" t="s">
        <v>1125</v>
      </c>
      <c r="BA419" s="44" t="s">
        <v>1139</v>
      </c>
      <c r="BC419" s="45">
        <f>AW419+AX419</f>
        <v>0</v>
      </c>
      <c r="BD419" s="45">
        <f>J419/(100-BE419)*100</f>
        <v>0</v>
      </c>
      <c r="BE419" s="45">
        <v>0</v>
      </c>
      <c r="BF419" s="45">
        <f>419</f>
        <v>419</v>
      </c>
      <c r="BH419" s="28">
        <f>I419*AO419</f>
        <v>0</v>
      </c>
      <c r="BI419" s="28">
        <f>I419*AP419</f>
        <v>0</v>
      </c>
      <c r="BJ419" s="28">
        <f>I419*J419</f>
        <v>0</v>
      </c>
      <c r="BK419" s="28" t="s">
        <v>1147</v>
      </c>
      <c r="BL419" s="45">
        <v>767</v>
      </c>
    </row>
    <row r="420" spans="1:64" x14ac:dyDescent="0.2">
      <c r="A420" s="6"/>
      <c r="C420" s="20" t="s">
        <v>302</v>
      </c>
      <c r="D420" s="248" t="s">
        <v>907</v>
      </c>
      <c r="E420" s="249"/>
      <c r="F420" s="249"/>
      <c r="G420" s="249"/>
      <c r="H420" s="249"/>
      <c r="I420" s="249"/>
      <c r="J420" s="249"/>
      <c r="K420" s="249"/>
      <c r="L420" s="249"/>
      <c r="M420" s="249"/>
      <c r="N420" s="249"/>
      <c r="O420" s="250"/>
      <c r="P420" s="6"/>
    </row>
    <row r="421" spans="1:64" x14ac:dyDescent="0.2">
      <c r="A421" s="5" t="s">
        <v>205</v>
      </c>
      <c r="B421" s="16" t="s">
        <v>305</v>
      </c>
      <c r="C421" s="16" t="s">
        <v>516</v>
      </c>
      <c r="D421" s="243" t="s">
        <v>908</v>
      </c>
      <c r="E421" s="244"/>
      <c r="F421" s="244"/>
      <c r="G421" s="244"/>
      <c r="H421" s="16" t="s">
        <v>1045</v>
      </c>
      <c r="I421" s="27">
        <v>1</v>
      </c>
      <c r="J421" s="149"/>
      <c r="K421" s="27">
        <f>I421*AO421</f>
        <v>0</v>
      </c>
      <c r="L421" s="27">
        <f>I421*AP421</f>
        <v>0</v>
      </c>
      <c r="M421" s="27">
        <f>I421*J421</f>
        <v>0</v>
      </c>
      <c r="N421" s="56">
        <f>IF(M623=0,0,M421/M623)</f>
        <v>0</v>
      </c>
      <c r="O421" s="39" t="s">
        <v>1068</v>
      </c>
      <c r="P421" s="6"/>
      <c r="Z421" s="45">
        <f>IF(AQ421="5",BJ421,0)</f>
        <v>0</v>
      </c>
      <c r="AB421" s="45">
        <f>IF(AQ421="1",BH421,0)</f>
        <v>0</v>
      </c>
      <c r="AC421" s="45">
        <f>IF(AQ421="1",BI421,0)</f>
        <v>0</v>
      </c>
      <c r="AD421" s="45">
        <f>IF(AQ421="7",BH421,0)</f>
        <v>0</v>
      </c>
      <c r="AE421" s="45">
        <f>IF(AQ421="7",BI421,0)</f>
        <v>0</v>
      </c>
      <c r="AF421" s="45">
        <f>IF(AQ421="2",BH421,0)</f>
        <v>0</v>
      </c>
      <c r="AG421" s="45">
        <f>IF(AQ421="2",BI421,0)</f>
        <v>0</v>
      </c>
      <c r="AH421" s="45">
        <f>IF(AQ421="0",BJ421,0)</f>
        <v>0</v>
      </c>
      <c r="AI421" s="44" t="s">
        <v>305</v>
      </c>
      <c r="AJ421" s="27">
        <f>IF(AN421=0,M421,0)</f>
        <v>0</v>
      </c>
      <c r="AK421" s="27">
        <f>IF(AN421=15,M421,0)</f>
        <v>0</v>
      </c>
      <c r="AL421" s="27">
        <f>IF(AN421=21,M421,0)</f>
        <v>0</v>
      </c>
      <c r="AN421" s="45">
        <v>15</v>
      </c>
      <c r="AO421" s="45">
        <f>J421*0</f>
        <v>0</v>
      </c>
      <c r="AP421" s="45">
        <f>J421*(1-0)</f>
        <v>0</v>
      </c>
      <c r="AQ421" s="46" t="s">
        <v>13</v>
      </c>
      <c r="AV421" s="45">
        <f>AW421+AX421</f>
        <v>0</v>
      </c>
      <c r="AW421" s="45">
        <f>I421*AO421</f>
        <v>0</v>
      </c>
      <c r="AX421" s="45">
        <f>I421*AP421</f>
        <v>0</v>
      </c>
      <c r="AY421" s="48" t="s">
        <v>1100</v>
      </c>
      <c r="AZ421" s="48" t="s">
        <v>1125</v>
      </c>
      <c r="BA421" s="44" t="s">
        <v>1139</v>
      </c>
      <c r="BC421" s="45">
        <f>AW421+AX421</f>
        <v>0</v>
      </c>
      <c r="BD421" s="45">
        <f>J421/(100-BE421)*100</f>
        <v>0</v>
      </c>
      <c r="BE421" s="45">
        <v>0</v>
      </c>
      <c r="BF421" s="45">
        <f>421</f>
        <v>421</v>
      </c>
      <c r="BH421" s="27">
        <f>I421*AO421</f>
        <v>0</v>
      </c>
      <c r="BI421" s="27">
        <f>I421*AP421</f>
        <v>0</v>
      </c>
      <c r="BJ421" s="27">
        <f>I421*J421</f>
        <v>0</v>
      </c>
      <c r="BK421" s="27" t="s">
        <v>1146</v>
      </c>
      <c r="BL421" s="45">
        <v>767</v>
      </c>
    </row>
    <row r="422" spans="1:64" x14ac:dyDescent="0.2">
      <c r="A422" s="6"/>
      <c r="C422" s="21" t="s">
        <v>310</v>
      </c>
      <c r="D422" s="245" t="s">
        <v>753</v>
      </c>
      <c r="E422" s="246"/>
      <c r="F422" s="246"/>
      <c r="G422" s="246"/>
      <c r="H422" s="246"/>
      <c r="I422" s="246"/>
      <c r="J422" s="246"/>
      <c r="K422" s="246"/>
      <c r="L422" s="246"/>
      <c r="M422" s="246"/>
      <c r="N422" s="246"/>
      <c r="O422" s="247"/>
      <c r="P422" s="6"/>
    </row>
    <row r="423" spans="1:64" x14ac:dyDescent="0.2">
      <c r="A423" s="7" t="s">
        <v>206</v>
      </c>
      <c r="B423" s="17" t="s">
        <v>305</v>
      </c>
      <c r="C423" s="17" t="s">
        <v>517</v>
      </c>
      <c r="D423" s="241" t="s">
        <v>909</v>
      </c>
      <c r="E423" s="242"/>
      <c r="F423" s="242"/>
      <c r="G423" s="242"/>
      <c r="H423" s="17" t="s">
        <v>1045</v>
      </c>
      <c r="I423" s="28">
        <v>1</v>
      </c>
      <c r="J423" s="154"/>
      <c r="K423" s="28">
        <f>I423*AO423</f>
        <v>0</v>
      </c>
      <c r="L423" s="28">
        <f>I423*AP423</f>
        <v>0</v>
      </c>
      <c r="M423" s="28">
        <f>I423*J423</f>
        <v>0</v>
      </c>
      <c r="N423" s="57">
        <f>IF(M623=0,0,M423/M623)</f>
        <v>0</v>
      </c>
      <c r="O423" s="40" t="s">
        <v>1068</v>
      </c>
      <c r="P423" s="6"/>
      <c r="Z423" s="45">
        <f>IF(AQ423="5",BJ423,0)</f>
        <v>0</v>
      </c>
      <c r="AB423" s="45">
        <f>IF(AQ423="1",BH423,0)</f>
        <v>0</v>
      </c>
      <c r="AC423" s="45">
        <f>IF(AQ423="1",BI423,0)</f>
        <v>0</v>
      </c>
      <c r="AD423" s="45">
        <f>IF(AQ423="7",BH423,0)</f>
        <v>0</v>
      </c>
      <c r="AE423" s="45">
        <f>IF(AQ423="7",BI423,0)</f>
        <v>0</v>
      </c>
      <c r="AF423" s="45">
        <f>IF(AQ423="2",BH423,0)</f>
        <v>0</v>
      </c>
      <c r="AG423" s="45">
        <f>IF(AQ423="2",BI423,0)</f>
        <v>0</v>
      </c>
      <c r="AH423" s="45">
        <f>IF(AQ423="0",BJ423,0)</f>
        <v>0</v>
      </c>
      <c r="AI423" s="44" t="s">
        <v>305</v>
      </c>
      <c r="AJ423" s="28">
        <f>IF(AN423=0,M423,0)</f>
        <v>0</v>
      </c>
      <c r="AK423" s="28">
        <f>IF(AN423=15,M423,0)</f>
        <v>0</v>
      </c>
      <c r="AL423" s="28">
        <f>IF(AN423=21,M423,0)</f>
        <v>0</v>
      </c>
      <c r="AN423" s="45">
        <v>15</v>
      </c>
      <c r="AO423" s="45">
        <f>J423*1</f>
        <v>0</v>
      </c>
      <c r="AP423" s="45">
        <f>J423*(1-1)</f>
        <v>0</v>
      </c>
      <c r="AQ423" s="47" t="s">
        <v>13</v>
      </c>
      <c r="AV423" s="45">
        <f>AW423+AX423</f>
        <v>0</v>
      </c>
      <c r="AW423" s="45">
        <f>I423*AO423</f>
        <v>0</v>
      </c>
      <c r="AX423" s="45">
        <f>I423*AP423</f>
        <v>0</v>
      </c>
      <c r="AY423" s="48" t="s">
        <v>1100</v>
      </c>
      <c r="AZ423" s="48" t="s">
        <v>1125</v>
      </c>
      <c r="BA423" s="44" t="s">
        <v>1139</v>
      </c>
      <c r="BC423" s="45">
        <f>AW423+AX423</f>
        <v>0</v>
      </c>
      <c r="BD423" s="45">
        <f>J423/(100-BE423)*100</f>
        <v>0</v>
      </c>
      <c r="BE423" s="45">
        <v>0</v>
      </c>
      <c r="BF423" s="45">
        <f>423</f>
        <v>423</v>
      </c>
      <c r="BH423" s="28">
        <f>I423*AO423</f>
        <v>0</v>
      </c>
      <c r="BI423" s="28">
        <f>I423*AP423</f>
        <v>0</v>
      </c>
      <c r="BJ423" s="28">
        <f>I423*J423</f>
        <v>0</v>
      </c>
      <c r="BK423" s="28" t="s">
        <v>1147</v>
      </c>
      <c r="BL423" s="45">
        <v>767</v>
      </c>
    </row>
    <row r="424" spans="1:64" x14ac:dyDescent="0.2">
      <c r="A424" s="6"/>
      <c r="C424" s="20" t="s">
        <v>302</v>
      </c>
      <c r="D424" s="248" t="s">
        <v>910</v>
      </c>
      <c r="E424" s="249"/>
      <c r="F424" s="249"/>
      <c r="G424" s="249"/>
      <c r="H424" s="249"/>
      <c r="I424" s="249"/>
      <c r="J424" s="249"/>
      <c r="K424" s="249"/>
      <c r="L424" s="249"/>
      <c r="M424" s="249"/>
      <c r="N424" s="249"/>
      <c r="O424" s="250"/>
      <c r="P424" s="6"/>
    </row>
    <row r="425" spans="1:64" x14ac:dyDescent="0.2">
      <c r="A425" s="5" t="s">
        <v>207</v>
      </c>
      <c r="B425" s="16" t="s">
        <v>305</v>
      </c>
      <c r="C425" s="16" t="s">
        <v>518</v>
      </c>
      <c r="D425" s="243" t="s">
        <v>911</v>
      </c>
      <c r="E425" s="244"/>
      <c r="F425" s="244"/>
      <c r="G425" s="244"/>
      <c r="H425" s="16" t="s">
        <v>1045</v>
      </c>
      <c r="I425" s="27">
        <v>1</v>
      </c>
      <c r="J425" s="149"/>
      <c r="K425" s="27">
        <f>I425*AO425</f>
        <v>0</v>
      </c>
      <c r="L425" s="27">
        <f>I425*AP425</f>
        <v>0</v>
      </c>
      <c r="M425" s="27">
        <f>I425*J425</f>
        <v>0</v>
      </c>
      <c r="N425" s="56">
        <f>IF(M623=0,0,M425/M623)</f>
        <v>0</v>
      </c>
      <c r="O425" s="39" t="s">
        <v>1068</v>
      </c>
      <c r="P425" s="6"/>
      <c r="Z425" s="45">
        <f>IF(AQ425="5",BJ425,0)</f>
        <v>0</v>
      </c>
      <c r="AB425" s="45">
        <f>IF(AQ425="1",BH425,0)</f>
        <v>0</v>
      </c>
      <c r="AC425" s="45">
        <f>IF(AQ425="1",BI425,0)</f>
        <v>0</v>
      </c>
      <c r="AD425" s="45">
        <f>IF(AQ425="7",BH425,0)</f>
        <v>0</v>
      </c>
      <c r="AE425" s="45">
        <f>IF(AQ425="7",BI425,0)</f>
        <v>0</v>
      </c>
      <c r="AF425" s="45">
        <f>IF(AQ425="2",BH425,0)</f>
        <v>0</v>
      </c>
      <c r="AG425" s="45">
        <f>IF(AQ425="2",BI425,0)</f>
        <v>0</v>
      </c>
      <c r="AH425" s="45">
        <f>IF(AQ425="0",BJ425,0)</f>
        <v>0</v>
      </c>
      <c r="AI425" s="44" t="s">
        <v>305</v>
      </c>
      <c r="AJ425" s="27">
        <f>IF(AN425=0,M425,0)</f>
        <v>0</v>
      </c>
      <c r="AK425" s="27">
        <f>IF(AN425=15,M425,0)</f>
        <v>0</v>
      </c>
      <c r="AL425" s="27">
        <f>IF(AN425=21,M425,0)</f>
        <v>0</v>
      </c>
      <c r="AN425" s="45">
        <v>15</v>
      </c>
      <c r="AO425" s="45">
        <f>J425*0</f>
        <v>0</v>
      </c>
      <c r="AP425" s="45">
        <f>J425*(1-0)</f>
        <v>0</v>
      </c>
      <c r="AQ425" s="46" t="s">
        <v>13</v>
      </c>
      <c r="AV425" s="45">
        <f>AW425+AX425</f>
        <v>0</v>
      </c>
      <c r="AW425" s="45">
        <f>I425*AO425</f>
        <v>0</v>
      </c>
      <c r="AX425" s="45">
        <f>I425*AP425</f>
        <v>0</v>
      </c>
      <c r="AY425" s="48" t="s">
        <v>1100</v>
      </c>
      <c r="AZ425" s="48" t="s">
        <v>1125</v>
      </c>
      <c r="BA425" s="44" t="s">
        <v>1139</v>
      </c>
      <c r="BC425" s="45">
        <f>AW425+AX425</f>
        <v>0</v>
      </c>
      <c r="BD425" s="45">
        <f>J425/(100-BE425)*100</f>
        <v>0</v>
      </c>
      <c r="BE425" s="45">
        <v>0</v>
      </c>
      <c r="BF425" s="45">
        <f>425</f>
        <v>425</v>
      </c>
      <c r="BH425" s="27">
        <f>I425*AO425</f>
        <v>0</v>
      </c>
      <c r="BI425" s="27">
        <f>I425*AP425</f>
        <v>0</v>
      </c>
      <c r="BJ425" s="27">
        <f>I425*J425</f>
        <v>0</v>
      </c>
      <c r="BK425" s="27" t="s">
        <v>1146</v>
      </c>
      <c r="BL425" s="45">
        <v>767</v>
      </c>
    </row>
    <row r="426" spans="1:64" x14ac:dyDescent="0.2">
      <c r="A426" s="7" t="s">
        <v>208</v>
      </c>
      <c r="B426" s="17" t="s">
        <v>305</v>
      </c>
      <c r="C426" s="17" t="s">
        <v>519</v>
      </c>
      <c r="D426" s="241" t="s">
        <v>912</v>
      </c>
      <c r="E426" s="242"/>
      <c r="F426" s="242"/>
      <c r="G426" s="242"/>
      <c r="H426" s="17" t="s">
        <v>1045</v>
      </c>
      <c r="I426" s="28">
        <v>1</v>
      </c>
      <c r="J426" s="154"/>
      <c r="K426" s="28">
        <f>I426*AO426</f>
        <v>0</v>
      </c>
      <c r="L426" s="28">
        <f>I426*AP426</f>
        <v>0</v>
      </c>
      <c r="M426" s="28">
        <f>I426*J426</f>
        <v>0</v>
      </c>
      <c r="N426" s="57">
        <f>IF(M623=0,0,M426/M623)</f>
        <v>0</v>
      </c>
      <c r="O426" s="40" t="s">
        <v>1068</v>
      </c>
      <c r="P426" s="6"/>
      <c r="Z426" s="45">
        <f>IF(AQ426="5",BJ426,0)</f>
        <v>0</v>
      </c>
      <c r="AB426" s="45">
        <f>IF(AQ426="1",BH426,0)</f>
        <v>0</v>
      </c>
      <c r="AC426" s="45">
        <f>IF(AQ426="1",BI426,0)</f>
        <v>0</v>
      </c>
      <c r="AD426" s="45">
        <f>IF(AQ426="7",BH426,0)</f>
        <v>0</v>
      </c>
      <c r="AE426" s="45">
        <f>IF(AQ426="7",BI426,0)</f>
        <v>0</v>
      </c>
      <c r="AF426" s="45">
        <f>IF(AQ426="2",BH426,0)</f>
        <v>0</v>
      </c>
      <c r="AG426" s="45">
        <f>IF(AQ426="2",BI426,0)</f>
        <v>0</v>
      </c>
      <c r="AH426" s="45">
        <f>IF(AQ426="0",BJ426,0)</f>
        <v>0</v>
      </c>
      <c r="AI426" s="44" t="s">
        <v>305</v>
      </c>
      <c r="AJ426" s="28">
        <f>IF(AN426=0,M426,0)</f>
        <v>0</v>
      </c>
      <c r="AK426" s="28">
        <f>IF(AN426=15,M426,0)</f>
        <v>0</v>
      </c>
      <c r="AL426" s="28">
        <f>IF(AN426=21,M426,0)</f>
        <v>0</v>
      </c>
      <c r="AN426" s="45">
        <v>15</v>
      </c>
      <c r="AO426" s="45">
        <f>J426*1</f>
        <v>0</v>
      </c>
      <c r="AP426" s="45">
        <f>J426*(1-1)</f>
        <v>0</v>
      </c>
      <c r="AQ426" s="47" t="s">
        <v>13</v>
      </c>
      <c r="AV426" s="45">
        <f>AW426+AX426</f>
        <v>0</v>
      </c>
      <c r="AW426" s="45">
        <f>I426*AO426</f>
        <v>0</v>
      </c>
      <c r="AX426" s="45">
        <f>I426*AP426</f>
        <v>0</v>
      </c>
      <c r="AY426" s="48" t="s">
        <v>1100</v>
      </c>
      <c r="AZ426" s="48" t="s">
        <v>1125</v>
      </c>
      <c r="BA426" s="44" t="s">
        <v>1139</v>
      </c>
      <c r="BC426" s="45">
        <f>AW426+AX426</f>
        <v>0</v>
      </c>
      <c r="BD426" s="45">
        <f>J426/(100-BE426)*100</f>
        <v>0</v>
      </c>
      <c r="BE426" s="45">
        <v>0</v>
      </c>
      <c r="BF426" s="45">
        <f>426</f>
        <v>426</v>
      </c>
      <c r="BH426" s="28">
        <f>I426*AO426</f>
        <v>0</v>
      </c>
      <c r="BI426" s="28">
        <f>I426*AP426</f>
        <v>0</v>
      </c>
      <c r="BJ426" s="28">
        <f>I426*J426</f>
        <v>0</v>
      </c>
      <c r="BK426" s="28" t="s">
        <v>1147</v>
      </c>
      <c r="BL426" s="45">
        <v>767</v>
      </c>
    </row>
    <row r="427" spans="1:64" x14ac:dyDescent="0.2">
      <c r="A427" s="6"/>
      <c r="C427" s="20" t="s">
        <v>302</v>
      </c>
      <c r="D427" s="248" t="s">
        <v>907</v>
      </c>
      <c r="E427" s="249"/>
      <c r="F427" s="249"/>
      <c r="G427" s="249"/>
      <c r="H427" s="249"/>
      <c r="I427" s="249"/>
      <c r="J427" s="249"/>
      <c r="K427" s="249"/>
      <c r="L427" s="249"/>
      <c r="M427" s="249"/>
      <c r="N427" s="249"/>
      <c r="O427" s="250"/>
      <c r="P427" s="6"/>
    </row>
    <row r="428" spans="1:64" x14ac:dyDescent="0.2">
      <c r="A428" s="5" t="s">
        <v>209</v>
      </c>
      <c r="B428" s="16" t="s">
        <v>305</v>
      </c>
      <c r="C428" s="16" t="s">
        <v>520</v>
      </c>
      <c r="D428" s="243" t="s">
        <v>913</v>
      </c>
      <c r="E428" s="244"/>
      <c r="F428" s="244"/>
      <c r="G428" s="244"/>
      <c r="H428" s="16" t="s">
        <v>1045</v>
      </c>
      <c r="I428" s="27">
        <v>1</v>
      </c>
      <c r="J428" s="149"/>
      <c r="K428" s="27">
        <f>I428*AO428</f>
        <v>0</v>
      </c>
      <c r="L428" s="27">
        <f>I428*AP428</f>
        <v>0</v>
      </c>
      <c r="M428" s="27">
        <f>I428*J428</f>
        <v>0</v>
      </c>
      <c r="N428" s="56">
        <f>IF(M623=0,0,M428/M623)</f>
        <v>0</v>
      </c>
      <c r="O428" s="39" t="s">
        <v>1068</v>
      </c>
      <c r="P428" s="6"/>
      <c r="Z428" s="45">
        <f>IF(AQ428="5",BJ428,0)</f>
        <v>0</v>
      </c>
      <c r="AB428" s="45">
        <f>IF(AQ428="1",BH428,0)</f>
        <v>0</v>
      </c>
      <c r="AC428" s="45">
        <f>IF(AQ428="1",BI428,0)</f>
        <v>0</v>
      </c>
      <c r="AD428" s="45">
        <f>IF(AQ428="7",BH428,0)</f>
        <v>0</v>
      </c>
      <c r="AE428" s="45">
        <f>IF(AQ428="7",BI428,0)</f>
        <v>0</v>
      </c>
      <c r="AF428" s="45">
        <f>IF(AQ428="2",BH428,0)</f>
        <v>0</v>
      </c>
      <c r="AG428" s="45">
        <f>IF(AQ428="2",BI428,0)</f>
        <v>0</v>
      </c>
      <c r="AH428" s="45">
        <f>IF(AQ428="0",BJ428,0)</f>
        <v>0</v>
      </c>
      <c r="AI428" s="44" t="s">
        <v>305</v>
      </c>
      <c r="AJ428" s="27">
        <f>IF(AN428=0,M428,0)</f>
        <v>0</v>
      </c>
      <c r="AK428" s="27">
        <f>IF(AN428=15,M428,0)</f>
        <v>0</v>
      </c>
      <c r="AL428" s="27">
        <f>IF(AN428=21,M428,0)</f>
        <v>0</v>
      </c>
      <c r="AN428" s="45">
        <v>15</v>
      </c>
      <c r="AO428" s="45">
        <f>J428*0</f>
        <v>0</v>
      </c>
      <c r="AP428" s="45">
        <f>J428*(1-0)</f>
        <v>0</v>
      </c>
      <c r="AQ428" s="46" t="s">
        <v>13</v>
      </c>
      <c r="AV428" s="45">
        <f>AW428+AX428</f>
        <v>0</v>
      </c>
      <c r="AW428" s="45">
        <f>I428*AO428</f>
        <v>0</v>
      </c>
      <c r="AX428" s="45">
        <f>I428*AP428</f>
        <v>0</v>
      </c>
      <c r="AY428" s="48" t="s">
        <v>1100</v>
      </c>
      <c r="AZ428" s="48" t="s">
        <v>1125</v>
      </c>
      <c r="BA428" s="44" t="s">
        <v>1139</v>
      </c>
      <c r="BC428" s="45">
        <f>AW428+AX428</f>
        <v>0</v>
      </c>
      <c r="BD428" s="45">
        <f>J428/(100-BE428)*100</f>
        <v>0</v>
      </c>
      <c r="BE428" s="45">
        <v>0</v>
      </c>
      <c r="BF428" s="45">
        <f>428</f>
        <v>428</v>
      </c>
      <c r="BH428" s="27">
        <f>I428*AO428</f>
        <v>0</v>
      </c>
      <c r="BI428" s="27">
        <f>I428*AP428</f>
        <v>0</v>
      </c>
      <c r="BJ428" s="27">
        <f>I428*J428</f>
        <v>0</v>
      </c>
      <c r="BK428" s="27" t="s">
        <v>1146</v>
      </c>
      <c r="BL428" s="45">
        <v>767</v>
      </c>
    </row>
    <row r="429" spans="1:64" x14ac:dyDescent="0.2">
      <c r="A429" s="6"/>
      <c r="C429" s="21" t="s">
        <v>310</v>
      </c>
      <c r="D429" s="245" t="s">
        <v>753</v>
      </c>
      <c r="E429" s="246"/>
      <c r="F429" s="246"/>
      <c r="G429" s="246"/>
      <c r="H429" s="246"/>
      <c r="I429" s="246"/>
      <c r="J429" s="246"/>
      <c r="K429" s="246"/>
      <c r="L429" s="246"/>
      <c r="M429" s="246"/>
      <c r="N429" s="246"/>
      <c r="O429" s="247"/>
      <c r="P429" s="6"/>
    </row>
    <row r="430" spans="1:64" x14ac:dyDescent="0.2">
      <c r="A430" s="7" t="s">
        <v>210</v>
      </c>
      <c r="B430" s="17" t="s">
        <v>305</v>
      </c>
      <c r="C430" s="17" t="s">
        <v>521</v>
      </c>
      <c r="D430" s="241" t="s">
        <v>914</v>
      </c>
      <c r="E430" s="242"/>
      <c r="F430" s="242"/>
      <c r="G430" s="242"/>
      <c r="H430" s="17" t="s">
        <v>1045</v>
      </c>
      <c r="I430" s="28">
        <v>1</v>
      </c>
      <c r="J430" s="154"/>
      <c r="K430" s="28">
        <f>I430*AO430</f>
        <v>0</v>
      </c>
      <c r="L430" s="28">
        <f>I430*AP430</f>
        <v>0</v>
      </c>
      <c r="M430" s="28">
        <f>I430*J430</f>
        <v>0</v>
      </c>
      <c r="N430" s="57">
        <f>IF(M623=0,0,M430/M623)</f>
        <v>0</v>
      </c>
      <c r="O430" s="40" t="s">
        <v>1069</v>
      </c>
      <c r="P430" s="6"/>
      <c r="Z430" s="45">
        <f>IF(AQ430="5",BJ430,0)</f>
        <v>0</v>
      </c>
      <c r="AB430" s="45">
        <f>IF(AQ430="1",BH430,0)</f>
        <v>0</v>
      </c>
      <c r="AC430" s="45">
        <f>IF(AQ430="1",BI430,0)</f>
        <v>0</v>
      </c>
      <c r="AD430" s="45">
        <f>IF(AQ430="7",BH430,0)</f>
        <v>0</v>
      </c>
      <c r="AE430" s="45">
        <f>IF(AQ430="7",BI430,0)</f>
        <v>0</v>
      </c>
      <c r="AF430" s="45">
        <f>IF(AQ430="2",BH430,0)</f>
        <v>0</v>
      </c>
      <c r="AG430" s="45">
        <f>IF(AQ430="2",BI430,0)</f>
        <v>0</v>
      </c>
      <c r="AH430" s="45">
        <f>IF(AQ430="0",BJ430,0)</f>
        <v>0</v>
      </c>
      <c r="AI430" s="44" t="s">
        <v>305</v>
      </c>
      <c r="AJ430" s="28">
        <f>IF(AN430=0,M430,0)</f>
        <v>0</v>
      </c>
      <c r="AK430" s="28">
        <f>IF(AN430=15,M430,0)</f>
        <v>0</v>
      </c>
      <c r="AL430" s="28">
        <f>IF(AN430=21,M430,0)</f>
        <v>0</v>
      </c>
      <c r="AN430" s="45">
        <v>15</v>
      </c>
      <c r="AO430" s="45">
        <f>J430*1</f>
        <v>0</v>
      </c>
      <c r="AP430" s="45">
        <f>J430*(1-1)</f>
        <v>0</v>
      </c>
      <c r="AQ430" s="47" t="s">
        <v>13</v>
      </c>
      <c r="AV430" s="45">
        <f>AW430+AX430</f>
        <v>0</v>
      </c>
      <c r="AW430" s="45">
        <f>I430*AO430</f>
        <v>0</v>
      </c>
      <c r="AX430" s="45">
        <f>I430*AP430</f>
        <v>0</v>
      </c>
      <c r="AY430" s="48" t="s">
        <v>1100</v>
      </c>
      <c r="AZ430" s="48" t="s">
        <v>1125</v>
      </c>
      <c r="BA430" s="44" t="s">
        <v>1139</v>
      </c>
      <c r="BC430" s="45">
        <f>AW430+AX430</f>
        <v>0</v>
      </c>
      <c r="BD430" s="45">
        <f>J430/(100-BE430)*100</f>
        <v>0</v>
      </c>
      <c r="BE430" s="45">
        <v>0</v>
      </c>
      <c r="BF430" s="45">
        <f>430</f>
        <v>430</v>
      </c>
      <c r="BH430" s="28">
        <f>I430*AO430</f>
        <v>0</v>
      </c>
      <c r="BI430" s="28">
        <f>I430*AP430</f>
        <v>0</v>
      </c>
      <c r="BJ430" s="28">
        <f>I430*J430</f>
        <v>0</v>
      </c>
      <c r="BK430" s="28" t="s">
        <v>1147</v>
      </c>
      <c r="BL430" s="45">
        <v>767</v>
      </c>
    </row>
    <row r="431" spans="1:64" x14ac:dyDescent="0.2">
      <c r="A431" s="6"/>
      <c r="C431" s="20" t="s">
        <v>302</v>
      </c>
      <c r="D431" s="248" t="s">
        <v>907</v>
      </c>
      <c r="E431" s="249"/>
      <c r="F431" s="249"/>
      <c r="G431" s="249"/>
      <c r="H431" s="249"/>
      <c r="I431" s="249"/>
      <c r="J431" s="249"/>
      <c r="K431" s="249"/>
      <c r="L431" s="249"/>
      <c r="M431" s="249"/>
      <c r="N431" s="249"/>
      <c r="O431" s="250"/>
      <c r="P431" s="6"/>
    </row>
    <row r="432" spans="1:64" x14ac:dyDescent="0.2">
      <c r="A432" s="5" t="s">
        <v>211</v>
      </c>
      <c r="B432" s="16" t="s">
        <v>305</v>
      </c>
      <c r="C432" s="16" t="s">
        <v>522</v>
      </c>
      <c r="D432" s="243" t="s">
        <v>915</v>
      </c>
      <c r="E432" s="244"/>
      <c r="F432" s="244"/>
      <c r="G432" s="244"/>
      <c r="H432" s="16" t="s">
        <v>1045</v>
      </c>
      <c r="I432" s="27">
        <v>1</v>
      </c>
      <c r="J432" s="149"/>
      <c r="K432" s="27">
        <f>I432*AO432</f>
        <v>0</v>
      </c>
      <c r="L432" s="27">
        <f>I432*AP432</f>
        <v>0</v>
      </c>
      <c r="M432" s="27">
        <f>I432*J432</f>
        <v>0</v>
      </c>
      <c r="N432" s="56">
        <f>IF(M623=0,0,M432/M623)</f>
        <v>0</v>
      </c>
      <c r="O432" s="39" t="s">
        <v>1068</v>
      </c>
      <c r="P432" s="6"/>
      <c r="Z432" s="45">
        <f>IF(AQ432="5",BJ432,0)</f>
        <v>0</v>
      </c>
      <c r="AB432" s="45">
        <f>IF(AQ432="1",BH432,0)</f>
        <v>0</v>
      </c>
      <c r="AC432" s="45">
        <f>IF(AQ432="1",BI432,0)</f>
        <v>0</v>
      </c>
      <c r="AD432" s="45">
        <f>IF(AQ432="7",BH432,0)</f>
        <v>0</v>
      </c>
      <c r="AE432" s="45">
        <f>IF(AQ432="7",BI432,0)</f>
        <v>0</v>
      </c>
      <c r="AF432" s="45">
        <f>IF(AQ432="2",BH432,0)</f>
        <v>0</v>
      </c>
      <c r="AG432" s="45">
        <f>IF(AQ432="2",BI432,0)</f>
        <v>0</v>
      </c>
      <c r="AH432" s="45">
        <f>IF(AQ432="0",BJ432,0)</f>
        <v>0</v>
      </c>
      <c r="AI432" s="44" t="s">
        <v>305</v>
      </c>
      <c r="AJ432" s="27">
        <f>IF(AN432=0,M432,0)</f>
        <v>0</v>
      </c>
      <c r="AK432" s="27">
        <f>IF(AN432=15,M432,0)</f>
        <v>0</v>
      </c>
      <c r="AL432" s="27">
        <f>IF(AN432=21,M432,0)</f>
        <v>0</v>
      </c>
      <c r="AN432" s="45">
        <v>15</v>
      </c>
      <c r="AO432" s="45">
        <f>J432*0.0551633557708094</f>
        <v>0</v>
      </c>
      <c r="AP432" s="45">
        <f>J432*(1-0.0551633557708094)</f>
        <v>0</v>
      </c>
      <c r="AQ432" s="46" t="s">
        <v>13</v>
      </c>
      <c r="AV432" s="45">
        <f>AW432+AX432</f>
        <v>0</v>
      </c>
      <c r="AW432" s="45">
        <f>I432*AO432</f>
        <v>0</v>
      </c>
      <c r="AX432" s="45">
        <f>I432*AP432</f>
        <v>0</v>
      </c>
      <c r="AY432" s="48" t="s">
        <v>1100</v>
      </c>
      <c r="AZ432" s="48" t="s">
        <v>1125</v>
      </c>
      <c r="BA432" s="44" t="s">
        <v>1139</v>
      </c>
      <c r="BC432" s="45">
        <f>AW432+AX432</f>
        <v>0</v>
      </c>
      <c r="BD432" s="45">
        <f>J432/(100-BE432)*100</f>
        <v>0</v>
      </c>
      <c r="BE432" s="45">
        <v>0</v>
      </c>
      <c r="BF432" s="45">
        <f>432</f>
        <v>432</v>
      </c>
      <c r="BH432" s="27">
        <f>I432*AO432</f>
        <v>0</v>
      </c>
      <c r="BI432" s="27">
        <f>I432*AP432</f>
        <v>0</v>
      </c>
      <c r="BJ432" s="27">
        <f>I432*J432</f>
        <v>0</v>
      </c>
      <c r="BK432" s="27" t="s">
        <v>1146</v>
      </c>
      <c r="BL432" s="45">
        <v>767</v>
      </c>
    </row>
    <row r="433" spans="1:64" x14ac:dyDescent="0.2">
      <c r="A433" s="7" t="s">
        <v>212</v>
      </c>
      <c r="B433" s="17" t="s">
        <v>305</v>
      </c>
      <c r="C433" s="17" t="s">
        <v>523</v>
      </c>
      <c r="D433" s="241" t="s">
        <v>916</v>
      </c>
      <c r="E433" s="242"/>
      <c r="F433" s="242"/>
      <c r="G433" s="242"/>
      <c r="H433" s="17" t="s">
        <v>1045</v>
      </c>
      <c r="I433" s="28">
        <v>1</v>
      </c>
      <c r="J433" s="154"/>
      <c r="K433" s="28">
        <f>I433*AO433</f>
        <v>0</v>
      </c>
      <c r="L433" s="28">
        <f>I433*AP433</f>
        <v>0</v>
      </c>
      <c r="M433" s="28">
        <f>I433*J433</f>
        <v>0</v>
      </c>
      <c r="N433" s="57">
        <f>IF(M623=0,0,M433/M623)</f>
        <v>0</v>
      </c>
      <c r="O433" s="40" t="s">
        <v>1068</v>
      </c>
      <c r="P433" s="6"/>
      <c r="Z433" s="45">
        <f>IF(AQ433="5",BJ433,0)</f>
        <v>0</v>
      </c>
      <c r="AB433" s="45">
        <f>IF(AQ433="1",BH433,0)</f>
        <v>0</v>
      </c>
      <c r="AC433" s="45">
        <f>IF(AQ433="1",BI433,0)</f>
        <v>0</v>
      </c>
      <c r="AD433" s="45">
        <f>IF(AQ433="7",BH433,0)</f>
        <v>0</v>
      </c>
      <c r="AE433" s="45">
        <f>IF(AQ433="7",BI433,0)</f>
        <v>0</v>
      </c>
      <c r="AF433" s="45">
        <f>IF(AQ433="2",BH433,0)</f>
        <v>0</v>
      </c>
      <c r="AG433" s="45">
        <f>IF(AQ433="2",BI433,0)</f>
        <v>0</v>
      </c>
      <c r="AH433" s="45">
        <f>IF(AQ433="0",BJ433,0)</f>
        <v>0</v>
      </c>
      <c r="AI433" s="44" t="s">
        <v>305</v>
      </c>
      <c r="AJ433" s="28">
        <f>IF(AN433=0,M433,0)</f>
        <v>0</v>
      </c>
      <c r="AK433" s="28">
        <f>IF(AN433=15,M433,0)</f>
        <v>0</v>
      </c>
      <c r="AL433" s="28">
        <f>IF(AN433=21,M433,0)</f>
        <v>0</v>
      </c>
      <c r="AN433" s="45">
        <v>15</v>
      </c>
      <c r="AO433" s="45">
        <f>J433*1</f>
        <v>0</v>
      </c>
      <c r="AP433" s="45">
        <f>J433*(1-1)</f>
        <v>0</v>
      </c>
      <c r="AQ433" s="47" t="s">
        <v>13</v>
      </c>
      <c r="AV433" s="45">
        <f>AW433+AX433</f>
        <v>0</v>
      </c>
      <c r="AW433" s="45">
        <f>I433*AO433</f>
        <v>0</v>
      </c>
      <c r="AX433" s="45">
        <f>I433*AP433</f>
        <v>0</v>
      </c>
      <c r="AY433" s="48" t="s">
        <v>1100</v>
      </c>
      <c r="AZ433" s="48" t="s">
        <v>1125</v>
      </c>
      <c r="BA433" s="44" t="s">
        <v>1139</v>
      </c>
      <c r="BC433" s="45">
        <f>AW433+AX433</f>
        <v>0</v>
      </c>
      <c r="BD433" s="45">
        <f>J433/(100-BE433)*100</f>
        <v>0</v>
      </c>
      <c r="BE433" s="45">
        <v>0</v>
      </c>
      <c r="BF433" s="45">
        <f>433</f>
        <v>433</v>
      </c>
      <c r="BH433" s="28">
        <f>I433*AO433</f>
        <v>0</v>
      </c>
      <c r="BI433" s="28">
        <f>I433*AP433</f>
        <v>0</v>
      </c>
      <c r="BJ433" s="28">
        <f>I433*J433</f>
        <v>0</v>
      </c>
      <c r="BK433" s="28" t="s">
        <v>1147</v>
      </c>
      <c r="BL433" s="45">
        <v>767</v>
      </c>
    </row>
    <row r="434" spans="1:64" x14ac:dyDescent="0.2">
      <c r="A434" s="6"/>
      <c r="C434" s="20" t="s">
        <v>302</v>
      </c>
      <c r="D434" s="248" t="s">
        <v>907</v>
      </c>
      <c r="E434" s="249"/>
      <c r="F434" s="249"/>
      <c r="G434" s="249"/>
      <c r="H434" s="249"/>
      <c r="I434" s="249"/>
      <c r="J434" s="249"/>
      <c r="K434" s="249"/>
      <c r="L434" s="249"/>
      <c r="M434" s="249"/>
      <c r="N434" s="249"/>
      <c r="O434" s="250"/>
      <c r="P434" s="6"/>
    </row>
    <row r="435" spans="1:64" x14ac:dyDescent="0.2">
      <c r="A435" s="5" t="s">
        <v>213</v>
      </c>
      <c r="B435" s="16" t="s">
        <v>305</v>
      </c>
      <c r="C435" s="16" t="s">
        <v>524</v>
      </c>
      <c r="D435" s="243" t="s">
        <v>917</v>
      </c>
      <c r="E435" s="244"/>
      <c r="F435" s="244"/>
      <c r="G435" s="244"/>
      <c r="H435" s="16" t="s">
        <v>1045</v>
      </c>
      <c r="I435" s="27">
        <v>1</v>
      </c>
      <c r="J435" s="149"/>
      <c r="K435" s="27">
        <f>I435*AO435</f>
        <v>0</v>
      </c>
      <c r="L435" s="27">
        <f>I435*AP435</f>
        <v>0</v>
      </c>
      <c r="M435" s="27">
        <f>I435*J435</f>
        <v>0</v>
      </c>
      <c r="N435" s="56">
        <f>IF(M623=0,0,M435/M623)</f>
        <v>0</v>
      </c>
      <c r="O435" s="39" t="s">
        <v>1068</v>
      </c>
      <c r="P435" s="6"/>
      <c r="Z435" s="45">
        <f>IF(AQ435="5",BJ435,0)</f>
        <v>0</v>
      </c>
      <c r="AB435" s="45">
        <f>IF(AQ435="1",BH435,0)</f>
        <v>0</v>
      </c>
      <c r="AC435" s="45">
        <f>IF(AQ435="1",BI435,0)</f>
        <v>0</v>
      </c>
      <c r="AD435" s="45">
        <f>IF(AQ435="7",BH435,0)</f>
        <v>0</v>
      </c>
      <c r="AE435" s="45">
        <f>IF(AQ435="7",BI435,0)</f>
        <v>0</v>
      </c>
      <c r="AF435" s="45">
        <f>IF(AQ435="2",BH435,0)</f>
        <v>0</v>
      </c>
      <c r="AG435" s="45">
        <f>IF(AQ435="2",BI435,0)</f>
        <v>0</v>
      </c>
      <c r="AH435" s="45">
        <f>IF(AQ435="0",BJ435,0)</f>
        <v>0</v>
      </c>
      <c r="AI435" s="44" t="s">
        <v>305</v>
      </c>
      <c r="AJ435" s="27">
        <f>IF(AN435=0,M435,0)</f>
        <v>0</v>
      </c>
      <c r="AK435" s="27">
        <f>IF(AN435=15,M435,0)</f>
        <v>0</v>
      </c>
      <c r="AL435" s="27">
        <f>IF(AN435=21,M435,0)</f>
        <v>0</v>
      </c>
      <c r="AN435" s="45">
        <v>15</v>
      </c>
      <c r="AO435" s="45">
        <f>J435*0.0190106075216972</f>
        <v>0</v>
      </c>
      <c r="AP435" s="45">
        <f>J435*(1-0.0190106075216972)</f>
        <v>0</v>
      </c>
      <c r="AQ435" s="46" t="s">
        <v>13</v>
      </c>
      <c r="AV435" s="45">
        <f>AW435+AX435</f>
        <v>0</v>
      </c>
      <c r="AW435" s="45">
        <f>I435*AO435</f>
        <v>0</v>
      </c>
      <c r="AX435" s="45">
        <f>I435*AP435</f>
        <v>0</v>
      </c>
      <c r="AY435" s="48" t="s">
        <v>1100</v>
      </c>
      <c r="AZ435" s="48" t="s">
        <v>1125</v>
      </c>
      <c r="BA435" s="44" t="s">
        <v>1139</v>
      </c>
      <c r="BC435" s="45">
        <f>AW435+AX435</f>
        <v>0</v>
      </c>
      <c r="BD435" s="45">
        <f>J435/(100-BE435)*100</f>
        <v>0</v>
      </c>
      <c r="BE435" s="45">
        <v>0</v>
      </c>
      <c r="BF435" s="45">
        <f>435</f>
        <v>435</v>
      </c>
      <c r="BH435" s="27">
        <f>I435*AO435</f>
        <v>0</v>
      </c>
      <c r="BI435" s="27">
        <f>I435*AP435</f>
        <v>0</v>
      </c>
      <c r="BJ435" s="27">
        <f>I435*J435</f>
        <v>0</v>
      </c>
      <c r="BK435" s="27" t="s">
        <v>1146</v>
      </c>
      <c r="BL435" s="45">
        <v>767</v>
      </c>
    </row>
    <row r="436" spans="1:64" x14ac:dyDescent="0.2">
      <c r="A436" s="6"/>
      <c r="C436" s="21" t="s">
        <v>310</v>
      </c>
      <c r="D436" s="245" t="s">
        <v>753</v>
      </c>
      <c r="E436" s="246"/>
      <c r="F436" s="246"/>
      <c r="G436" s="246"/>
      <c r="H436" s="246"/>
      <c r="I436" s="246"/>
      <c r="J436" s="246"/>
      <c r="K436" s="246"/>
      <c r="L436" s="246"/>
      <c r="M436" s="246"/>
      <c r="N436" s="246"/>
      <c r="O436" s="247"/>
      <c r="P436" s="6"/>
    </row>
    <row r="437" spans="1:64" x14ac:dyDescent="0.2">
      <c r="A437" s="7" t="s">
        <v>214</v>
      </c>
      <c r="B437" s="17" t="s">
        <v>305</v>
      </c>
      <c r="C437" s="17" t="s">
        <v>525</v>
      </c>
      <c r="D437" s="241" t="s">
        <v>918</v>
      </c>
      <c r="E437" s="242"/>
      <c r="F437" s="242"/>
      <c r="G437" s="242"/>
      <c r="H437" s="17" t="s">
        <v>1045</v>
      </c>
      <c r="I437" s="28">
        <v>1</v>
      </c>
      <c r="J437" s="154"/>
      <c r="K437" s="28">
        <f>I437*AO437</f>
        <v>0</v>
      </c>
      <c r="L437" s="28">
        <f>I437*AP437</f>
        <v>0</v>
      </c>
      <c r="M437" s="28">
        <f>I437*J437</f>
        <v>0</v>
      </c>
      <c r="N437" s="57">
        <f>IF(M623=0,0,M437/M623)</f>
        <v>0</v>
      </c>
      <c r="O437" s="40" t="s">
        <v>1069</v>
      </c>
      <c r="P437" s="6"/>
      <c r="Z437" s="45">
        <f>IF(AQ437="5",BJ437,0)</f>
        <v>0</v>
      </c>
      <c r="AB437" s="45">
        <f>IF(AQ437="1",BH437,0)</f>
        <v>0</v>
      </c>
      <c r="AC437" s="45">
        <f>IF(AQ437="1",BI437,0)</f>
        <v>0</v>
      </c>
      <c r="AD437" s="45">
        <f>IF(AQ437="7",BH437,0)</f>
        <v>0</v>
      </c>
      <c r="AE437" s="45">
        <f>IF(AQ437="7",BI437,0)</f>
        <v>0</v>
      </c>
      <c r="AF437" s="45">
        <f>IF(AQ437="2",BH437,0)</f>
        <v>0</v>
      </c>
      <c r="AG437" s="45">
        <f>IF(AQ437="2",BI437,0)</f>
        <v>0</v>
      </c>
      <c r="AH437" s="45">
        <f>IF(AQ437="0",BJ437,0)</f>
        <v>0</v>
      </c>
      <c r="AI437" s="44" t="s">
        <v>305</v>
      </c>
      <c r="AJ437" s="28">
        <f>IF(AN437=0,M437,0)</f>
        <v>0</v>
      </c>
      <c r="AK437" s="28">
        <f>IF(AN437=15,M437,0)</f>
        <v>0</v>
      </c>
      <c r="AL437" s="28">
        <f>IF(AN437=21,M437,0)</f>
        <v>0</v>
      </c>
      <c r="AN437" s="45">
        <v>15</v>
      </c>
      <c r="AO437" s="45">
        <f>J437*1</f>
        <v>0</v>
      </c>
      <c r="AP437" s="45">
        <f>J437*(1-1)</f>
        <v>0</v>
      </c>
      <c r="AQ437" s="47" t="s">
        <v>13</v>
      </c>
      <c r="AV437" s="45">
        <f>AW437+AX437</f>
        <v>0</v>
      </c>
      <c r="AW437" s="45">
        <f>I437*AO437</f>
        <v>0</v>
      </c>
      <c r="AX437" s="45">
        <f>I437*AP437</f>
        <v>0</v>
      </c>
      <c r="AY437" s="48" t="s">
        <v>1100</v>
      </c>
      <c r="AZ437" s="48" t="s">
        <v>1125</v>
      </c>
      <c r="BA437" s="44" t="s">
        <v>1139</v>
      </c>
      <c r="BC437" s="45">
        <f>AW437+AX437</f>
        <v>0</v>
      </c>
      <c r="BD437" s="45">
        <f>J437/(100-BE437)*100</f>
        <v>0</v>
      </c>
      <c r="BE437" s="45">
        <v>0</v>
      </c>
      <c r="BF437" s="45">
        <f>437</f>
        <v>437</v>
      </c>
      <c r="BH437" s="28">
        <f>I437*AO437</f>
        <v>0</v>
      </c>
      <c r="BI437" s="28">
        <f>I437*AP437</f>
        <v>0</v>
      </c>
      <c r="BJ437" s="28">
        <f>I437*J437</f>
        <v>0</v>
      </c>
      <c r="BK437" s="28" t="s">
        <v>1147</v>
      </c>
      <c r="BL437" s="45">
        <v>767</v>
      </c>
    </row>
    <row r="438" spans="1:64" x14ac:dyDescent="0.2">
      <c r="A438" s="6"/>
      <c r="C438" s="20" t="s">
        <v>302</v>
      </c>
      <c r="D438" s="248" t="s">
        <v>907</v>
      </c>
      <c r="E438" s="249"/>
      <c r="F438" s="249"/>
      <c r="G438" s="249"/>
      <c r="H438" s="249"/>
      <c r="I438" s="249"/>
      <c r="J438" s="249"/>
      <c r="K438" s="249"/>
      <c r="L438" s="249"/>
      <c r="M438" s="249"/>
      <c r="N438" s="249"/>
      <c r="O438" s="250"/>
      <c r="P438" s="6"/>
    </row>
    <row r="439" spans="1:64" x14ac:dyDescent="0.2">
      <c r="A439" s="5" t="s">
        <v>215</v>
      </c>
      <c r="B439" s="16" t="s">
        <v>305</v>
      </c>
      <c r="C439" s="16" t="s">
        <v>526</v>
      </c>
      <c r="D439" s="243" t="s">
        <v>919</v>
      </c>
      <c r="E439" s="244"/>
      <c r="F439" s="244"/>
      <c r="G439" s="244"/>
      <c r="H439" s="16" t="s">
        <v>1047</v>
      </c>
      <c r="I439" s="27">
        <v>797.35</v>
      </c>
      <c r="J439" s="149"/>
      <c r="K439" s="27">
        <f>I439*AO439</f>
        <v>0</v>
      </c>
      <c r="L439" s="27">
        <f>I439*AP439</f>
        <v>0</v>
      </c>
      <c r="M439" s="27">
        <f>I439*J439</f>
        <v>0</v>
      </c>
      <c r="N439" s="56">
        <f>IF(M623=0,0,M439/M623)</f>
        <v>0</v>
      </c>
      <c r="O439" s="39" t="s">
        <v>1069</v>
      </c>
      <c r="P439" s="6"/>
      <c r="Z439" s="45">
        <f>IF(AQ439="5",BJ439,0)</f>
        <v>0</v>
      </c>
      <c r="AB439" s="45">
        <f>IF(AQ439="1",BH439,0)</f>
        <v>0</v>
      </c>
      <c r="AC439" s="45">
        <f>IF(AQ439="1",BI439,0)</f>
        <v>0</v>
      </c>
      <c r="AD439" s="45">
        <f>IF(AQ439="7",BH439,0)</f>
        <v>0</v>
      </c>
      <c r="AE439" s="45">
        <f>IF(AQ439="7",BI439,0)</f>
        <v>0</v>
      </c>
      <c r="AF439" s="45">
        <f>IF(AQ439="2",BH439,0)</f>
        <v>0</v>
      </c>
      <c r="AG439" s="45">
        <f>IF(AQ439="2",BI439,0)</f>
        <v>0</v>
      </c>
      <c r="AH439" s="45">
        <f>IF(AQ439="0",BJ439,0)</f>
        <v>0</v>
      </c>
      <c r="AI439" s="44" t="s">
        <v>305</v>
      </c>
      <c r="AJ439" s="27">
        <f>IF(AN439=0,M439,0)</f>
        <v>0</v>
      </c>
      <c r="AK439" s="27">
        <f>IF(AN439=15,M439,0)</f>
        <v>0</v>
      </c>
      <c r="AL439" s="27">
        <f>IF(AN439=21,M439,0)</f>
        <v>0</v>
      </c>
      <c r="AN439" s="45">
        <v>15</v>
      </c>
      <c r="AO439" s="45">
        <f>J439*0.075286340641262</f>
        <v>0</v>
      </c>
      <c r="AP439" s="45">
        <f>J439*(1-0.075286340641262)</f>
        <v>0</v>
      </c>
      <c r="AQ439" s="46" t="s">
        <v>13</v>
      </c>
      <c r="AV439" s="45">
        <f>AW439+AX439</f>
        <v>0</v>
      </c>
      <c r="AW439" s="45">
        <f>I439*AO439</f>
        <v>0</v>
      </c>
      <c r="AX439" s="45">
        <f>I439*AP439</f>
        <v>0</v>
      </c>
      <c r="AY439" s="48" t="s">
        <v>1100</v>
      </c>
      <c r="AZ439" s="48" t="s">
        <v>1125</v>
      </c>
      <c r="BA439" s="44" t="s">
        <v>1139</v>
      </c>
      <c r="BC439" s="45">
        <f>AW439+AX439</f>
        <v>0</v>
      </c>
      <c r="BD439" s="45">
        <f>J439/(100-BE439)*100</f>
        <v>0</v>
      </c>
      <c r="BE439" s="45">
        <v>0</v>
      </c>
      <c r="BF439" s="45">
        <f>439</f>
        <v>439</v>
      </c>
      <c r="BH439" s="27">
        <f>I439*AO439</f>
        <v>0</v>
      </c>
      <c r="BI439" s="27">
        <f>I439*AP439</f>
        <v>0</v>
      </c>
      <c r="BJ439" s="27">
        <f>I439*J439</f>
        <v>0</v>
      </c>
      <c r="BK439" s="27" t="s">
        <v>1146</v>
      </c>
      <c r="BL439" s="45">
        <v>767</v>
      </c>
    </row>
    <row r="440" spans="1:64" x14ac:dyDescent="0.2">
      <c r="A440" s="6"/>
      <c r="C440" s="20" t="s">
        <v>302</v>
      </c>
      <c r="D440" s="248" t="s">
        <v>920</v>
      </c>
      <c r="E440" s="249"/>
      <c r="F440" s="249"/>
      <c r="G440" s="249"/>
      <c r="H440" s="249"/>
      <c r="I440" s="249"/>
      <c r="J440" s="249"/>
      <c r="K440" s="249"/>
      <c r="L440" s="249"/>
      <c r="M440" s="249"/>
      <c r="N440" s="249"/>
      <c r="O440" s="250"/>
      <c r="P440" s="6"/>
    </row>
    <row r="441" spans="1:64" x14ac:dyDescent="0.2">
      <c r="A441" s="6"/>
      <c r="C441" s="21" t="s">
        <v>310</v>
      </c>
      <c r="D441" s="245" t="s">
        <v>748</v>
      </c>
      <c r="E441" s="246"/>
      <c r="F441" s="246"/>
      <c r="G441" s="246"/>
      <c r="H441" s="246"/>
      <c r="I441" s="246"/>
      <c r="J441" s="246"/>
      <c r="K441" s="246"/>
      <c r="L441" s="246"/>
      <c r="M441" s="246"/>
      <c r="N441" s="246"/>
      <c r="O441" s="247"/>
      <c r="P441" s="6"/>
    </row>
    <row r="442" spans="1:64" x14ac:dyDescent="0.2">
      <c r="A442" s="5" t="s">
        <v>216</v>
      </c>
      <c r="B442" s="16" t="s">
        <v>305</v>
      </c>
      <c r="C442" s="16" t="s">
        <v>527</v>
      </c>
      <c r="D442" s="243" t="s">
        <v>921</v>
      </c>
      <c r="E442" s="244"/>
      <c r="F442" s="244"/>
      <c r="G442" s="244"/>
      <c r="H442" s="16" t="s">
        <v>1043</v>
      </c>
      <c r="I442" s="27">
        <v>1.4</v>
      </c>
      <c r="J442" s="149"/>
      <c r="K442" s="27">
        <f>I442*AO442</f>
        <v>0</v>
      </c>
      <c r="L442" s="27">
        <f>I442*AP442</f>
        <v>0</v>
      </c>
      <c r="M442" s="27">
        <f>I442*J442</f>
        <v>0</v>
      </c>
      <c r="N442" s="56">
        <f>IF(M623=0,0,M442/M623)</f>
        <v>0</v>
      </c>
      <c r="O442" s="39" t="s">
        <v>1068</v>
      </c>
      <c r="P442" s="6"/>
      <c r="Z442" s="45">
        <f>IF(AQ442="5",BJ442,0)</f>
        <v>0</v>
      </c>
      <c r="AB442" s="45">
        <f>IF(AQ442="1",BH442,0)</f>
        <v>0</v>
      </c>
      <c r="AC442" s="45">
        <f>IF(AQ442="1",BI442,0)</f>
        <v>0</v>
      </c>
      <c r="AD442" s="45">
        <f>IF(AQ442="7",BH442,0)</f>
        <v>0</v>
      </c>
      <c r="AE442" s="45">
        <f>IF(AQ442="7",BI442,0)</f>
        <v>0</v>
      </c>
      <c r="AF442" s="45">
        <f>IF(AQ442="2",BH442,0)</f>
        <v>0</v>
      </c>
      <c r="AG442" s="45">
        <f>IF(AQ442="2",BI442,0)</f>
        <v>0</v>
      </c>
      <c r="AH442" s="45">
        <f>IF(AQ442="0",BJ442,0)</f>
        <v>0</v>
      </c>
      <c r="AI442" s="44" t="s">
        <v>305</v>
      </c>
      <c r="AJ442" s="27">
        <f>IF(AN442=0,M442,0)</f>
        <v>0</v>
      </c>
      <c r="AK442" s="27">
        <f>IF(AN442=15,M442,0)</f>
        <v>0</v>
      </c>
      <c r="AL442" s="27">
        <f>IF(AN442=21,M442,0)</f>
        <v>0</v>
      </c>
      <c r="AN442" s="45">
        <v>15</v>
      </c>
      <c r="AO442" s="45">
        <f>J442*0</f>
        <v>0</v>
      </c>
      <c r="AP442" s="45">
        <f>J442*(1-0)</f>
        <v>0</v>
      </c>
      <c r="AQ442" s="46" t="s">
        <v>11</v>
      </c>
      <c r="AV442" s="45">
        <f>AW442+AX442</f>
        <v>0</v>
      </c>
      <c r="AW442" s="45">
        <f>I442*AO442</f>
        <v>0</v>
      </c>
      <c r="AX442" s="45">
        <f>I442*AP442</f>
        <v>0</v>
      </c>
      <c r="AY442" s="48" t="s">
        <v>1100</v>
      </c>
      <c r="AZ442" s="48" t="s">
        <v>1125</v>
      </c>
      <c r="BA442" s="44" t="s">
        <v>1139</v>
      </c>
      <c r="BC442" s="45">
        <f>AW442+AX442</f>
        <v>0</v>
      </c>
      <c r="BD442" s="45">
        <f>J442/(100-BE442)*100</f>
        <v>0</v>
      </c>
      <c r="BE442" s="45">
        <v>0</v>
      </c>
      <c r="BF442" s="45">
        <f>442</f>
        <v>442</v>
      </c>
      <c r="BH442" s="27">
        <f>I442*AO442</f>
        <v>0</v>
      </c>
      <c r="BI442" s="27">
        <f>I442*AP442</f>
        <v>0</v>
      </c>
      <c r="BJ442" s="27">
        <f>I442*J442</f>
        <v>0</v>
      </c>
      <c r="BK442" s="27" t="s">
        <v>1146</v>
      </c>
      <c r="BL442" s="45">
        <v>767</v>
      </c>
    </row>
    <row r="443" spans="1:64" x14ac:dyDescent="0.2">
      <c r="A443" s="4"/>
      <c r="B443" s="15" t="s">
        <v>305</v>
      </c>
      <c r="C443" s="15" t="s">
        <v>528</v>
      </c>
      <c r="D443" s="237" t="s">
        <v>922</v>
      </c>
      <c r="E443" s="238"/>
      <c r="F443" s="238"/>
      <c r="G443" s="238"/>
      <c r="H443" s="24" t="s">
        <v>6</v>
      </c>
      <c r="I443" s="24" t="s">
        <v>6</v>
      </c>
      <c r="J443" s="24" t="s">
        <v>6</v>
      </c>
      <c r="K443" s="51">
        <f>SUM(K444:K457)</f>
        <v>0</v>
      </c>
      <c r="L443" s="51">
        <f>SUM(L444:L457)</f>
        <v>0</v>
      </c>
      <c r="M443" s="51">
        <f>SUM(M444:M457)</f>
        <v>0</v>
      </c>
      <c r="N443" s="55">
        <f>IF(M623=0,0,M443/M623)</f>
        <v>0</v>
      </c>
      <c r="O443" s="38"/>
      <c r="P443" s="6"/>
      <c r="AI443" s="44" t="s">
        <v>305</v>
      </c>
      <c r="AS443" s="51">
        <f>SUM(AJ444:AJ457)</f>
        <v>0</v>
      </c>
      <c r="AT443" s="51">
        <f>SUM(AK444:AK457)</f>
        <v>0</v>
      </c>
      <c r="AU443" s="51">
        <f>SUM(AL444:AL457)</f>
        <v>0</v>
      </c>
    </row>
    <row r="444" spans="1:64" x14ac:dyDescent="0.2">
      <c r="A444" s="5" t="s">
        <v>217</v>
      </c>
      <c r="B444" s="16" t="s">
        <v>305</v>
      </c>
      <c r="C444" s="16" t="s">
        <v>529</v>
      </c>
      <c r="D444" s="243" t="s">
        <v>923</v>
      </c>
      <c r="E444" s="244"/>
      <c r="F444" s="244"/>
      <c r="G444" s="244"/>
      <c r="H444" s="16" t="s">
        <v>1042</v>
      </c>
      <c r="I444" s="27">
        <v>32.18</v>
      </c>
      <c r="J444" s="149"/>
      <c r="K444" s="27">
        <f>I444*AO444</f>
        <v>0</v>
      </c>
      <c r="L444" s="27">
        <f>I444*AP444</f>
        <v>0</v>
      </c>
      <c r="M444" s="27">
        <f>I444*J444</f>
        <v>0</v>
      </c>
      <c r="N444" s="56">
        <f>IF(M623=0,0,M444/M623)</f>
        <v>0</v>
      </c>
      <c r="O444" s="39" t="s">
        <v>1068</v>
      </c>
      <c r="P444" s="6"/>
      <c r="Z444" s="45">
        <f>IF(AQ444="5",BJ444,0)</f>
        <v>0</v>
      </c>
      <c r="AB444" s="45">
        <f>IF(AQ444="1",BH444,0)</f>
        <v>0</v>
      </c>
      <c r="AC444" s="45">
        <f>IF(AQ444="1",BI444,0)</f>
        <v>0</v>
      </c>
      <c r="AD444" s="45">
        <f>IF(AQ444="7",BH444,0)</f>
        <v>0</v>
      </c>
      <c r="AE444" s="45">
        <f>IF(AQ444="7",BI444,0)</f>
        <v>0</v>
      </c>
      <c r="AF444" s="45">
        <f>IF(AQ444="2",BH444,0)</f>
        <v>0</v>
      </c>
      <c r="AG444" s="45">
        <f>IF(AQ444="2",BI444,0)</f>
        <v>0</v>
      </c>
      <c r="AH444" s="45">
        <f>IF(AQ444="0",BJ444,0)</f>
        <v>0</v>
      </c>
      <c r="AI444" s="44" t="s">
        <v>305</v>
      </c>
      <c r="AJ444" s="27">
        <f>IF(AN444=0,M444,0)</f>
        <v>0</v>
      </c>
      <c r="AK444" s="27">
        <f>IF(AN444=15,M444,0)</f>
        <v>0</v>
      </c>
      <c r="AL444" s="27">
        <f>IF(AN444=21,M444,0)</f>
        <v>0</v>
      </c>
      <c r="AN444" s="45">
        <v>15</v>
      </c>
      <c r="AO444" s="45">
        <f>J444*0</f>
        <v>0</v>
      </c>
      <c r="AP444" s="45">
        <f>J444*(1-0)</f>
        <v>0</v>
      </c>
      <c r="AQ444" s="46" t="s">
        <v>13</v>
      </c>
      <c r="AV444" s="45">
        <f>AW444+AX444</f>
        <v>0</v>
      </c>
      <c r="AW444" s="45">
        <f>I444*AO444</f>
        <v>0</v>
      </c>
      <c r="AX444" s="45">
        <f>I444*AP444</f>
        <v>0</v>
      </c>
      <c r="AY444" s="48" t="s">
        <v>1101</v>
      </c>
      <c r="AZ444" s="48" t="s">
        <v>1126</v>
      </c>
      <c r="BA444" s="44" t="s">
        <v>1139</v>
      </c>
      <c r="BC444" s="45">
        <f>AW444+AX444</f>
        <v>0</v>
      </c>
      <c r="BD444" s="45">
        <f>J444/(100-BE444)*100</f>
        <v>0</v>
      </c>
      <c r="BE444" s="45">
        <v>0</v>
      </c>
      <c r="BF444" s="45">
        <f>444</f>
        <v>444</v>
      </c>
      <c r="BH444" s="27">
        <f>I444*AO444</f>
        <v>0</v>
      </c>
      <c r="BI444" s="27">
        <f>I444*AP444</f>
        <v>0</v>
      </c>
      <c r="BJ444" s="27">
        <f>I444*J444</f>
        <v>0</v>
      </c>
      <c r="BK444" s="27" t="s">
        <v>1146</v>
      </c>
      <c r="BL444" s="45">
        <v>771</v>
      </c>
    </row>
    <row r="445" spans="1:64" x14ac:dyDescent="0.2">
      <c r="A445" s="6"/>
      <c r="C445" s="21" t="s">
        <v>310</v>
      </c>
      <c r="D445" s="245" t="s">
        <v>753</v>
      </c>
      <c r="E445" s="246"/>
      <c r="F445" s="246"/>
      <c r="G445" s="246"/>
      <c r="H445" s="246"/>
      <c r="I445" s="246"/>
      <c r="J445" s="246"/>
      <c r="K445" s="246"/>
      <c r="L445" s="246"/>
      <c r="M445" s="246"/>
      <c r="N445" s="246"/>
      <c r="O445" s="247"/>
      <c r="P445" s="6"/>
    </row>
    <row r="446" spans="1:64" x14ac:dyDescent="0.2">
      <c r="A446" s="5" t="s">
        <v>218</v>
      </c>
      <c r="B446" s="16" t="s">
        <v>305</v>
      </c>
      <c r="C446" s="16" t="s">
        <v>530</v>
      </c>
      <c r="D446" s="243" t="s">
        <v>924</v>
      </c>
      <c r="E446" s="244"/>
      <c r="F446" s="244"/>
      <c r="G446" s="244"/>
      <c r="H446" s="16" t="s">
        <v>1042</v>
      </c>
      <c r="I446" s="27">
        <v>32.18</v>
      </c>
      <c r="J446" s="149"/>
      <c r="K446" s="27">
        <f>I446*AO446</f>
        <v>0</v>
      </c>
      <c r="L446" s="27">
        <f>I446*AP446</f>
        <v>0</v>
      </c>
      <c r="M446" s="27">
        <f>I446*J446</f>
        <v>0</v>
      </c>
      <c r="N446" s="56">
        <f>IF(M623=0,0,M446/M623)</f>
        <v>0</v>
      </c>
      <c r="O446" s="39" t="s">
        <v>1068</v>
      </c>
      <c r="P446" s="6"/>
      <c r="Z446" s="45">
        <f>IF(AQ446="5",BJ446,0)</f>
        <v>0</v>
      </c>
      <c r="AB446" s="45">
        <f>IF(AQ446="1",BH446,0)</f>
        <v>0</v>
      </c>
      <c r="AC446" s="45">
        <f>IF(AQ446="1",BI446,0)</f>
        <v>0</v>
      </c>
      <c r="AD446" s="45">
        <f>IF(AQ446="7",BH446,0)</f>
        <v>0</v>
      </c>
      <c r="AE446" s="45">
        <f>IF(AQ446="7",BI446,0)</f>
        <v>0</v>
      </c>
      <c r="AF446" s="45">
        <f>IF(AQ446="2",BH446,0)</f>
        <v>0</v>
      </c>
      <c r="AG446" s="45">
        <f>IF(AQ446="2",BI446,0)</f>
        <v>0</v>
      </c>
      <c r="AH446" s="45">
        <f>IF(AQ446="0",BJ446,0)</f>
        <v>0</v>
      </c>
      <c r="AI446" s="44" t="s">
        <v>305</v>
      </c>
      <c r="AJ446" s="27">
        <f>IF(AN446=0,M446,0)</f>
        <v>0</v>
      </c>
      <c r="AK446" s="27">
        <f>IF(AN446=15,M446,0)</f>
        <v>0</v>
      </c>
      <c r="AL446" s="27">
        <f>IF(AN446=21,M446,0)</f>
        <v>0</v>
      </c>
      <c r="AN446" s="45">
        <v>15</v>
      </c>
      <c r="AO446" s="45">
        <f>J446*0.506653393750702</f>
        <v>0</v>
      </c>
      <c r="AP446" s="45">
        <f>J446*(1-0.506653393750702)</f>
        <v>0</v>
      </c>
      <c r="AQ446" s="46" t="s">
        <v>13</v>
      </c>
      <c r="AV446" s="45">
        <f>AW446+AX446</f>
        <v>0</v>
      </c>
      <c r="AW446" s="45">
        <f>I446*AO446</f>
        <v>0</v>
      </c>
      <c r="AX446" s="45">
        <f>I446*AP446</f>
        <v>0</v>
      </c>
      <c r="AY446" s="48" t="s">
        <v>1101</v>
      </c>
      <c r="AZ446" s="48" t="s">
        <v>1126</v>
      </c>
      <c r="BA446" s="44" t="s">
        <v>1139</v>
      </c>
      <c r="BC446" s="45">
        <f>AW446+AX446</f>
        <v>0</v>
      </c>
      <c r="BD446" s="45">
        <f>J446/(100-BE446)*100</f>
        <v>0</v>
      </c>
      <c r="BE446" s="45">
        <v>0</v>
      </c>
      <c r="BF446" s="45">
        <f>446</f>
        <v>446</v>
      </c>
      <c r="BH446" s="27">
        <f>I446*AO446</f>
        <v>0</v>
      </c>
      <c r="BI446" s="27">
        <f>I446*AP446</f>
        <v>0</v>
      </c>
      <c r="BJ446" s="27">
        <f>I446*J446</f>
        <v>0</v>
      </c>
      <c r="BK446" s="27" t="s">
        <v>1146</v>
      </c>
      <c r="BL446" s="45">
        <v>771</v>
      </c>
    </row>
    <row r="447" spans="1:64" x14ac:dyDescent="0.2">
      <c r="A447" s="6"/>
      <c r="D447" s="251" t="s">
        <v>925</v>
      </c>
      <c r="E447" s="252"/>
      <c r="F447" s="252"/>
      <c r="G447" s="252"/>
      <c r="H447" s="252"/>
      <c r="I447" s="252"/>
      <c r="J447" s="252"/>
      <c r="K447" s="252"/>
      <c r="L447" s="252"/>
      <c r="M447" s="252"/>
      <c r="N447" s="252"/>
      <c r="O447" s="253"/>
      <c r="P447" s="6"/>
    </row>
    <row r="448" spans="1:64" x14ac:dyDescent="0.2">
      <c r="A448" s="6"/>
      <c r="C448" s="21" t="s">
        <v>310</v>
      </c>
      <c r="D448" s="245" t="s">
        <v>753</v>
      </c>
      <c r="E448" s="246"/>
      <c r="F448" s="246"/>
      <c r="G448" s="246"/>
      <c r="H448" s="246"/>
      <c r="I448" s="246"/>
      <c r="J448" s="246"/>
      <c r="K448" s="246"/>
      <c r="L448" s="246"/>
      <c r="M448" s="246"/>
      <c r="N448" s="246"/>
      <c r="O448" s="247"/>
      <c r="P448" s="6"/>
    </row>
    <row r="449" spans="1:64" x14ac:dyDescent="0.2">
      <c r="A449" s="5" t="s">
        <v>219</v>
      </c>
      <c r="B449" s="16" t="s">
        <v>305</v>
      </c>
      <c r="C449" s="16" t="s">
        <v>531</v>
      </c>
      <c r="D449" s="243" t="s">
        <v>926</v>
      </c>
      <c r="E449" s="244"/>
      <c r="F449" s="244"/>
      <c r="G449" s="244"/>
      <c r="H449" s="16" t="s">
        <v>1042</v>
      </c>
      <c r="I449" s="27">
        <v>32.18</v>
      </c>
      <c r="J449" s="149"/>
      <c r="K449" s="27">
        <f>I449*AO449</f>
        <v>0</v>
      </c>
      <c r="L449" s="27">
        <f>I449*AP449</f>
        <v>0</v>
      </c>
      <c r="M449" s="27">
        <f>I449*J449</f>
        <v>0</v>
      </c>
      <c r="N449" s="56">
        <f>IF(M623=0,0,M449/M623)</f>
        <v>0</v>
      </c>
      <c r="O449" s="39" t="s">
        <v>1068</v>
      </c>
      <c r="P449" s="6"/>
      <c r="Z449" s="45">
        <f>IF(AQ449="5",BJ449,0)</f>
        <v>0</v>
      </c>
      <c r="AB449" s="45">
        <f>IF(AQ449="1",BH449,0)</f>
        <v>0</v>
      </c>
      <c r="AC449" s="45">
        <f>IF(AQ449="1",BI449,0)</f>
        <v>0</v>
      </c>
      <c r="AD449" s="45">
        <f>IF(AQ449="7",BH449,0)</f>
        <v>0</v>
      </c>
      <c r="AE449" s="45">
        <f>IF(AQ449="7",BI449,0)</f>
        <v>0</v>
      </c>
      <c r="AF449" s="45">
        <f>IF(AQ449="2",BH449,0)</f>
        <v>0</v>
      </c>
      <c r="AG449" s="45">
        <f>IF(AQ449="2",BI449,0)</f>
        <v>0</v>
      </c>
      <c r="AH449" s="45">
        <f>IF(AQ449="0",BJ449,0)</f>
        <v>0</v>
      </c>
      <c r="AI449" s="44" t="s">
        <v>305</v>
      </c>
      <c r="AJ449" s="27">
        <f>IF(AN449=0,M449,0)</f>
        <v>0</v>
      </c>
      <c r="AK449" s="27">
        <f>IF(AN449=15,M449,0)</f>
        <v>0</v>
      </c>
      <c r="AL449" s="27">
        <f>IF(AN449=21,M449,0)</f>
        <v>0</v>
      </c>
      <c r="AN449" s="45">
        <v>15</v>
      </c>
      <c r="AO449" s="45">
        <f>J449*0.2071875</f>
        <v>0</v>
      </c>
      <c r="AP449" s="45">
        <f>J449*(1-0.2071875)</f>
        <v>0</v>
      </c>
      <c r="AQ449" s="46" t="s">
        <v>13</v>
      </c>
      <c r="AV449" s="45">
        <f>AW449+AX449</f>
        <v>0</v>
      </c>
      <c r="AW449" s="45">
        <f>I449*AO449</f>
        <v>0</v>
      </c>
      <c r="AX449" s="45">
        <f>I449*AP449</f>
        <v>0</v>
      </c>
      <c r="AY449" s="48" t="s">
        <v>1101</v>
      </c>
      <c r="AZ449" s="48" t="s">
        <v>1126</v>
      </c>
      <c r="BA449" s="44" t="s">
        <v>1139</v>
      </c>
      <c r="BC449" s="45">
        <f>AW449+AX449</f>
        <v>0</v>
      </c>
      <c r="BD449" s="45">
        <f>J449/(100-BE449)*100</f>
        <v>0</v>
      </c>
      <c r="BE449" s="45">
        <v>0</v>
      </c>
      <c r="BF449" s="45">
        <f>449</f>
        <v>449</v>
      </c>
      <c r="BH449" s="27">
        <f>I449*AO449</f>
        <v>0</v>
      </c>
      <c r="BI449" s="27">
        <f>I449*AP449</f>
        <v>0</v>
      </c>
      <c r="BJ449" s="27">
        <f>I449*J449</f>
        <v>0</v>
      </c>
      <c r="BK449" s="27" t="s">
        <v>1146</v>
      </c>
      <c r="BL449" s="45">
        <v>771</v>
      </c>
    </row>
    <row r="450" spans="1:64" x14ac:dyDescent="0.2">
      <c r="A450" s="6"/>
      <c r="C450" s="21" t="s">
        <v>310</v>
      </c>
      <c r="D450" s="245" t="s">
        <v>753</v>
      </c>
      <c r="E450" s="246"/>
      <c r="F450" s="246"/>
      <c r="G450" s="246"/>
      <c r="H450" s="246"/>
      <c r="I450" s="246"/>
      <c r="J450" s="246"/>
      <c r="K450" s="246"/>
      <c r="L450" s="246"/>
      <c r="M450" s="246"/>
      <c r="N450" s="246"/>
      <c r="O450" s="247"/>
      <c r="P450" s="6"/>
    </row>
    <row r="451" spans="1:64" x14ac:dyDescent="0.2">
      <c r="A451" s="5" t="s">
        <v>220</v>
      </c>
      <c r="B451" s="16" t="s">
        <v>305</v>
      </c>
      <c r="C451" s="16" t="s">
        <v>532</v>
      </c>
      <c r="D451" s="243" t="s">
        <v>927</v>
      </c>
      <c r="E451" s="244"/>
      <c r="F451" s="244"/>
      <c r="G451" s="244"/>
      <c r="H451" s="16" t="s">
        <v>1044</v>
      </c>
      <c r="I451" s="27">
        <v>5.79</v>
      </c>
      <c r="J451" s="149"/>
      <c r="K451" s="27">
        <f>I451*AO451</f>
        <v>0</v>
      </c>
      <c r="L451" s="27">
        <f>I451*AP451</f>
        <v>0</v>
      </c>
      <c r="M451" s="27">
        <f>I451*J451</f>
        <v>0</v>
      </c>
      <c r="N451" s="56">
        <f>IF(M623=0,0,M451/M623)</f>
        <v>0</v>
      </c>
      <c r="O451" s="39" t="s">
        <v>1068</v>
      </c>
      <c r="P451" s="6"/>
      <c r="Z451" s="45">
        <f>IF(AQ451="5",BJ451,0)</f>
        <v>0</v>
      </c>
      <c r="AB451" s="45">
        <f>IF(AQ451="1",BH451,0)</f>
        <v>0</v>
      </c>
      <c r="AC451" s="45">
        <f>IF(AQ451="1",BI451,0)</f>
        <v>0</v>
      </c>
      <c r="AD451" s="45">
        <f>IF(AQ451="7",BH451,0)</f>
        <v>0</v>
      </c>
      <c r="AE451" s="45">
        <f>IF(AQ451="7",BI451,0)</f>
        <v>0</v>
      </c>
      <c r="AF451" s="45">
        <f>IF(AQ451="2",BH451,0)</f>
        <v>0</v>
      </c>
      <c r="AG451" s="45">
        <f>IF(AQ451="2",BI451,0)</f>
        <v>0</v>
      </c>
      <c r="AH451" s="45">
        <f>IF(AQ451="0",BJ451,0)</f>
        <v>0</v>
      </c>
      <c r="AI451" s="44" t="s">
        <v>305</v>
      </c>
      <c r="AJ451" s="27">
        <f>IF(AN451=0,M451,0)</f>
        <v>0</v>
      </c>
      <c r="AK451" s="27">
        <f>IF(AN451=15,M451,0)</f>
        <v>0</v>
      </c>
      <c r="AL451" s="27">
        <f>IF(AN451=21,M451,0)</f>
        <v>0</v>
      </c>
      <c r="AN451" s="45">
        <v>15</v>
      </c>
      <c r="AO451" s="45">
        <f>J451*0.0793294892274126</f>
        <v>0</v>
      </c>
      <c r="AP451" s="45">
        <f>J451*(1-0.0793294892274126)</f>
        <v>0</v>
      </c>
      <c r="AQ451" s="46" t="s">
        <v>13</v>
      </c>
      <c r="AV451" s="45">
        <f>AW451+AX451</f>
        <v>0</v>
      </c>
      <c r="AW451" s="45">
        <f>I451*AO451</f>
        <v>0</v>
      </c>
      <c r="AX451" s="45">
        <f>I451*AP451</f>
        <v>0</v>
      </c>
      <c r="AY451" s="48" t="s">
        <v>1101</v>
      </c>
      <c r="AZ451" s="48" t="s">
        <v>1126</v>
      </c>
      <c r="BA451" s="44" t="s">
        <v>1139</v>
      </c>
      <c r="BC451" s="45">
        <f>AW451+AX451</f>
        <v>0</v>
      </c>
      <c r="BD451" s="45">
        <f>J451/(100-BE451)*100</f>
        <v>0</v>
      </c>
      <c r="BE451" s="45">
        <v>0</v>
      </c>
      <c r="BF451" s="45">
        <f>451</f>
        <v>451</v>
      </c>
      <c r="BH451" s="27">
        <f>I451*AO451</f>
        <v>0</v>
      </c>
      <c r="BI451" s="27">
        <f>I451*AP451</f>
        <v>0</v>
      </c>
      <c r="BJ451" s="27">
        <f>I451*J451</f>
        <v>0</v>
      </c>
      <c r="BK451" s="27" t="s">
        <v>1146</v>
      </c>
      <c r="BL451" s="45">
        <v>771</v>
      </c>
    </row>
    <row r="452" spans="1:64" x14ac:dyDescent="0.2">
      <c r="A452" s="7" t="s">
        <v>221</v>
      </c>
      <c r="B452" s="17" t="s">
        <v>305</v>
      </c>
      <c r="C452" s="17" t="s">
        <v>533</v>
      </c>
      <c r="D452" s="241" t="s">
        <v>928</v>
      </c>
      <c r="E452" s="242"/>
      <c r="F452" s="242"/>
      <c r="G452" s="242"/>
      <c r="H452" s="17" t="s">
        <v>1042</v>
      </c>
      <c r="I452" s="28">
        <v>17.52</v>
      </c>
      <c r="J452" s="154"/>
      <c r="K452" s="28">
        <f>I452*AO452</f>
        <v>0</v>
      </c>
      <c r="L452" s="28">
        <f>I452*AP452</f>
        <v>0</v>
      </c>
      <c r="M452" s="28">
        <f>I452*J452</f>
        <v>0</v>
      </c>
      <c r="N452" s="57">
        <f>IF(M623=0,0,M452/M623)</f>
        <v>0</v>
      </c>
      <c r="O452" s="40" t="s">
        <v>1068</v>
      </c>
      <c r="P452" s="6"/>
      <c r="Z452" s="45">
        <f>IF(AQ452="5",BJ452,0)</f>
        <v>0</v>
      </c>
      <c r="AB452" s="45">
        <f>IF(AQ452="1",BH452,0)</f>
        <v>0</v>
      </c>
      <c r="AC452" s="45">
        <f>IF(AQ452="1",BI452,0)</f>
        <v>0</v>
      </c>
      <c r="AD452" s="45">
        <f>IF(AQ452="7",BH452,0)</f>
        <v>0</v>
      </c>
      <c r="AE452" s="45">
        <f>IF(AQ452="7",BI452,0)</f>
        <v>0</v>
      </c>
      <c r="AF452" s="45">
        <f>IF(AQ452="2",BH452,0)</f>
        <v>0</v>
      </c>
      <c r="AG452" s="45">
        <f>IF(AQ452="2",BI452,0)</f>
        <v>0</v>
      </c>
      <c r="AH452" s="45">
        <f>IF(AQ452="0",BJ452,0)</f>
        <v>0</v>
      </c>
      <c r="AI452" s="44" t="s">
        <v>305</v>
      </c>
      <c r="AJ452" s="28">
        <f>IF(AN452=0,M452,0)</f>
        <v>0</v>
      </c>
      <c r="AK452" s="28">
        <f>IF(AN452=15,M452,0)</f>
        <v>0</v>
      </c>
      <c r="AL452" s="28">
        <f>IF(AN452=21,M452,0)</f>
        <v>0</v>
      </c>
      <c r="AN452" s="45">
        <v>15</v>
      </c>
      <c r="AO452" s="45">
        <f>J452*1</f>
        <v>0</v>
      </c>
      <c r="AP452" s="45">
        <f>J452*(1-1)</f>
        <v>0</v>
      </c>
      <c r="AQ452" s="47" t="s">
        <v>13</v>
      </c>
      <c r="AV452" s="45">
        <f>AW452+AX452</f>
        <v>0</v>
      </c>
      <c r="AW452" s="45">
        <f>I452*AO452</f>
        <v>0</v>
      </c>
      <c r="AX452" s="45">
        <f>I452*AP452</f>
        <v>0</v>
      </c>
      <c r="AY452" s="48" t="s">
        <v>1101</v>
      </c>
      <c r="AZ452" s="48" t="s">
        <v>1126</v>
      </c>
      <c r="BA452" s="44" t="s">
        <v>1139</v>
      </c>
      <c r="BC452" s="45">
        <f>AW452+AX452</f>
        <v>0</v>
      </c>
      <c r="BD452" s="45">
        <f>J452/(100-BE452)*100</f>
        <v>0</v>
      </c>
      <c r="BE452" s="45">
        <v>0</v>
      </c>
      <c r="BF452" s="45">
        <f>452</f>
        <v>452</v>
      </c>
      <c r="BH452" s="28">
        <f>I452*AO452</f>
        <v>0</v>
      </c>
      <c r="BI452" s="28">
        <f>I452*AP452</f>
        <v>0</v>
      </c>
      <c r="BJ452" s="28">
        <f>I452*J452</f>
        <v>0</v>
      </c>
      <c r="BK452" s="28" t="s">
        <v>1147</v>
      </c>
      <c r="BL452" s="45">
        <v>771</v>
      </c>
    </row>
    <row r="453" spans="1:64" x14ac:dyDescent="0.2">
      <c r="A453" s="7" t="s">
        <v>222</v>
      </c>
      <c r="B453" s="17" t="s">
        <v>305</v>
      </c>
      <c r="C453" s="17" t="s">
        <v>534</v>
      </c>
      <c r="D453" s="241" t="s">
        <v>929</v>
      </c>
      <c r="E453" s="242"/>
      <c r="F453" s="242"/>
      <c r="G453" s="242"/>
      <c r="H453" s="17" t="s">
        <v>1042</v>
      </c>
      <c r="I453" s="28">
        <v>19.350000000000001</v>
      </c>
      <c r="J453" s="154"/>
      <c r="K453" s="28">
        <f>I453*AO453</f>
        <v>0</v>
      </c>
      <c r="L453" s="28">
        <f>I453*AP453</f>
        <v>0</v>
      </c>
      <c r="M453" s="28">
        <f>I453*J453</f>
        <v>0</v>
      </c>
      <c r="N453" s="57">
        <f>IF(M623=0,0,M453/M623)</f>
        <v>0</v>
      </c>
      <c r="O453" s="40" t="s">
        <v>1068</v>
      </c>
      <c r="P453" s="6"/>
      <c r="Z453" s="45">
        <f>IF(AQ453="5",BJ453,0)</f>
        <v>0</v>
      </c>
      <c r="AB453" s="45">
        <f>IF(AQ453="1",BH453,0)</f>
        <v>0</v>
      </c>
      <c r="AC453" s="45">
        <f>IF(AQ453="1",BI453,0)</f>
        <v>0</v>
      </c>
      <c r="AD453" s="45">
        <f>IF(AQ453="7",BH453,0)</f>
        <v>0</v>
      </c>
      <c r="AE453" s="45">
        <f>IF(AQ453="7",BI453,0)</f>
        <v>0</v>
      </c>
      <c r="AF453" s="45">
        <f>IF(AQ453="2",BH453,0)</f>
        <v>0</v>
      </c>
      <c r="AG453" s="45">
        <f>IF(AQ453="2",BI453,0)</f>
        <v>0</v>
      </c>
      <c r="AH453" s="45">
        <f>IF(AQ453="0",BJ453,0)</f>
        <v>0</v>
      </c>
      <c r="AI453" s="44" t="s">
        <v>305</v>
      </c>
      <c r="AJ453" s="28">
        <f>IF(AN453=0,M453,0)</f>
        <v>0</v>
      </c>
      <c r="AK453" s="28">
        <f>IF(AN453=15,M453,0)</f>
        <v>0</v>
      </c>
      <c r="AL453" s="28">
        <f>IF(AN453=21,M453,0)</f>
        <v>0</v>
      </c>
      <c r="AN453" s="45">
        <v>15</v>
      </c>
      <c r="AO453" s="45">
        <f>J453*1</f>
        <v>0</v>
      </c>
      <c r="AP453" s="45">
        <f>J453*(1-1)</f>
        <v>0</v>
      </c>
      <c r="AQ453" s="47" t="s">
        <v>13</v>
      </c>
      <c r="AV453" s="45">
        <f>AW453+AX453</f>
        <v>0</v>
      </c>
      <c r="AW453" s="45">
        <f>I453*AO453</f>
        <v>0</v>
      </c>
      <c r="AX453" s="45">
        <f>I453*AP453</f>
        <v>0</v>
      </c>
      <c r="AY453" s="48" t="s">
        <v>1101</v>
      </c>
      <c r="AZ453" s="48" t="s">
        <v>1126</v>
      </c>
      <c r="BA453" s="44" t="s">
        <v>1139</v>
      </c>
      <c r="BC453" s="45">
        <f>AW453+AX453</f>
        <v>0</v>
      </c>
      <c r="BD453" s="45">
        <f>J453/(100-BE453)*100</f>
        <v>0</v>
      </c>
      <c r="BE453" s="45">
        <v>0</v>
      </c>
      <c r="BF453" s="45">
        <f>453</f>
        <v>453</v>
      </c>
      <c r="BH453" s="28">
        <f>I453*AO453</f>
        <v>0</v>
      </c>
      <c r="BI453" s="28">
        <f>I453*AP453</f>
        <v>0</v>
      </c>
      <c r="BJ453" s="28">
        <f>I453*J453</f>
        <v>0</v>
      </c>
      <c r="BK453" s="28" t="s">
        <v>1147</v>
      </c>
      <c r="BL453" s="45">
        <v>771</v>
      </c>
    </row>
    <row r="454" spans="1:64" x14ac:dyDescent="0.2">
      <c r="A454" s="5" t="s">
        <v>223</v>
      </c>
      <c r="B454" s="16" t="s">
        <v>305</v>
      </c>
      <c r="C454" s="16" t="s">
        <v>535</v>
      </c>
      <c r="D454" s="243" t="s">
        <v>930</v>
      </c>
      <c r="E454" s="244"/>
      <c r="F454" s="244"/>
      <c r="G454" s="244"/>
      <c r="H454" s="16" t="s">
        <v>1044</v>
      </c>
      <c r="I454" s="27">
        <v>2.5</v>
      </c>
      <c r="J454" s="149"/>
      <c r="K454" s="27">
        <f>I454*AO454</f>
        <v>0</v>
      </c>
      <c r="L454" s="27">
        <f>I454*AP454</f>
        <v>0</v>
      </c>
      <c r="M454" s="27">
        <f>I454*J454</f>
        <v>0</v>
      </c>
      <c r="N454" s="56">
        <f>IF(M623=0,0,M454/M623)</f>
        <v>0</v>
      </c>
      <c r="O454" s="39" t="s">
        <v>1068</v>
      </c>
      <c r="P454" s="6"/>
      <c r="Z454" s="45">
        <f>IF(AQ454="5",BJ454,0)</f>
        <v>0</v>
      </c>
      <c r="AB454" s="45">
        <f>IF(AQ454="1",BH454,0)</f>
        <v>0</v>
      </c>
      <c r="AC454" s="45">
        <f>IF(AQ454="1",BI454,0)</f>
        <v>0</v>
      </c>
      <c r="AD454" s="45">
        <f>IF(AQ454="7",BH454,0)</f>
        <v>0</v>
      </c>
      <c r="AE454" s="45">
        <f>IF(AQ454="7",BI454,0)</f>
        <v>0</v>
      </c>
      <c r="AF454" s="45">
        <f>IF(AQ454="2",BH454,0)</f>
        <v>0</v>
      </c>
      <c r="AG454" s="45">
        <f>IF(AQ454="2",BI454,0)</f>
        <v>0</v>
      </c>
      <c r="AH454" s="45">
        <f>IF(AQ454="0",BJ454,0)</f>
        <v>0</v>
      </c>
      <c r="AI454" s="44" t="s">
        <v>305</v>
      </c>
      <c r="AJ454" s="27">
        <f>IF(AN454=0,M454,0)</f>
        <v>0</v>
      </c>
      <c r="AK454" s="27">
        <f>IF(AN454=15,M454,0)</f>
        <v>0</v>
      </c>
      <c r="AL454" s="27">
        <f>IF(AN454=21,M454,0)</f>
        <v>0</v>
      </c>
      <c r="AN454" s="45">
        <v>15</v>
      </c>
      <c r="AO454" s="45">
        <f>J454*0.673626834381551</f>
        <v>0</v>
      </c>
      <c r="AP454" s="45">
        <f>J454*(1-0.673626834381551)</f>
        <v>0</v>
      </c>
      <c r="AQ454" s="46" t="s">
        <v>13</v>
      </c>
      <c r="AV454" s="45">
        <f>AW454+AX454</f>
        <v>0</v>
      </c>
      <c r="AW454" s="45">
        <f>I454*AO454</f>
        <v>0</v>
      </c>
      <c r="AX454" s="45">
        <f>I454*AP454</f>
        <v>0</v>
      </c>
      <c r="AY454" s="48" t="s">
        <v>1101</v>
      </c>
      <c r="AZ454" s="48" t="s">
        <v>1126</v>
      </c>
      <c r="BA454" s="44" t="s">
        <v>1139</v>
      </c>
      <c r="BC454" s="45">
        <f>AW454+AX454</f>
        <v>0</v>
      </c>
      <c r="BD454" s="45">
        <f>J454/(100-BE454)*100</f>
        <v>0</v>
      </c>
      <c r="BE454" s="45">
        <v>0</v>
      </c>
      <c r="BF454" s="45">
        <f>454</f>
        <v>454</v>
      </c>
      <c r="BH454" s="27">
        <f>I454*AO454</f>
        <v>0</v>
      </c>
      <c r="BI454" s="27">
        <f>I454*AP454</f>
        <v>0</v>
      </c>
      <c r="BJ454" s="27">
        <f>I454*J454</f>
        <v>0</v>
      </c>
      <c r="BK454" s="27" t="s">
        <v>1146</v>
      </c>
      <c r="BL454" s="45">
        <v>771</v>
      </c>
    </row>
    <row r="455" spans="1:64" x14ac:dyDescent="0.2">
      <c r="A455" s="6"/>
      <c r="D455" s="251" t="s">
        <v>931</v>
      </c>
      <c r="E455" s="252"/>
      <c r="F455" s="252"/>
      <c r="G455" s="252"/>
      <c r="H455" s="252"/>
      <c r="I455" s="252"/>
      <c r="J455" s="252"/>
      <c r="K455" s="252"/>
      <c r="L455" s="252"/>
      <c r="M455" s="252"/>
      <c r="N455" s="252"/>
      <c r="O455" s="253"/>
      <c r="P455" s="6"/>
    </row>
    <row r="456" spans="1:64" x14ac:dyDescent="0.2">
      <c r="A456" s="6"/>
      <c r="C456" s="21" t="s">
        <v>310</v>
      </c>
      <c r="D456" s="245" t="s">
        <v>753</v>
      </c>
      <c r="E456" s="246"/>
      <c r="F456" s="246"/>
      <c r="G456" s="246"/>
      <c r="H456" s="246"/>
      <c r="I456" s="246"/>
      <c r="J456" s="246"/>
      <c r="K456" s="246"/>
      <c r="L456" s="246"/>
      <c r="M456" s="246"/>
      <c r="N456" s="246"/>
      <c r="O456" s="247"/>
      <c r="P456" s="6"/>
    </row>
    <row r="457" spans="1:64" x14ac:dyDescent="0.2">
      <c r="A457" s="5" t="s">
        <v>224</v>
      </c>
      <c r="B457" s="16" t="s">
        <v>305</v>
      </c>
      <c r="C457" s="16" t="s">
        <v>536</v>
      </c>
      <c r="D457" s="243" t="s">
        <v>932</v>
      </c>
      <c r="E457" s="244"/>
      <c r="F457" s="244"/>
      <c r="G457" s="244"/>
      <c r="H457" s="16" t="s">
        <v>1043</v>
      </c>
      <c r="I457" s="27">
        <v>0.86</v>
      </c>
      <c r="J457" s="149"/>
      <c r="K457" s="27">
        <f>I457*AO457</f>
        <v>0</v>
      </c>
      <c r="L457" s="27">
        <f>I457*AP457</f>
        <v>0</v>
      </c>
      <c r="M457" s="27">
        <f>I457*J457</f>
        <v>0</v>
      </c>
      <c r="N457" s="56">
        <f>IF(M623=0,0,M457/M623)</f>
        <v>0</v>
      </c>
      <c r="O457" s="39" t="s">
        <v>1068</v>
      </c>
      <c r="P457" s="6"/>
      <c r="Z457" s="45">
        <f>IF(AQ457="5",BJ457,0)</f>
        <v>0</v>
      </c>
      <c r="AB457" s="45">
        <f>IF(AQ457="1",BH457,0)</f>
        <v>0</v>
      </c>
      <c r="AC457" s="45">
        <f>IF(AQ457="1",BI457,0)</f>
        <v>0</v>
      </c>
      <c r="AD457" s="45">
        <f>IF(AQ457="7",BH457,0)</f>
        <v>0</v>
      </c>
      <c r="AE457" s="45">
        <f>IF(AQ457="7",BI457,0)</f>
        <v>0</v>
      </c>
      <c r="AF457" s="45">
        <f>IF(AQ457="2",BH457,0)</f>
        <v>0</v>
      </c>
      <c r="AG457" s="45">
        <f>IF(AQ457="2",BI457,0)</f>
        <v>0</v>
      </c>
      <c r="AH457" s="45">
        <f>IF(AQ457="0",BJ457,0)</f>
        <v>0</v>
      </c>
      <c r="AI457" s="44" t="s">
        <v>305</v>
      </c>
      <c r="AJ457" s="27">
        <f>IF(AN457=0,M457,0)</f>
        <v>0</v>
      </c>
      <c r="AK457" s="27">
        <f>IF(AN457=15,M457,0)</f>
        <v>0</v>
      </c>
      <c r="AL457" s="27">
        <f>IF(AN457=21,M457,0)</f>
        <v>0</v>
      </c>
      <c r="AN457" s="45">
        <v>15</v>
      </c>
      <c r="AO457" s="45">
        <f>J457*0</f>
        <v>0</v>
      </c>
      <c r="AP457" s="45">
        <f>J457*(1-0)</f>
        <v>0</v>
      </c>
      <c r="AQ457" s="46" t="s">
        <v>11</v>
      </c>
      <c r="AV457" s="45">
        <f>AW457+AX457</f>
        <v>0</v>
      </c>
      <c r="AW457" s="45">
        <f>I457*AO457</f>
        <v>0</v>
      </c>
      <c r="AX457" s="45">
        <f>I457*AP457</f>
        <v>0</v>
      </c>
      <c r="AY457" s="48" t="s">
        <v>1101</v>
      </c>
      <c r="AZ457" s="48" t="s">
        <v>1126</v>
      </c>
      <c r="BA457" s="44" t="s">
        <v>1139</v>
      </c>
      <c r="BC457" s="45">
        <f>AW457+AX457</f>
        <v>0</v>
      </c>
      <c r="BD457" s="45">
        <f>J457/(100-BE457)*100</f>
        <v>0</v>
      </c>
      <c r="BE457" s="45">
        <v>0</v>
      </c>
      <c r="BF457" s="45">
        <f>457</f>
        <v>457</v>
      </c>
      <c r="BH457" s="27">
        <f>I457*AO457</f>
        <v>0</v>
      </c>
      <c r="BI457" s="27">
        <f>I457*AP457</f>
        <v>0</v>
      </c>
      <c r="BJ457" s="27">
        <f>I457*J457</f>
        <v>0</v>
      </c>
      <c r="BK457" s="27" t="s">
        <v>1146</v>
      </c>
      <c r="BL457" s="45">
        <v>771</v>
      </c>
    </row>
    <row r="458" spans="1:64" x14ac:dyDescent="0.2">
      <c r="A458" s="4"/>
      <c r="B458" s="15" t="s">
        <v>305</v>
      </c>
      <c r="C458" s="15" t="s">
        <v>537</v>
      </c>
      <c r="D458" s="237" t="s">
        <v>933</v>
      </c>
      <c r="E458" s="238"/>
      <c r="F458" s="238"/>
      <c r="G458" s="238"/>
      <c r="H458" s="24" t="s">
        <v>6</v>
      </c>
      <c r="I458" s="24" t="s">
        <v>6</v>
      </c>
      <c r="J458" s="24" t="s">
        <v>6</v>
      </c>
      <c r="K458" s="51">
        <f>SUM(K459:K471)</f>
        <v>0</v>
      </c>
      <c r="L458" s="51">
        <f>SUM(L459:L471)</f>
        <v>0</v>
      </c>
      <c r="M458" s="51">
        <f>SUM(M459:M471)</f>
        <v>0</v>
      </c>
      <c r="N458" s="55">
        <f>IF(M623=0,0,M458/M623)</f>
        <v>0</v>
      </c>
      <c r="O458" s="38"/>
      <c r="P458" s="6"/>
      <c r="AI458" s="44" t="s">
        <v>305</v>
      </c>
      <c r="AS458" s="51">
        <f>SUM(AJ459:AJ471)</f>
        <v>0</v>
      </c>
      <c r="AT458" s="51">
        <f>SUM(AK459:AK471)</f>
        <v>0</v>
      </c>
      <c r="AU458" s="51">
        <f>SUM(AL459:AL471)</f>
        <v>0</v>
      </c>
    </row>
    <row r="459" spans="1:64" x14ac:dyDescent="0.2">
      <c r="A459" s="5" t="s">
        <v>225</v>
      </c>
      <c r="B459" s="16" t="s">
        <v>305</v>
      </c>
      <c r="C459" s="16" t="s">
        <v>538</v>
      </c>
      <c r="D459" s="243" t="s">
        <v>934</v>
      </c>
      <c r="E459" s="244"/>
      <c r="F459" s="244"/>
      <c r="G459" s="244"/>
      <c r="H459" s="16" t="s">
        <v>1042</v>
      </c>
      <c r="I459" s="27">
        <v>160.4</v>
      </c>
      <c r="J459" s="149"/>
      <c r="K459" s="27">
        <f>I459*AO459</f>
        <v>0</v>
      </c>
      <c r="L459" s="27">
        <f>I459*AP459</f>
        <v>0</v>
      </c>
      <c r="M459" s="27">
        <f>I459*J459</f>
        <v>0</v>
      </c>
      <c r="N459" s="56">
        <f>IF(M623=0,0,M459/M623)</f>
        <v>0</v>
      </c>
      <c r="O459" s="39" t="s">
        <v>1068</v>
      </c>
      <c r="P459" s="6"/>
      <c r="Z459" s="45">
        <f>IF(AQ459="5",BJ459,0)</f>
        <v>0</v>
      </c>
      <c r="AB459" s="45">
        <f>IF(AQ459="1",BH459,0)</f>
        <v>0</v>
      </c>
      <c r="AC459" s="45">
        <f>IF(AQ459="1",BI459,0)</f>
        <v>0</v>
      </c>
      <c r="AD459" s="45">
        <f>IF(AQ459="7",BH459,0)</f>
        <v>0</v>
      </c>
      <c r="AE459" s="45">
        <f>IF(AQ459="7",BI459,0)</f>
        <v>0</v>
      </c>
      <c r="AF459" s="45">
        <f>IF(AQ459="2",BH459,0)</f>
        <v>0</v>
      </c>
      <c r="AG459" s="45">
        <f>IF(AQ459="2",BI459,0)</f>
        <v>0</v>
      </c>
      <c r="AH459" s="45">
        <f>IF(AQ459="0",BJ459,0)</f>
        <v>0</v>
      </c>
      <c r="AI459" s="44" t="s">
        <v>305</v>
      </c>
      <c r="AJ459" s="27">
        <f>IF(AN459=0,M459,0)</f>
        <v>0</v>
      </c>
      <c r="AK459" s="27">
        <f>IF(AN459=15,M459,0)</f>
        <v>0</v>
      </c>
      <c r="AL459" s="27">
        <f>IF(AN459=21,M459,0)</f>
        <v>0</v>
      </c>
      <c r="AN459" s="45">
        <v>15</v>
      </c>
      <c r="AO459" s="45">
        <f>J459*0</f>
        <v>0</v>
      </c>
      <c r="AP459" s="45">
        <f>J459*(1-0)</f>
        <v>0</v>
      </c>
      <c r="AQ459" s="46" t="s">
        <v>13</v>
      </c>
      <c r="AV459" s="45">
        <f>AW459+AX459</f>
        <v>0</v>
      </c>
      <c r="AW459" s="45">
        <f>I459*AO459</f>
        <v>0</v>
      </c>
      <c r="AX459" s="45">
        <f>I459*AP459</f>
        <v>0</v>
      </c>
      <c r="AY459" s="48" t="s">
        <v>1102</v>
      </c>
      <c r="AZ459" s="48" t="s">
        <v>1126</v>
      </c>
      <c r="BA459" s="44" t="s">
        <v>1139</v>
      </c>
      <c r="BC459" s="45">
        <f>AW459+AX459</f>
        <v>0</v>
      </c>
      <c r="BD459" s="45">
        <f>J459/(100-BE459)*100</f>
        <v>0</v>
      </c>
      <c r="BE459" s="45">
        <v>0</v>
      </c>
      <c r="BF459" s="45">
        <f>459</f>
        <v>459</v>
      </c>
      <c r="BH459" s="27">
        <f>I459*AO459</f>
        <v>0</v>
      </c>
      <c r="BI459" s="27">
        <f>I459*AP459</f>
        <v>0</v>
      </c>
      <c r="BJ459" s="27">
        <f>I459*J459</f>
        <v>0</v>
      </c>
      <c r="BK459" s="27" t="s">
        <v>1146</v>
      </c>
      <c r="BL459" s="45">
        <v>775</v>
      </c>
    </row>
    <row r="460" spans="1:64" x14ac:dyDescent="0.2">
      <c r="A460" s="6"/>
      <c r="C460" s="21" t="s">
        <v>310</v>
      </c>
      <c r="D460" s="245" t="s">
        <v>753</v>
      </c>
      <c r="E460" s="246"/>
      <c r="F460" s="246"/>
      <c r="G460" s="246"/>
      <c r="H460" s="246"/>
      <c r="I460" s="246"/>
      <c r="J460" s="246"/>
      <c r="K460" s="246"/>
      <c r="L460" s="246"/>
      <c r="M460" s="246"/>
      <c r="N460" s="246"/>
      <c r="O460" s="247"/>
      <c r="P460" s="6"/>
    </row>
    <row r="461" spans="1:64" x14ac:dyDescent="0.2">
      <c r="A461" s="5" t="s">
        <v>226</v>
      </c>
      <c r="B461" s="16" t="s">
        <v>305</v>
      </c>
      <c r="C461" s="16" t="s">
        <v>539</v>
      </c>
      <c r="D461" s="243" t="s">
        <v>935</v>
      </c>
      <c r="E461" s="244"/>
      <c r="F461" s="244"/>
      <c r="G461" s="244"/>
      <c r="H461" s="16" t="s">
        <v>1042</v>
      </c>
      <c r="I461" s="27">
        <v>160.4</v>
      </c>
      <c r="J461" s="149"/>
      <c r="K461" s="27">
        <f>I461*AO461</f>
        <v>0</v>
      </c>
      <c r="L461" s="27">
        <f>I461*AP461</f>
        <v>0</v>
      </c>
      <c r="M461" s="27">
        <f>I461*J461</f>
        <v>0</v>
      </c>
      <c r="N461" s="56">
        <f>IF(M623=0,0,M461/M623)</f>
        <v>0</v>
      </c>
      <c r="O461" s="39" t="s">
        <v>1068</v>
      </c>
      <c r="P461" s="6"/>
      <c r="Z461" s="45">
        <f>IF(AQ461="5",BJ461,0)</f>
        <v>0</v>
      </c>
      <c r="AB461" s="45">
        <f>IF(AQ461="1",BH461,0)</f>
        <v>0</v>
      </c>
      <c r="AC461" s="45">
        <f>IF(AQ461="1",BI461,0)</f>
        <v>0</v>
      </c>
      <c r="AD461" s="45">
        <f>IF(AQ461="7",BH461,0)</f>
        <v>0</v>
      </c>
      <c r="AE461" s="45">
        <f>IF(AQ461="7",BI461,0)</f>
        <v>0</v>
      </c>
      <c r="AF461" s="45">
        <f>IF(AQ461="2",BH461,0)</f>
        <v>0</v>
      </c>
      <c r="AG461" s="45">
        <f>IF(AQ461="2",BI461,0)</f>
        <v>0</v>
      </c>
      <c r="AH461" s="45">
        <f>IF(AQ461="0",BJ461,0)</f>
        <v>0</v>
      </c>
      <c r="AI461" s="44" t="s">
        <v>305</v>
      </c>
      <c r="AJ461" s="27">
        <f>IF(AN461=0,M461,0)</f>
        <v>0</v>
      </c>
      <c r="AK461" s="27">
        <f>IF(AN461=15,M461,0)</f>
        <v>0</v>
      </c>
      <c r="AL461" s="27">
        <f>IF(AN461=21,M461,0)</f>
        <v>0</v>
      </c>
      <c r="AN461" s="45">
        <v>15</v>
      </c>
      <c r="AO461" s="45">
        <f>J461*0.450793650793651</f>
        <v>0</v>
      </c>
      <c r="AP461" s="45">
        <f>J461*(1-0.450793650793651)</f>
        <v>0</v>
      </c>
      <c r="AQ461" s="46" t="s">
        <v>13</v>
      </c>
      <c r="AV461" s="45">
        <f>AW461+AX461</f>
        <v>0</v>
      </c>
      <c r="AW461" s="45">
        <f>I461*AO461</f>
        <v>0</v>
      </c>
      <c r="AX461" s="45">
        <f>I461*AP461</f>
        <v>0</v>
      </c>
      <c r="AY461" s="48" t="s">
        <v>1102</v>
      </c>
      <c r="AZ461" s="48" t="s">
        <v>1126</v>
      </c>
      <c r="BA461" s="44" t="s">
        <v>1139</v>
      </c>
      <c r="BC461" s="45">
        <f>AW461+AX461</f>
        <v>0</v>
      </c>
      <c r="BD461" s="45">
        <f>J461/(100-BE461)*100</f>
        <v>0</v>
      </c>
      <c r="BE461" s="45">
        <v>0</v>
      </c>
      <c r="BF461" s="45">
        <f>461</f>
        <v>461</v>
      </c>
      <c r="BH461" s="27">
        <f>I461*AO461</f>
        <v>0</v>
      </c>
      <c r="BI461" s="27">
        <f>I461*AP461</f>
        <v>0</v>
      </c>
      <c r="BJ461" s="27">
        <f>I461*J461</f>
        <v>0</v>
      </c>
      <c r="BK461" s="27" t="s">
        <v>1146</v>
      </c>
      <c r="BL461" s="45">
        <v>775</v>
      </c>
    </row>
    <row r="462" spans="1:64" x14ac:dyDescent="0.2">
      <c r="A462" s="6"/>
      <c r="C462" s="21" t="s">
        <v>310</v>
      </c>
      <c r="D462" s="245" t="s">
        <v>753</v>
      </c>
      <c r="E462" s="246"/>
      <c r="F462" s="246"/>
      <c r="G462" s="246"/>
      <c r="H462" s="246"/>
      <c r="I462" s="246"/>
      <c r="J462" s="246"/>
      <c r="K462" s="246"/>
      <c r="L462" s="246"/>
      <c r="M462" s="246"/>
      <c r="N462" s="246"/>
      <c r="O462" s="247"/>
      <c r="P462" s="6"/>
    </row>
    <row r="463" spans="1:64" x14ac:dyDescent="0.2">
      <c r="A463" s="5" t="s">
        <v>227</v>
      </c>
      <c r="B463" s="16" t="s">
        <v>305</v>
      </c>
      <c r="C463" s="16" t="s">
        <v>540</v>
      </c>
      <c r="D463" s="243" t="s">
        <v>936</v>
      </c>
      <c r="E463" s="244"/>
      <c r="F463" s="244"/>
      <c r="G463" s="244"/>
      <c r="H463" s="16" t="s">
        <v>1042</v>
      </c>
      <c r="I463" s="27">
        <v>160.4</v>
      </c>
      <c r="J463" s="149"/>
      <c r="K463" s="27">
        <f>I463*AO463</f>
        <v>0</v>
      </c>
      <c r="L463" s="27">
        <f>I463*AP463</f>
        <v>0</v>
      </c>
      <c r="M463" s="27">
        <f>I463*J463</f>
        <v>0</v>
      </c>
      <c r="N463" s="56">
        <f>IF(M623=0,0,M463/M623)</f>
        <v>0</v>
      </c>
      <c r="O463" s="39" t="s">
        <v>1068</v>
      </c>
      <c r="P463" s="6"/>
      <c r="Z463" s="45">
        <f>IF(AQ463="5",BJ463,0)</f>
        <v>0</v>
      </c>
      <c r="AB463" s="45">
        <f>IF(AQ463="1",BH463,0)</f>
        <v>0</v>
      </c>
      <c r="AC463" s="45">
        <f>IF(AQ463="1",BI463,0)</f>
        <v>0</v>
      </c>
      <c r="AD463" s="45">
        <f>IF(AQ463="7",BH463,0)</f>
        <v>0</v>
      </c>
      <c r="AE463" s="45">
        <f>IF(AQ463="7",BI463,0)</f>
        <v>0</v>
      </c>
      <c r="AF463" s="45">
        <f>IF(AQ463="2",BH463,0)</f>
        <v>0</v>
      </c>
      <c r="AG463" s="45">
        <f>IF(AQ463="2",BI463,0)</f>
        <v>0</v>
      </c>
      <c r="AH463" s="45">
        <f>IF(AQ463="0",BJ463,0)</f>
        <v>0</v>
      </c>
      <c r="AI463" s="44" t="s">
        <v>305</v>
      </c>
      <c r="AJ463" s="27">
        <f>IF(AN463=0,M463,0)</f>
        <v>0</v>
      </c>
      <c r="AK463" s="27">
        <f>IF(AN463=15,M463,0)</f>
        <v>0</v>
      </c>
      <c r="AL463" s="27">
        <f>IF(AN463=21,M463,0)</f>
        <v>0</v>
      </c>
      <c r="AN463" s="45">
        <v>15</v>
      </c>
      <c r="AO463" s="45">
        <f>J463*0</f>
        <v>0</v>
      </c>
      <c r="AP463" s="45">
        <f>J463*(1-0)</f>
        <v>0</v>
      </c>
      <c r="AQ463" s="46" t="s">
        <v>13</v>
      </c>
      <c r="AV463" s="45">
        <f>AW463+AX463</f>
        <v>0</v>
      </c>
      <c r="AW463" s="45">
        <f>I463*AO463</f>
        <v>0</v>
      </c>
      <c r="AX463" s="45">
        <f>I463*AP463</f>
        <v>0</v>
      </c>
      <c r="AY463" s="48" t="s">
        <v>1102</v>
      </c>
      <c r="AZ463" s="48" t="s">
        <v>1126</v>
      </c>
      <c r="BA463" s="44" t="s">
        <v>1139</v>
      </c>
      <c r="BC463" s="45">
        <f>AW463+AX463</f>
        <v>0</v>
      </c>
      <c r="BD463" s="45">
        <f>J463/(100-BE463)*100</f>
        <v>0</v>
      </c>
      <c r="BE463" s="45">
        <v>0</v>
      </c>
      <c r="BF463" s="45">
        <f>463</f>
        <v>463</v>
      </c>
      <c r="BH463" s="27">
        <f>I463*AO463</f>
        <v>0</v>
      </c>
      <c r="BI463" s="27">
        <f>I463*AP463</f>
        <v>0</v>
      </c>
      <c r="BJ463" s="27">
        <f>I463*J463</f>
        <v>0</v>
      </c>
      <c r="BK463" s="27" t="s">
        <v>1146</v>
      </c>
      <c r="BL463" s="45">
        <v>775</v>
      </c>
    </row>
    <row r="464" spans="1:64" x14ac:dyDescent="0.2">
      <c r="A464" s="6"/>
      <c r="C464" s="21" t="s">
        <v>310</v>
      </c>
      <c r="D464" s="245" t="s">
        <v>753</v>
      </c>
      <c r="E464" s="246"/>
      <c r="F464" s="246"/>
      <c r="G464" s="246"/>
      <c r="H464" s="246"/>
      <c r="I464" s="246"/>
      <c r="J464" s="246"/>
      <c r="K464" s="246"/>
      <c r="L464" s="246"/>
      <c r="M464" s="246"/>
      <c r="N464" s="246"/>
      <c r="O464" s="247"/>
      <c r="P464" s="6"/>
    </row>
    <row r="465" spans="1:64" x14ac:dyDescent="0.2">
      <c r="A465" s="7" t="s">
        <v>228</v>
      </c>
      <c r="B465" s="17" t="s">
        <v>305</v>
      </c>
      <c r="C465" s="17" t="s">
        <v>541</v>
      </c>
      <c r="D465" s="241" t="s">
        <v>937</v>
      </c>
      <c r="E465" s="242"/>
      <c r="F465" s="242"/>
      <c r="G465" s="242"/>
      <c r="H465" s="17" t="s">
        <v>1042</v>
      </c>
      <c r="I465" s="28">
        <v>184.46</v>
      </c>
      <c r="J465" s="154"/>
      <c r="K465" s="28">
        <f>I465*AO465</f>
        <v>0</v>
      </c>
      <c r="L465" s="28">
        <f>I465*AP465</f>
        <v>0</v>
      </c>
      <c r="M465" s="28">
        <f>I465*J465</f>
        <v>0</v>
      </c>
      <c r="N465" s="57">
        <f>IF(M623=0,0,M465/M623)</f>
        <v>0</v>
      </c>
      <c r="O465" s="40" t="s">
        <v>1068</v>
      </c>
      <c r="P465" s="6"/>
      <c r="Z465" s="45">
        <f>IF(AQ465="5",BJ465,0)</f>
        <v>0</v>
      </c>
      <c r="AB465" s="45">
        <f>IF(AQ465="1",BH465,0)</f>
        <v>0</v>
      </c>
      <c r="AC465" s="45">
        <f>IF(AQ465="1",BI465,0)</f>
        <v>0</v>
      </c>
      <c r="AD465" s="45">
        <f>IF(AQ465="7",BH465,0)</f>
        <v>0</v>
      </c>
      <c r="AE465" s="45">
        <f>IF(AQ465="7",BI465,0)</f>
        <v>0</v>
      </c>
      <c r="AF465" s="45">
        <f>IF(AQ465="2",BH465,0)</f>
        <v>0</v>
      </c>
      <c r="AG465" s="45">
        <f>IF(AQ465="2",BI465,0)</f>
        <v>0</v>
      </c>
      <c r="AH465" s="45">
        <f>IF(AQ465="0",BJ465,0)</f>
        <v>0</v>
      </c>
      <c r="AI465" s="44" t="s">
        <v>305</v>
      </c>
      <c r="AJ465" s="28">
        <f>IF(AN465=0,M465,0)</f>
        <v>0</v>
      </c>
      <c r="AK465" s="28">
        <f>IF(AN465=15,M465,0)</f>
        <v>0</v>
      </c>
      <c r="AL465" s="28">
        <f>IF(AN465=21,M465,0)</f>
        <v>0</v>
      </c>
      <c r="AN465" s="45">
        <v>15</v>
      </c>
      <c r="AO465" s="45">
        <f>J465*1</f>
        <v>0</v>
      </c>
      <c r="AP465" s="45">
        <f>J465*(1-1)</f>
        <v>0</v>
      </c>
      <c r="AQ465" s="47" t="s">
        <v>13</v>
      </c>
      <c r="AV465" s="45">
        <f>AW465+AX465</f>
        <v>0</v>
      </c>
      <c r="AW465" s="45">
        <f>I465*AO465</f>
        <v>0</v>
      </c>
      <c r="AX465" s="45">
        <f>I465*AP465</f>
        <v>0</v>
      </c>
      <c r="AY465" s="48" t="s">
        <v>1102</v>
      </c>
      <c r="AZ465" s="48" t="s">
        <v>1126</v>
      </c>
      <c r="BA465" s="44" t="s">
        <v>1139</v>
      </c>
      <c r="BC465" s="45">
        <f>AW465+AX465</f>
        <v>0</v>
      </c>
      <c r="BD465" s="45">
        <f>J465/(100-BE465)*100</f>
        <v>0</v>
      </c>
      <c r="BE465" s="45">
        <v>0</v>
      </c>
      <c r="BF465" s="45">
        <f>465</f>
        <v>465</v>
      </c>
      <c r="BH465" s="28">
        <f>I465*AO465</f>
        <v>0</v>
      </c>
      <c r="BI465" s="28">
        <f>I465*AP465</f>
        <v>0</v>
      </c>
      <c r="BJ465" s="28">
        <f>I465*J465</f>
        <v>0</v>
      </c>
      <c r="BK465" s="28" t="s">
        <v>1147</v>
      </c>
      <c r="BL465" s="45">
        <v>775</v>
      </c>
    </row>
    <row r="466" spans="1:64" x14ac:dyDescent="0.2">
      <c r="A466" s="120" t="s">
        <v>229</v>
      </c>
      <c r="B466" s="120" t="s">
        <v>305</v>
      </c>
      <c r="C466" s="120" t="s">
        <v>542</v>
      </c>
      <c r="D466" s="256" t="s">
        <v>938</v>
      </c>
      <c r="E466" s="244"/>
      <c r="F466" s="244"/>
      <c r="G466" s="257"/>
      <c r="H466" s="120" t="s">
        <v>1044</v>
      </c>
      <c r="I466" s="122">
        <v>137.37</v>
      </c>
      <c r="J466" s="149"/>
      <c r="K466" s="122">
        <f>I466*AO466</f>
        <v>0</v>
      </c>
      <c r="L466" s="122">
        <f>I466*AP466</f>
        <v>0</v>
      </c>
      <c r="M466" s="122">
        <f>I466*J466</f>
        <v>0</v>
      </c>
      <c r="N466" s="141">
        <f>IF(M623=0,0,M466/M623)</f>
        <v>0</v>
      </c>
      <c r="O466" s="128" t="s">
        <v>1068</v>
      </c>
      <c r="P466" s="123"/>
      <c r="Z466" s="45">
        <f>IF(AQ466="5",BJ466,0)</f>
        <v>0</v>
      </c>
      <c r="AB466" s="45">
        <f>IF(AQ466="1",BH466,0)</f>
        <v>0</v>
      </c>
      <c r="AC466" s="45">
        <f>IF(AQ466="1",BI466,0)</f>
        <v>0</v>
      </c>
      <c r="AD466" s="45">
        <f>IF(AQ466="7",BH466,0)</f>
        <v>0</v>
      </c>
      <c r="AE466" s="45">
        <f>IF(AQ466="7",BI466,0)</f>
        <v>0</v>
      </c>
      <c r="AF466" s="45">
        <f>IF(AQ466="2",BH466,0)</f>
        <v>0</v>
      </c>
      <c r="AG466" s="45">
        <f>IF(AQ466="2",BI466,0)</f>
        <v>0</v>
      </c>
      <c r="AH466" s="45">
        <f>IF(AQ466="0",BJ466,0)</f>
        <v>0</v>
      </c>
      <c r="AI466" s="44" t="s">
        <v>305</v>
      </c>
      <c r="AJ466" s="27">
        <f>IF(AN466=0,M466,0)</f>
        <v>0</v>
      </c>
      <c r="AK466" s="27">
        <f>IF(AN466=15,M466,0)</f>
        <v>0</v>
      </c>
      <c r="AL466" s="27">
        <f>IF(AN466=21,M466,0)</f>
        <v>0</v>
      </c>
      <c r="AN466" s="45">
        <v>15</v>
      </c>
      <c r="AO466" s="45">
        <f>J466*0.00624338383865618</f>
        <v>0</v>
      </c>
      <c r="AP466" s="45">
        <f>J466*(1-0.00624338383865618)</f>
        <v>0</v>
      </c>
      <c r="AQ466" s="46" t="s">
        <v>13</v>
      </c>
      <c r="AV466" s="45">
        <f>AW466+AX466</f>
        <v>0</v>
      </c>
      <c r="AW466" s="45">
        <f>I466*AO466</f>
        <v>0</v>
      </c>
      <c r="AX466" s="45">
        <f>I466*AP466</f>
        <v>0</v>
      </c>
      <c r="AY466" s="48" t="s">
        <v>1102</v>
      </c>
      <c r="AZ466" s="48" t="s">
        <v>1126</v>
      </c>
      <c r="BA466" s="44" t="s">
        <v>1139</v>
      </c>
      <c r="BC466" s="45">
        <f>AW466+AX466</f>
        <v>0</v>
      </c>
      <c r="BD466" s="45">
        <f>J466/(100-BE466)*100</f>
        <v>0</v>
      </c>
      <c r="BE466" s="45">
        <v>0</v>
      </c>
      <c r="BF466" s="45">
        <f>466</f>
        <v>466</v>
      </c>
      <c r="BH466" s="27">
        <f>I466*AO466</f>
        <v>0</v>
      </c>
      <c r="BI466" s="27">
        <f>I466*AP466</f>
        <v>0</v>
      </c>
      <c r="BJ466" s="27">
        <f>I466*J466</f>
        <v>0</v>
      </c>
      <c r="BK466" s="27" t="s">
        <v>1146</v>
      </c>
      <c r="BL466" s="45">
        <v>775</v>
      </c>
    </row>
    <row r="467" spans="1:64" x14ac:dyDescent="0.2">
      <c r="A467" s="6"/>
      <c r="C467" s="21" t="s">
        <v>310</v>
      </c>
      <c r="D467" s="245" t="s">
        <v>682</v>
      </c>
      <c r="E467" s="246"/>
      <c r="F467" s="246"/>
      <c r="G467" s="246"/>
      <c r="H467" s="246"/>
      <c r="I467" s="246"/>
      <c r="J467" s="246"/>
      <c r="K467" s="246"/>
      <c r="L467" s="246"/>
      <c r="M467" s="246"/>
      <c r="N467" s="246"/>
      <c r="O467" s="247"/>
      <c r="P467" s="6"/>
    </row>
    <row r="468" spans="1:64" x14ac:dyDescent="0.2">
      <c r="A468" s="132" t="s">
        <v>230</v>
      </c>
      <c r="B468" s="132" t="s">
        <v>305</v>
      </c>
      <c r="C468" s="132" t="s">
        <v>543</v>
      </c>
      <c r="D468" s="258" t="s">
        <v>939</v>
      </c>
      <c r="E468" s="242"/>
      <c r="F468" s="242"/>
      <c r="G468" s="259"/>
      <c r="H468" s="132" t="s">
        <v>1044</v>
      </c>
      <c r="I468" s="134">
        <v>145.31</v>
      </c>
      <c r="J468" s="154"/>
      <c r="K468" s="134">
        <f>I468*AO468</f>
        <v>0</v>
      </c>
      <c r="L468" s="134">
        <f>I468*AP468</f>
        <v>0</v>
      </c>
      <c r="M468" s="134">
        <f>I468*J468</f>
        <v>0</v>
      </c>
      <c r="N468" s="142">
        <f>IF(M623=0,0,M468/M623)</f>
        <v>0</v>
      </c>
      <c r="O468" s="138" t="s">
        <v>1068</v>
      </c>
      <c r="P468" s="123"/>
      <c r="Z468" s="45">
        <f>IF(AQ468="5",BJ468,0)</f>
        <v>0</v>
      </c>
      <c r="AB468" s="45">
        <f>IF(AQ468="1",BH468,0)</f>
        <v>0</v>
      </c>
      <c r="AC468" s="45">
        <f>IF(AQ468="1",BI468,0)</f>
        <v>0</v>
      </c>
      <c r="AD468" s="45">
        <f>IF(AQ468="7",BH468,0)</f>
        <v>0</v>
      </c>
      <c r="AE468" s="45">
        <f>IF(AQ468="7",BI468,0)</f>
        <v>0</v>
      </c>
      <c r="AF468" s="45">
        <f>IF(AQ468="2",BH468,0)</f>
        <v>0</v>
      </c>
      <c r="AG468" s="45">
        <f>IF(AQ468="2",BI468,0)</f>
        <v>0</v>
      </c>
      <c r="AH468" s="45">
        <f>IF(AQ468="0",BJ468,0)</f>
        <v>0</v>
      </c>
      <c r="AI468" s="44" t="s">
        <v>305</v>
      </c>
      <c r="AJ468" s="28">
        <f>IF(AN468=0,M468,0)</f>
        <v>0</v>
      </c>
      <c r="AK468" s="28">
        <f>IF(AN468=15,M468,0)</f>
        <v>0</v>
      </c>
      <c r="AL468" s="28">
        <f>IF(AN468=21,M468,0)</f>
        <v>0</v>
      </c>
      <c r="AN468" s="45">
        <v>15</v>
      </c>
      <c r="AO468" s="45">
        <f>J468*1</f>
        <v>0</v>
      </c>
      <c r="AP468" s="45">
        <f>J468*(1-1)</f>
        <v>0</v>
      </c>
      <c r="AQ468" s="47" t="s">
        <v>13</v>
      </c>
      <c r="AV468" s="45">
        <f>AW468+AX468</f>
        <v>0</v>
      </c>
      <c r="AW468" s="45">
        <f>I468*AO468</f>
        <v>0</v>
      </c>
      <c r="AX468" s="45">
        <f>I468*AP468</f>
        <v>0</v>
      </c>
      <c r="AY468" s="48" t="s">
        <v>1102</v>
      </c>
      <c r="AZ468" s="48" t="s">
        <v>1126</v>
      </c>
      <c r="BA468" s="44" t="s">
        <v>1139</v>
      </c>
      <c r="BC468" s="45">
        <f>AW468+AX468</f>
        <v>0</v>
      </c>
      <c r="BD468" s="45">
        <f>J468/(100-BE468)*100</f>
        <v>0</v>
      </c>
      <c r="BE468" s="45">
        <v>0</v>
      </c>
      <c r="BF468" s="45">
        <f>468</f>
        <v>468</v>
      </c>
      <c r="BH468" s="28">
        <f>I468*AO468</f>
        <v>0</v>
      </c>
      <c r="BI468" s="28">
        <f>I468*AP468</f>
        <v>0</v>
      </c>
      <c r="BJ468" s="28">
        <f>I468*J468</f>
        <v>0</v>
      </c>
      <c r="BK468" s="28" t="s">
        <v>1147</v>
      </c>
      <c r="BL468" s="45">
        <v>775</v>
      </c>
    </row>
    <row r="469" spans="1:64" x14ac:dyDescent="0.2">
      <c r="A469" s="5" t="s">
        <v>231</v>
      </c>
      <c r="B469" s="16" t="s">
        <v>305</v>
      </c>
      <c r="C469" s="16" t="s">
        <v>544</v>
      </c>
      <c r="D469" s="243" t="s">
        <v>940</v>
      </c>
      <c r="E469" s="244"/>
      <c r="F469" s="244"/>
      <c r="G469" s="244"/>
      <c r="H469" s="16" t="s">
        <v>1044</v>
      </c>
      <c r="I469" s="27">
        <v>8.84</v>
      </c>
      <c r="J469" s="149"/>
      <c r="K469" s="27">
        <f>I469*AO469</f>
        <v>0</v>
      </c>
      <c r="L469" s="27">
        <f>I469*AP469</f>
        <v>0</v>
      </c>
      <c r="M469" s="27">
        <f>I469*J469</f>
        <v>0</v>
      </c>
      <c r="N469" s="56">
        <f>IF(M623=0,0,M469/M623)</f>
        <v>0</v>
      </c>
      <c r="O469" s="39" t="s">
        <v>1068</v>
      </c>
      <c r="P469" s="6"/>
      <c r="Z469" s="45">
        <f>IF(AQ469="5",BJ469,0)</f>
        <v>0</v>
      </c>
      <c r="AB469" s="45">
        <f>IF(AQ469="1",BH469,0)</f>
        <v>0</v>
      </c>
      <c r="AC469" s="45">
        <f>IF(AQ469="1",BI469,0)</f>
        <v>0</v>
      </c>
      <c r="AD469" s="45">
        <f>IF(AQ469="7",BH469,0)</f>
        <v>0</v>
      </c>
      <c r="AE469" s="45">
        <f>IF(AQ469="7",BI469,0)</f>
        <v>0</v>
      </c>
      <c r="AF469" s="45">
        <f>IF(AQ469="2",BH469,0)</f>
        <v>0</v>
      </c>
      <c r="AG469" s="45">
        <f>IF(AQ469="2",BI469,0)</f>
        <v>0</v>
      </c>
      <c r="AH469" s="45">
        <f>IF(AQ469="0",BJ469,0)</f>
        <v>0</v>
      </c>
      <c r="AI469" s="44" t="s">
        <v>305</v>
      </c>
      <c r="AJ469" s="27">
        <f>IF(AN469=0,M469,0)</f>
        <v>0</v>
      </c>
      <c r="AK469" s="27">
        <f>IF(AN469=15,M469,0)</f>
        <v>0</v>
      </c>
      <c r="AL469" s="27">
        <f>IF(AN469=21,M469,0)</f>
        <v>0</v>
      </c>
      <c r="AN469" s="45">
        <v>15</v>
      </c>
      <c r="AO469" s="45">
        <f>J469*0.722495543672014</f>
        <v>0</v>
      </c>
      <c r="AP469" s="45">
        <f>J469*(1-0.722495543672014)</f>
        <v>0</v>
      </c>
      <c r="AQ469" s="46" t="s">
        <v>13</v>
      </c>
      <c r="AV469" s="45">
        <f>AW469+AX469</f>
        <v>0</v>
      </c>
      <c r="AW469" s="45">
        <f>I469*AO469</f>
        <v>0</v>
      </c>
      <c r="AX469" s="45">
        <f>I469*AP469</f>
        <v>0</v>
      </c>
      <c r="AY469" s="48" t="s">
        <v>1102</v>
      </c>
      <c r="AZ469" s="48" t="s">
        <v>1126</v>
      </c>
      <c r="BA469" s="44" t="s">
        <v>1139</v>
      </c>
      <c r="BC469" s="45">
        <f>AW469+AX469</f>
        <v>0</v>
      </c>
      <c r="BD469" s="45">
        <f>J469/(100-BE469)*100</f>
        <v>0</v>
      </c>
      <c r="BE469" s="45">
        <v>0</v>
      </c>
      <c r="BF469" s="45">
        <f>469</f>
        <v>469</v>
      </c>
      <c r="BH469" s="27">
        <f>I469*AO469</f>
        <v>0</v>
      </c>
      <c r="BI469" s="27">
        <f>I469*AP469</f>
        <v>0</v>
      </c>
      <c r="BJ469" s="27">
        <f>I469*J469</f>
        <v>0</v>
      </c>
      <c r="BK469" s="27" t="s">
        <v>1146</v>
      </c>
      <c r="BL469" s="45">
        <v>775</v>
      </c>
    </row>
    <row r="470" spans="1:64" x14ac:dyDescent="0.2">
      <c r="A470" s="6"/>
      <c r="D470" s="251" t="s">
        <v>941</v>
      </c>
      <c r="E470" s="252"/>
      <c r="F470" s="252"/>
      <c r="G470" s="252"/>
      <c r="H470" s="252"/>
      <c r="I470" s="252"/>
      <c r="J470" s="252"/>
      <c r="K470" s="252"/>
      <c r="L470" s="252"/>
      <c r="M470" s="252"/>
      <c r="N470" s="252"/>
      <c r="O470" s="253"/>
      <c r="P470" s="6"/>
    </row>
    <row r="471" spans="1:64" x14ac:dyDescent="0.2">
      <c r="A471" s="5" t="s">
        <v>232</v>
      </c>
      <c r="B471" s="16" t="s">
        <v>305</v>
      </c>
      <c r="C471" s="16" t="s">
        <v>545</v>
      </c>
      <c r="D471" s="243" t="s">
        <v>942</v>
      </c>
      <c r="E471" s="244"/>
      <c r="F471" s="244"/>
      <c r="G471" s="244"/>
      <c r="H471" s="16" t="s">
        <v>1043</v>
      </c>
      <c r="I471" s="27">
        <v>1.35</v>
      </c>
      <c r="J471" s="149"/>
      <c r="K471" s="27">
        <f>I471*AO471</f>
        <v>0</v>
      </c>
      <c r="L471" s="27">
        <f>I471*AP471</f>
        <v>0</v>
      </c>
      <c r="M471" s="27">
        <f>I471*J471</f>
        <v>0</v>
      </c>
      <c r="N471" s="56">
        <f>IF(M623=0,0,M471/M623)</f>
        <v>0</v>
      </c>
      <c r="O471" s="39" t="s">
        <v>1068</v>
      </c>
      <c r="P471" s="6"/>
      <c r="Z471" s="45">
        <f>IF(AQ471="5",BJ471,0)</f>
        <v>0</v>
      </c>
      <c r="AB471" s="45">
        <f>IF(AQ471="1",BH471,0)</f>
        <v>0</v>
      </c>
      <c r="AC471" s="45">
        <f>IF(AQ471="1",BI471,0)</f>
        <v>0</v>
      </c>
      <c r="AD471" s="45">
        <f>IF(AQ471="7",BH471,0)</f>
        <v>0</v>
      </c>
      <c r="AE471" s="45">
        <f>IF(AQ471="7",BI471,0)</f>
        <v>0</v>
      </c>
      <c r="AF471" s="45">
        <f>IF(AQ471="2",BH471,0)</f>
        <v>0</v>
      </c>
      <c r="AG471" s="45">
        <f>IF(AQ471="2",BI471,0)</f>
        <v>0</v>
      </c>
      <c r="AH471" s="45">
        <f>IF(AQ471="0",BJ471,0)</f>
        <v>0</v>
      </c>
      <c r="AI471" s="44" t="s">
        <v>305</v>
      </c>
      <c r="AJ471" s="27">
        <f>IF(AN471=0,M471,0)</f>
        <v>0</v>
      </c>
      <c r="AK471" s="27">
        <f>IF(AN471=15,M471,0)</f>
        <v>0</v>
      </c>
      <c r="AL471" s="27">
        <f>IF(AN471=21,M471,0)</f>
        <v>0</v>
      </c>
      <c r="AN471" s="45">
        <v>15</v>
      </c>
      <c r="AO471" s="45">
        <f>J471*0</f>
        <v>0</v>
      </c>
      <c r="AP471" s="45">
        <f>J471*(1-0)</f>
        <v>0</v>
      </c>
      <c r="AQ471" s="46" t="s">
        <v>11</v>
      </c>
      <c r="AV471" s="45">
        <f>AW471+AX471</f>
        <v>0</v>
      </c>
      <c r="AW471" s="45">
        <f>I471*AO471</f>
        <v>0</v>
      </c>
      <c r="AX471" s="45">
        <f>I471*AP471</f>
        <v>0</v>
      </c>
      <c r="AY471" s="48" t="s">
        <v>1102</v>
      </c>
      <c r="AZ471" s="48" t="s">
        <v>1126</v>
      </c>
      <c r="BA471" s="44" t="s">
        <v>1139</v>
      </c>
      <c r="BC471" s="45">
        <f>AW471+AX471</f>
        <v>0</v>
      </c>
      <c r="BD471" s="45">
        <f>J471/(100-BE471)*100</f>
        <v>0</v>
      </c>
      <c r="BE471" s="45">
        <v>0</v>
      </c>
      <c r="BF471" s="45">
        <f>471</f>
        <v>471</v>
      </c>
      <c r="BH471" s="27">
        <f>I471*AO471</f>
        <v>0</v>
      </c>
      <c r="BI471" s="27">
        <f>I471*AP471</f>
        <v>0</v>
      </c>
      <c r="BJ471" s="27">
        <f>I471*J471</f>
        <v>0</v>
      </c>
      <c r="BK471" s="27" t="s">
        <v>1146</v>
      </c>
      <c r="BL471" s="45">
        <v>775</v>
      </c>
    </row>
    <row r="472" spans="1:64" x14ac:dyDescent="0.2">
      <c r="A472" s="4"/>
      <c r="B472" s="15" t="s">
        <v>305</v>
      </c>
      <c r="C472" s="15" t="s">
        <v>546</v>
      </c>
      <c r="D472" s="237" t="s">
        <v>943</v>
      </c>
      <c r="E472" s="238"/>
      <c r="F472" s="238"/>
      <c r="G472" s="238"/>
      <c r="H472" s="24" t="s">
        <v>6</v>
      </c>
      <c r="I472" s="24" t="s">
        <v>6</v>
      </c>
      <c r="J472" s="24" t="s">
        <v>6</v>
      </c>
      <c r="K472" s="51">
        <f>SUM(K473:K481)</f>
        <v>0</v>
      </c>
      <c r="L472" s="51">
        <f>SUM(L473:L481)</f>
        <v>0</v>
      </c>
      <c r="M472" s="51">
        <f>SUM(M473:M481)</f>
        <v>0</v>
      </c>
      <c r="N472" s="55">
        <f>IF(M623=0,0,M472/M623)</f>
        <v>0</v>
      </c>
      <c r="O472" s="38"/>
      <c r="P472" s="6"/>
      <c r="AI472" s="44" t="s">
        <v>305</v>
      </c>
      <c r="AS472" s="51">
        <f>SUM(AJ473:AJ481)</f>
        <v>0</v>
      </c>
      <c r="AT472" s="51">
        <f>SUM(AK473:AK481)</f>
        <v>0</v>
      </c>
      <c r="AU472" s="51">
        <f>SUM(AL473:AL481)</f>
        <v>0</v>
      </c>
    </row>
    <row r="473" spans="1:64" x14ac:dyDescent="0.2">
      <c r="A473" s="5" t="s">
        <v>233</v>
      </c>
      <c r="B473" s="16" t="s">
        <v>305</v>
      </c>
      <c r="C473" s="16" t="s">
        <v>547</v>
      </c>
      <c r="D473" s="243" t="s">
        <v>944</v>
      </c>
      <c r="E473" s="244"/>
      <c r="F473" s="244"/>
      <c r="G473" s="244"/>
      <c r="H473" s="16" t="s">
        <v>1042</v>
      </c>
      <c r="I473" s="27">
        <v>28.73</v>
      </c>
      <c r="J473" s="149"/>
      <c r="K473" s="27">
        <f>I473*AO473</f>
        <v>0</v>
      </c>
      <c r="L473" s="27">
        <f>I473*AP473</f>
        <v>0</v>
      </c>
      <c r="M473" s="27">
        <f>I473*J473</f>
        <v>0</v>
      </c>
      <c r="N473" s="56">
        <f>IF(M623=0,0,M473/M623)</f>
        <v>0</v>
      </c>
      <c r="O473" s="39" t="s">
        <v>1068</v>
      </c>
      <c r="P473" s="6"/>
      <c r="Z473" s="45">
        <f>IF(AQ473="5",BJ473,0)</f>
        <v>0</v>
      </c>
      <c r="AB473" s="45">
        <f>IF(AQ473="1",BH473,0)</f>
        <v>0</v>
      </c>
      <c r="AC473" s="45">
        <f>IF(AQ473="1",BI473,0)</f>
        <v>0</v>
      </c>
      <c r="AD473" s="45">
        <f>IF(AQ473="7",BH473,0)</f>
        <v>0</v>
      </c>
      <c r="AE473" s="45">
        <f>IF(AQ473="7",BI473,0)</f>
        <v>0</v>
      </c>
      <c r="AF473" s="45">
        <f>IF(AQ473="2",BH473,0)</f>
        <v>0</v>
      </c>
      <c r="AG473" s="45">
        <f>IF(AQ473="2",BI473,0)</f>
        <v>0</v>
      </c>
      <c r="AH473" s="45">
        <f>IF(AQ473="0",BJ473,0)</f>
        <v>0</v>
      </c>
      <c r="AI473" s="44" t="s">
        <v>305</v>
      </c>
      <c r="AJ473" s="27">
        <f>IF(AN473=0,M473,0)</f>
        <v>0</v>
      </c>
      <c r="AK473" s="27">
        <f>IF(AN473=15,M473,0)</f>
        <v>0</v>
      </c>
      <c r="AL473" s="27">
        <f>IF(AN473=21,M473,0)</f>
        <v>0</v>
      </c>
      <c r="AN473" s="45">
        <v>15</v>
      </c>
      <c r="AO473" s="45">
        <f>J473*0.434639534090134</f>
        <v>0</v>
      </c>
      <c r="AP473" s="45">
        <f>J473*(1-0.434639534090134)</f>
        <v>0</v>
      </c>
      <c r="AQ473" s="46" t="s">
        <v>13</v>
      </c>
      <c r="AV473" s="45">
        <f>AW473+AX473</f>
        <v>0</v>
      </c>
      <c r="AW473" s="45">
        <f>I473*AO473</f>
        <v>0</v>
      </c>
      <c r="AX473" s="45">
        <f>I473*AP473</f>
        <v>0</v>
      </c>
      <c r="AY473" s="48" t="s">
        <v>1103</v>
      </c>
      <c r="AZ473" s="48" t="s">
        <v>1127</v>
      </c>
      <c r="BA473" s="44" t="s">
        <v>1139</v>
      </c>
      <c r="BC473" s="45">
        <f>AW473+AX473</f>
        <v>0</v>
      </c>
      <c r="BD473" s="45">
        <f>J473/(100-BE473)*100</f>
        <v>0</v>
      </c>
      <c r="BE473" s="45">
        <v>0</v>
      </c>
      <c r="BF473" s="45">
        <f>473</f>
        <v>473</v>
      </c>
      <c r="BH473" s="27">
        <f>I473*AO473</f>
        <v>0</v>
      </c>
      <c r="BI473" s="27">
        <f>I473*AP473</f>
        <v>0</v>
      </c>
      <c r="BJ473" s="27">
        <f>I473*J473</f>
        <v>0</v>
      </c>
      <c r="BK473" s="27" t="s">
        <v>1146</v>
      </c>
      <c r="BL473" s="45">
        <v>781</v>
      </c>
    </row>
    <row r="474" spans="1:64" x14ac:dyDescent="0.2">
      <c r="A474" s="6"/>
      <c r="D474" s="251" t="s">
        <v>925</v>
      </c>
      <c r="E474" s="252"/>
      <c r="F474" s="252"/>
      <c r="G474" s="252"/>
      <c r="H474" s="252"/>
      <c r="I474" s="252"/>
      <c r="J474" s="252"/>
      <c r="K474" s="252"/>
      <c r="L474" s="252"/>
      <c r="M474" s="252"/>
      <c r="N474" s="252"/>
      <c r="O474" s="253"/>
      <c r="P474" s="6"/>
    </row>
    <row r="475" spans="1:64" x14ac:dyDescent="0.2">
      <c r="A475" s="6"/>
      <c r="C475" s="21" t="s">
        <v>310</v>
      </c>
      <c r="D475" s="245" t="s">
        <v>753</v>
      </c>
      <c r="E475" s="246"/>
      <c r="F475" s="246"/>
      <c r="G475" s="246"/>
      <c r="H475" s="246"/>
      <c r="I475" s="246"/>
      <c r="J475" s="246"/>
      <c r="K475" s="246"/>
      <c r="L475" s="246"/>
      <c r="M475" s="246"/>
      <c r="N475" s="246"/>
      <c r="O475" s="247"/>
      <c r="P475" s="6"/>
    </row>
    <row r="476" spans="1:64" x14ac:dyDescent="0.2">
      <c r="A476" s="5" t="s">
        <v>234</v>
      </c>
      <c r="B476" s="16" t="s">
        <v>305</v>
      </c>
      <c r="C476" s="16" t="s">
        <v>548</v>
      </c>
      <c r="D476" s="243" t="s">
        <v>945</v>
      </c>
      <c r="E476" s="244"/>
      <c r="F476" s="244"/>
      <c r="G476" s="244"/>
      <c r="H476" s="16" t="s">
        <v>1042</v>
      </c>
      <c r="I476" s="27">
        <v>79.069999999999993</v>
      </c>
      <c r="J476" s="149"/>
      <c r="K476" s="27">
        <f>I476*AO476</f>
        <v>0</v>
      </c>
      <c r="L476" s="27">
        <f>I476*AP476</f>
        <v>0</v>
      </c>
      <c r="M476" s="27">
        <f>I476*J476</f>
        <v>0</v>
      </c>
      <c r="N476" s="56">
        <f>IF(M623=0,0,M476/M623)</f>
        <v>0</v>
      </c>
      <c r="O476" s="39" t="s">
        <v>1068</v>
      </c>
      <c r="P476" s="6"/>
      <c r="Z476" s="45">
        <f>IF(AQ476="5",BJ476,0)</f>
        <v>0</v>
      </c>
      <c r="AB476" s="45">
        <f>IF(AQ476="1",BH476,0)</f>
        <v>0</v>
      </c>
      <c r="AC476" s="45">
        <f>IF(AQ476="1",BI476,0)</f>
        <v>0</v>
      </c>
      <c r="AD476" s="45">
        <f>IF(AQ476="7",BH476,0)</f>
        <v>0</v>
      </c>
      <c r="AE476" s="45">
        <f>IF(AQ476="7",BI476,0)</f>
        <v>0</v>
      </c>
      <c r="AF476" s="45">
        <f>IF(AQ476="2",BH476,0)</f>
        <v>0</v>
      </c>
      <c r="AG476" s="45">
        <f>IF(AQ476="2",BI476,0)</f>
        <v>0</v>
      </c>
      <c r="AH476" s="45">
        <f>IF(AQ476="0",BJ476,0)</f>
        <v>0</v>
      </c>
      <c r="AI476" s="44" t="s">
        <v>305</v>
      </c>
      <c r="AJ476" s="27">
        <f>IF(AN476=0,M476,0)</f>
        <v>0</v>
      </c>
      <c r="AK476" s="27">
        <f>IF(AN476=15,M476,0)</f>
        <v>0</v>
      </c>
      <c r="AL476" s="27">
        <f>IF(AN476=21,M476,0)</f>
        <v>0</v>
      </c>
      <c r="AN476" s="45">
        <v>15</v>
      </c>
      <c r="AO476" s="45">
        <f>J476*0.174109640304317</f>
        <v>0</v>
      </c>
      <c r="AP476" s="45">
        <f>J476*(1-0.174109640304317)</f>
        <v>0</v>
      </c>
      <c r="AQ476" s="46" t="s">
        <v>13</v>
      </c>
      <c r="AV476" s="45">
        <f>AW476+AX476</f>
        <v>0</v>
      </c>
      <c r="AW476" s="45">
        <f>I476*AO476</f>
        <v>0</v>
      </c>
      <c r="AX476" s="45">
        <f>I476*AP476</f>
        <v>0</v>
      </c>
      <c r="AY476" s="48" t="s">
        <v>1103</v>
      </c>
      <c r="AZ476" s="48" t="s">
        <v>1127</v>
      </c>
      <c r="BA476" s="44" t="s">
        <v>1139</v>
      </c>
      <c r="BC476" s="45">
        <f>AW476+AX476</f>
        <v>0</v>
      </c>
      <c r="BD476" s="45">
        <f>J476/(100-BE476)*100</f>
        <v>0</v>
      </c>
      <c r="BE476" s="45">
        <v>0</v>
      </c>
      <c r="BF476" s="45">
        <f>476</f>
        <v>476</v>
      </c>
      <c r="BH476" s="27">
        <f>I476*AO476</f>
        <v>0</v>
      </c>
      <c r="BI476" s="27">
        <f>I476*AP476</f>
        <v>0</v>
      </c>
      <c r="BJ476" s="27">
        <f>I476*J476</f>
        <v>0</v>
      </c>
      <c r="BK476" s="27" t="s">
        <v>1146</v>
      </c>
      <c r="BL476" s="45">
        <v>781</v>
      </c>
    </row>
    <row r="477" spans="1:64" x14ac:dyDescent="0.2">
      <c r="A477" s="6"/>
      <c r="C477" s="21" t="s">
        <v>310</v>
      </c>
      <c r="D477" s="245" t="s">
        <v>753</v>
      </c>
      <c r="E477" s="246"/>
      <c r="F477" s="246"/>
      <c r="G477" s="246"/>
      <c r="H477" s="246"/>
      <c r="I477" s="246"/>
      <c r="J477" s="246"/>
      <c r="K477" s="246"/>
      <c r="L477" s="246"/>
      <c r="M477" s="246"/>
      <c r="N477" s="246"/>
      <c r="O477" s="247"/>
      <c r="P477" s="6"/>
    </row>
    <row r="478" spans="1:64" x14ac:dyDescent="0.2">
      <c r="A478" s="7" t="s">
        <v>235</v>
      </c>
      <c r="B478" s="17" t="s">
        <v>305</v>
      </c>
      <c r="C478" s="17" t="s">
        <v>549</v>
      </c>
      <c r="D478" s="241" t="s">
        <v>946</v>
      </c>
      <c r="E478" s="242"/>
      <c r="F478" s="242"/>
      <c r="G478" s="242"/>
      <c r="H478" s="17" t="s">
        <v>1042</v>
      </c>
      <c r="I478" s="28">
        <v>90.93</v>
      </c>
      <c r="J478" s="154"/>
      <c r="K478" s="28">
        <f>I478*AO478</f>
        <v>0</v>
      </c>
      <c r="L478" s="28">
        <f>I478*AP478</f>
        <v>0</v>
      </c>
      <c r="M478" s="28">
        <f>I478*J478</f>
        <v>0</v>
      </c>
      <c r="N478" s="57">
        <f>IF(M623=0,0,M478/M623)</f>
        <v>0</v>
      </c>
      <c r="O478" s="40" t="s">
        <v>1068</v>
      </c>
      <c r="P478" s="6"/>
      <c r="Z478" s="45">
        <f>IF(AQ478="5",BJ478,0)</f>
        <v>0</v>
      </c>
      <c r="AB478" s="45">
        <f>IF(AQ478="1",BH478,0)</f>
        <v>0</v>
      </c>
      <c r="AC478" s="45">
        <f>IF(AQ478="1",BI478,0)</f>
        <v>0</v>
      </c>
      <c r="AD478" s="45">
        <f>IF(AQ478="7",BH478,0)</f>
        <v>0</v>
      </c>
      <c r="AE478" s="45">
        <f>IF(AQ478="7",BI478,0)</f>
        <v>0</v>
      </c>
      <c r="AF478" s="45">
        <f>IF(AQ478="2",BH478,0)</f>
        <v>0</v>
      </c>
      <c r="AG478" s="45">
        <f>IF(AQ478="2",BI478,0)</f>
        <v>0</v>
      </c>
      <c r="AH478" s="45">
        <f>IF(AQ478="0",BJ478,0)</f>
        <v>0</v>
      </c>
      <c r="AI478" s="44" t="s">
        <v>305</v>
      </c>
      <c r="AJ478" s="28">
        <f>IF(AN478=0,M478,0)</f>
        <v>0</v>
      </c>
      <c r="AK478" s="28">
        <f>IF(AN478=15,M478,0)</f>
        <v>0</v>
      </c>
      <c r="AL478" s="28">
        <f>IF(AN478=21,M478,0)</f>
        <v>0</v>
      </c>
      <c r="AN478" s="45">
        <v>15</v>
      </c>
      <c r="AO478" s="45">
        <f>J478*1</f>
        <v>0</v>
      </c>
      <c r="AP478" s="45">
        <f>J478*(1-1)</f>
        <v>0</v>
      </c>
      <c r="AQ478" s="47" t="s">
        <v>13</v>
      </c>
      <c r="AV478" s="45">
        <f>AW478+AX478</f>
        <v>0</v>
      </c>
      <c r="AW478" s="45">
        <f>I478*AO478</f>
        <v>0</v>
      </c>
      <c r="AX478" s="45">
        <f>I478*AP478</f>
        <v>0</v>
      </c>
      <c r="AY478" s="48" t="s">
        <v>1103</v>
      </c>
      <c r="AZ478" s="48" t="s">
        <v>1127</v>
      </c>
      <c r="BA478" s="44" t="s">
        <v>1139</v>
      </c>
      <c r="BC478" s="45">
        <f>AW478+AX478</f>
        <v>0</v>
      </c>
      <c r="BD478" s="45">
        <f>J478/(100-BE478)*100</f>
        <v>0</v>
      </c>
      <c r="BE478" s="45">
        <v>0</v>
      </c>
      <c r="BF478" s="45">
        <f>478</f>
        <v>478</v>
      </c>
      <c r="BH478" s="28">
        <f>I478*AO478</f>
        <v>0</v>
      </c>
      <c r="BI478" s="28">
        <f>I478*AP478</f>
        <v>0</v>
      </c>
      <c r="BJ478" s="28">
        <f>I478*J478</f>
        <v>0</v>
      </c>
      <c r="BK478" s="28" t="s">
        <v>1147</v>
      </c>
      <c r="BL478" s="45">
        <v>781</v>
      </c>
    </row>
    <row r="479" spans="1:64" x14ac:dyDescent="0.2">
      <c r="A479" s="5" t="s">
        <v>236</v>
      </c>
      <c r="B479" s="16" t="s">
        <v>305</v>
      </c>
      <c r="C479" s="16" t="s">
        <v>550</v>
      </c>
      <c r="D479" s="243" t="s">
        <v>947</v>
      </c>
      <c r="E479" s="244"/>
      <c r="F479" s="244"/>
      <c r="G479" s="244"/>
      <c r="H479" s="16" t="s">
        <v>1044</v>
      </c>
      <c r="I479" s="27">
        <v>7.3</v>
      </c>
      <c r="J479" s="149"/>
      <c r="K479" s="27">
        <f>I479*AO479</f>
        <v>0</v>
      </c>
      <c r="L479" s="27">
        <f>I479*AP479</f>
        <v>0</v>
      </c>
      <c r="M479" s="27">
        <f>I479*J479</f>
        <v>0</v>
      </c>
      <c r="N479" s="56">
        <f>IF(M623=0,0,M479/M623)</f>
        <v>0</v>
      </c>
      <c r="O479" s="39" t="s">
        <v>1068</v>
      </c>
      <c r="P479" s="6"/>
      <c r="Z479" s="45">
        <f>IF(AQ479="5",BJ479,0)</f>
        <v>0</v>
      </c>
      <c r="AB479" s="45">
        <f>IF(AQ479="1",BH479,0)</f>
        <v>0</v>
      </c>
      <c r="AC479" s="45">
        <f>IF(AQ479="1",BI479,0)</f>
        <v>0</v>
      </c>
      <c r="AD479" s="45">
        <f>IF(AQ479="7",BH479,0)</f>
        <v>0</v>
      </c>
      <c r="AE479" s="45">
        <f>IF(AQ479="7",BI479,0)</f>
        <v>0</v>
      </c>
      <c r="AF479" s="45">
        <f>IF(AQ479="2",BH479,0)</f>
        <v>0</v>
      </c>
      <c r="AG479" s="45">
        <f>IF(AQ479="2",BI479,0)</f>
        <v>0</v>
      </c>
      <c r="AH479" s="45">
        <f>IF(AQ479="0",BJ479,0)</f>
        <v>0</v>
      </c>
      <c r="AI479" s="44" t="s">
        <v>305</v>
      </c>
      <c r="AJ479" s="27">
        <f>IF(AN479=0,M479,0)</f>
        <v>0</v>
      </c>
      <c r="AK479" s="27">
        <f>IF(AN479=15,M479,0)</f>
        <v>0</v>
      </c>
      <c r="AL479" s="27">
        <f>IF(AN479=21,M479,0)</f>
        <v>0</v>
      </c>
      <c r="AN479" s="45">
        <v>15</v>
      </c>
      <c r="AO479" s="45">
        <f>J479*0.7605</f>
        <v>0</v>
      </c>
      <c r="AP479" s="45">
        <f>J479*(1-0.7605)</f>
        <v>0</v>
      </c>
      <c r="AQ479" s="46" t="s">
        <v>13</v>
      </c>
      <c r="AV479" s="45">
        <f>AW479+AX479</f>
        <v>0</v>
      </c>
      <c r="AW479" s="45">
        <f>I479*AO479</f>
        <v>0</v>
      </c>
      <c r="AX479" s="45">
        <f>I479*AP479</f>
        <v>0</v>
      </c>
      <c r="AY479" s="48" t="s">
        <v>1103</v>
      </c>
      <c r="AZ479" s="48" t="s">
        <v>1127</v>
      </c>
      <c r="BA479" s="44" t="s">
        <v>1139</v>
      </c>
      <c r="BC479" s="45">
        <f>AW479+AX479</f>
        <v>0</v>
      </c>
      <c r="BD479" s="45">
        <f>J479/(100-BE479)*100</f>
        <v>0</v>
      </c>
      <c r="BE479" s="45">
        <v>0</v>
      </c>
      <c r="BF479" s="45">
        <f>479</f>
        <v>479</v>
      </c>
      <c r="BH479" s="27">
        <f>I479*AO479</f>
        <v>0</v>
      </c>
      <c r="BI479" s="27">
        <f>I479*AP479</f>
        <v>0</v>
      </c>
      <c r="BJ479" s="27">
        <f>I479*J479</f>
        <v>0</v>
      </c>
      <c r="BK479" s="27" t="s">
        <v>1146</v>
      </c>
      <c r="BL479" s="45">
        <v>781</v>
      </c>
    </row>
    <row r="480" spans="1:64" x14ac:dyDescent="0.2">
      <c r="A480" s="6"/>
      <c r="D480" s="251" t="s">
        <v>948</v>
      </c>
      <c r="E480" s="252"/>
      <c r="F480" s="252"/>
      <c r="G480" s="252"/>
      <c r="H480" s="252"/>
      <c r="I480" s="252"/>
      <c r="J480" s="252"/>
      <c r="K480" s="252"/>
      <c r="L480" s="252"/>
      <c r="M480" s="252"/>
      <c r="N480" s="252"/>
      <c r="O480" s="253"/>
      <c r="P480" s="6"/>
    </row>
    <row r="481" spans="1:64" x14ac:dyDescent="0.2">
      <c r="A481" s="5" t="s">
        <v>237</v>
      </c>
      <c r="B481" s="16" t="s">
        <v>305</v>
      </c>
      <c r="C481" s="16" t="s">
        <v>551</v>
      </c>
      <c r="D481" s="243" t="s">
        <v>949</v>
      </c>
      <c r="E481" s="244"/>
      <c r="F481" s="244"/>
      <c r="G481" s="244"/>
      <c r="H481" s="16" t="s">
        <v>1043</v>
      </c>
      <c r="I481" s="27">
        <v>2.1800000000000002</v>
      </c>
      <c r="J481" s="149"/>
      <c r="K481" s="27">
        <f>I481*AO481</f>
        <v>0</v>
      </c>
      <c r="L481" s="27">
        <f>I481*AP481</f>
        <v>0</v>
      </c>
      <c r="M481" s="27">
        <f>I481*J481</f>
        <v>0</v>
      </c>
      <c r="N481" s="56">
        <f>IF(M623=0,0,M481/M623)</f>
        <v>0</v>
      </c>
      <c r="O481" s="39" t="s">
        <v>1068</v>
      </c>
      <c r="P481" s="6"/>
      <c r="Z481" s="45">
        <f>IF(AQ481="5",BJ481,0)</f>
        <v>0</v>
      </c>
      <c r="AB481" s="45">
        <f>IF(AQ481="1",BH481,0)</f>
        <v>0</v>
      </c>
      <c r="AC481" s="45">
        <f>IF(AQ481="1",BI481,0)</f>
        <v>0</v>
      </c>
      <c r="AD481" s="45">
        <f>IF(AQ481="7",BH481,0)</f>
        <v>0</v>
      </c>
      <c r="AE481" s="45">
        <f>IF(AQ481="7",BI481,0)</f>
        <v>0</v>
      </c>
      <c r="AF481" s="45">
        <f>IF(AQ481="2",BH481,0)</f>
        <v>0</v>
      </c>
      <c r="AG481" s="45">
        <f>IF(AQ481="2",BI481,0)</f>
        <v>0</v>
      </c>
      <c r="AH481" s="45">
        <f>IF(AQ481="0",BJ481,0)</f>
        <v>0</v>
      </c>
      <c r="AI481" s="44" t="s">
        <v>305</v>
      </c>
      <c r="AJ481" s="27">
        <f>IF(AN481=0,M481,0)</f>
        <v>0</v>
      </c>
      <c r="AK481" s="27">
        <f>IF(AN481=15,M481,0)</f>
        <v>0</v>
      </c>
      <c r="AL481" s="27">
        <f>IF(AN481=21,M481,0)</f>
        <v>0</v>
      </c>
      <c r="AN481" s="45">
        <v>15</v>
      </c>
      <c r="AO481" s="45">
        <f>J481*0</f>
        <v>0</v>
      </c>
      <c r="AP481" s="45">
        <f>J481*(1-0)</f>
        <v>0</v>
      </c>
      <c r="AQ481" s="46" t="s">
        <v>11</v>
      </c>
      <c r="AV481" s="45">
        <f>AW481+AX481</f>
        <v>0</v>
      </c>
      <c r="AW481" s="45">
        <f>I481*AO481</f>
        <v>0</v>
      </c>
      <c r="AX481" s="45">
        <f>I481*AP481</f>
        <v>0</v>
      </c>
      <c r="AY481" s="48" t="s">
        <v>1103</v>
      </c>
      <c r="AZ481" s="48" t="s">
        <v>1127</v>
      </c>
      <c r="BA481" s="44" t="s">
        <v>1139</v>
      </c>
      <c r="BC481" s="45">
        <f>AW481+AX481</f>
        <v>0</v>
      </c>
      <c r="BD481" s="45">
        <f>J481/(100-BE481)*100</f>
        <v>0</v>
      </c>
      <c r="BE481" s="45">
        <v>0</v>
      </c>
      <c r="BF481" s="45">
        <f>481</f>
        <v>481</v>
      </c>
      <c r="BH481" s="27">
        <f>I481*AO481</f>
        <v>0</v>
      </c>
      <c r="BI481" s="27">
        <f>I481*AP481</f>
        <v>0</v>
      </c>
      <c r="BJ481" s="27">
        <f>I481*J481</f>
        <v>0</v>
      </c>
      <c r="BK481" s="27" t="s">
        <v>1146</v>
      </c>
      <c r="BL481" s="45">
        <v>781</v>
      </c>
    </row>
    <row r="482" spans="1:64" x14ac:dyDescent="0.2">
      <c r="A482" s="4"/>
      <c r="B482" s="15" t="s">
        <v>305</v>
      </c>
      <c r="C482" s="15" t="s">
        <v>552</v>
      </c>
      <c r="D482" s="237" t="s">
        <v>950</v>
      </c>
      <c r="E482" s="238"/>
      <c r="F482" s="238"/>
      <c r="G482" s="238"/>
      <c r="H482" s="24" t="s">
        <v>6</v>
      </c>
      <c r="I482" s="24" t="s">
        <v>6</v>
      </c>
      <c r="J482" s="24" t="s">
        <v>6</v>
      </c>
      <c r="K482" s="51">
        <f>SUM(K483:K489)</f>
        <v>0</v>
      </c>
      <c r="L482" s="51">
        <f>SUM(L483:L489)</f>
        <v>0</v>
      </c>
      <c r="M482" s="51">
        <f>SUM(M483:M489)</f>
        <v>0</v>
      </c>
      <c r="N482" s="55">
        <f>IF(M623=0,0,M482/M623)</f>
        <v>0</v>
      </c>
      <c r="O482" s="38"/>
      <c r="P482" s="6"/>
      <c r="AI482" s="44" t="s">
        <v>305</v>
      </c>
      <c r="AS482" s="51">
        <f>SUM(AJ483:AJ489)</f>
        <v>0</v>
      </c>
      <c r="AT482" s="51">
        <f>SUM(AK483:AK489)</f>
        <v>0</v>
      </c>
      <c r="AU482" s="51">
        <f>SUM(AL483:AL489)</f>
        <v>0</v>
      </c>
    </row>
    <row r="483" spans="1:64" x14ac:dyDescent="0.2">
      <c r="A483" s="5" t="s">
        <v>238</v>
      </c>
      <c r="B483" s="16" t="s">
        <v>305</v>
      </c>
      <c r="C483" s="16" t="s">
        <v>553</v>
      </c>
      <c r="D483" s="243" t="s">
        <v>951</v>
      </c>
      <c r="E483" s="244"/>
      <c r="F483" s="244"/>
      <c r="G483" s="244"/>
      <c r="H483" s="16" t="s">
        <v>1042</v>
      </c>
      <c r="I483" s="27">
        <v>230.49</v>
      </c>
      <c r="J483" s="149"/>
      <c r="K483" s="27">
        <f>I483*AO483</f>
        <v>0</v>
      </c>
      <c r="L483" s="27">
        <f>I483*AP483</f>
        <v>0</v>
      </c>
      <c r="M483" s="27">
        <f>I483*J483</f>
        <v>0</v>
      </c>
      <c r="N483" s="56">
        <f>IF(M623=0,0,M483/M623)</f>
        <v>0</v>
      </c>
      <c r="O483" s="39" t="s">
        <v>1068</v>
      </c>
      <c r="P483" s="6"/>
      <c r="Z483" s="45">
        <f>IF(AQ483="5",BJ483,0)</f>
        <v>0</v>
      </c>
      <c r="AB483" s="45">
        <f>IF(AQ483="1",BH483,0)</f>
        <v>0</v>
      </c>
      <c r="AC483" s="45">
        <f>IF(AQ483="1",BI483,0)</f>
        <v>0</v>
      </c>
      <c r="AD483" s="45">
        <f>IF(AQ483="7",BH483,0)</f>
        <v>0</v>
      </c>
      <c r="AE483" s="45">
        <f>IF(AQ483="7",BI483,0)</f>
        <v>0</v>
      </c>
      <c r="AF483" s="45">
        <f>IF(AQ483="2",BH483,0)</f>
        <v>0</v>
      </c>
      <c r="AG483" s="45">
        <f>IF(AQ483="2",BI483,0)</f>
        <v>0</v>
      </c>
      <c r="AH483" s="45">
        <f>IF(AQ483="0",BJ483,0)</f>
        <v>0</v>
      </c>
      <c r="AI483" s="44" t="s">
        <v>305</v>
      </c>
      <c r="AJ483" s="27">
        <f>IF(AN483=0,M483,0)</f>
        <v>0</v>
      </c>
      <c r="AK483" s="27">
        <f>IF(AN483=15,M483,0)</f>
        <v>0</v>
      </c>
      <c r="AL483" s="27">
        <f>IF(AN483=21,M483,0)</f>
        <v>0</v>
      </c>
      <c r="AN483" s="45">
        <v>15</v>
      </c>
      <c r="AO483" s="45">
        <f>J483*0.404519412267011</f>
        <v>0</v>
      </c>
      <c r="AP483" s="45">
        <f>J483*(1-0.404519412267011)</f>
        <v>0</v>
      </c>
      <c r="AQ483" s="46" t="s">
        <v>13</v>
      </c>
      <c r="AV483" s="45">
        <f>AW483+AX483</f>
        <v>0</v>
      </c>
      <c r="AW483" s="45">
        <f>I483*AO483</f>
        <v>0</v>
      </c>
      <c r="AX483" s="45">
        <f>I483*AP483</f>
        <v>0</v>
      </c>
      <c r="AY483" s="48" t="s">
        <v>1104</v>
      </c>
      <c r="AZ483" s="48" t="s">
        <v>1127</v>
      </c>
      <c r="BA483" s="44" t="s">
        <v>1139</v>
      </c>
      <c r="BC483" s="45">
        <f>AW483+AX483</f>
        <v>0</v>
      </c>
      <c r="BD483" s="45">
        <f>J483/(100-BE483)*100</f>
        <v>0</v>
      </c>
      <c r="BE483" s="45">
        <v>0</v>
      </c>
      <c r="BF483" s="45">
        <f>483</f>
        <v>483</v>
      </c>
      <c r="BH483" s="27">
        <f>I483*AO483</f>
        <v>0</v>
      </c>
      <c r="BI483" s="27">
        <f>I483*AP483</f>
        <v>0</v>
      </c>
      <c r="BJ483" s="27">
        <f>I483*J483</f>
        <v>0</v>
      </c>
      <c r="BK483" s="27" t="s">
        <v>1146</v>
      </c>
      <c r="BL483" s="45">
        <v>783</v>
      </c>
    </row>
    <row r="484" spans="1:64" x14ac:dyDescent="0.2">
      <c r="A484" s="6"/>
      <c r="C484" s="21" t="s">
        <v>310</v>
      </c>
      <c r="D484" s="245" t="s">
        <v>894</v>
      </c>
      <c r="E484" s="246"/>
      <c r="F484" s="246"/>
      <c r="G484" s="246"/>
      <c r="H484" s="246"/>
      <c r="I484" s="246"/>
      <c r="J484" s="246"/>
      <c r="K484" s="246"/>
      <c r="L484" s="246"/>
      <c r="M484" s="246"/>
      <c r="N484" s="246"/>
      <c r="O484" s="247"/>
      <c r="P484" s="6"/>
    </row>
    <row r="485" spans="1:64" x14ac:dyDescent="0.2">
      <c r="A485" s="5" t="s">
        <v>239</v>
      </c>
      <c r="B485" s="16" t="s">
        <v>305</v>
      </c>
      <c r="C485" s="16" t="s">
        <v>554</v>
      </c>
      <c r="D485" s="243" t="s">
        <v>952</v>
      </c>
      <c r="E485" s="244"/>
      <c r="F485" s="244"/>
      <c r="G485" s="244"/>
      <c r="H485" s="16" t="s">
        <v>1042</v>
      </c>
      <c r="I485" s="27">
        <v>113.73</v>
      </c>
      <c r="J485" s="149"/>
      <c r="K485" s="27">
        <f>I485*AO485</f>
        <v>0</v>
      </c>
      <c r="L485" s="27">
        <f>I485*AP485</f>
        <v>0</v>
      </c>
      <c r="M485" s="27">
        <f>I485*J485</f>
        <v>0</v>
      </c>
      <c r="N485" s="56">
        <f>IF(M623=0,0,M485/M623)</f>
        <v>0</v>
      </c>
      <c r="O485" s="39" t="s">
        <v>1068</v>
      </c>
      <c r="P485" s="6"/>
      <c r="Z485" s="45">
        <f>IF(AQ485="5",BJ485,0)</f>
        <v>0</v>
      </c>
      <c r="AB485" s="45">
        <f>IF(AQ485="1",BH485,0)</f>
        <v>0</v>
      </c>
      <c r="AC485" s="45">
        <f>IF(AQ485="1",BI485,0)</f>
        <v>0</v>
      </c>
      <c r="AD485" s="45">
        <f>IF(AQ485="7",BH485,0)</f>
        <v>0</v>
      </c>
      <c r="AE485" s="45">
        <f>IF(AQ485="7",BI485,0)</f>
        <v>0</v>
      </c>
      <c r="AF485" s="45">
        <f>IF(AQ485="2",BH485,0)</f>
        <v>0</v>
      </c>
      <c r="AG485" s="45">
        <f>IF(AQ485="2",BI485,0)</f>
        <v>0</v>
      </c>
      <c r="AH485" s="45">
        <f>IF(AQ485="0",BJ485,0)</f>
        <v>0</v>
      </c>
      <c r="AI485" s="44" t="s">
        <v>305</v>
      </c>
      <c r="AJ485" s="27">
        <f>IF(AN485=0,M485,0)</f>
        <v>0</v>
      </c>
      <c r="AK485" s="27">
        <f>IF(AN485=15,M485,0)</f>
        <v>0</v>
      </c>
      <c r="AL485" s="27">
        <f>IF(AN485=21,M485,0)</f>
        <v>0</v>
      </c>
      <c r="AN485" s="45">
        <v>15</v>
      </c>
      <c r="AO485" s="45">
        <f>J485*0.414086021505376</f>
        <v>0</v>
      </c>
      <c r="AP485" s="45">
        <f>J485*(1-0.414086021505376)</f>
        <v>0</v>
      </c>
      <c r="AQ485" s="46" t="s">
        <v>13</v>
      </c>
      <c r="AV485" s="45">
        <f>AW485+AX485</f>
        <v>0</v>
      </c>
      <c r="AW485" s="45">
        <f>I485*AO485</f>
        <v>0</v>
      </c>
      <c r="AX485" s="45">
        <f>I485*AP485</f>
        <v>0</v>
      </c>
      <c r="AY485" s="48" t="s">
        <v>1104</v>
      </c>
      <c r="AZ485" s="48" t="s">
        <v>1127</v>
      </c>
      <c r="BA485" s="44" t="s">
        <v>1139</v>
      </c>
      <c r="BC485" s="45">
        <f>AW485+AX485</f>
        <v>0</v>
      </c>
      <c r="BD485" s="45">
        <f>J485/(100-BE485)*100</f>
        <v>0</v>
      </c>
      <c r="BE485" s="45">
        <v>0</v>
      </c>
      <c r="BF485" s="45">
        <f>485</f>
        <v>485</v>
      </c>
      <c r="BH485" s="27">
        <f>I485*AO485</f>
        <v>0</v>
      </c>
      <c r="BI485" s="27">
        <f>I485*AP485</f>
        <v>0</v>
      </c>
      <c r="BJ485" s="27">
        <f>I485*J485</f>
        <v>0</v>
      </c>
      <c r="BK485" s="27" t="s">
        <v>1146</v>
      </c>
      <c r="BL485" s="45">
        <v>783</v>
      </c>
    </row>
    <row r="486" spans="1:64" x14ac:dyDescent="0.2">
      <c r="A486" s="6"/>
      <c r="C486" s="21" t="s">
        <v>310</v>
      </c>
      <c r="D486" s="245" t="s">
        <v>665</v>
      </c>
      <c r="E486" s="246"/>
      <c r="F486" s="246"/>
      <c r="G486" s="246"/>
      <c r="H486" s="246"/>
      <c r="I486" s="246"/>
      <c r="J486" s="246"/>
      <c r="K486" s="246"/>
      <c r="L486" s="246"/>
      <c r="M486" s="246"/>
      <c r="N486" s="246"/>
      <c r="O486" s="247"/>
      <c r="P486" s="6"/>
    </row>
    <row r="487" spans="1:64" x14ac:dyDescent="0.2">
      <c r="A487" s="5" t="s">
        <v>240</v>
      </c>
      <c r="B487" s="16" t="s">
        <v>305</v>
      </c>
      <c r="C487" s="16" t="s">
        <v>555</v>
      </c>
      <c r="D487" s="243" t="s">
        <v>953</v>
      </c>
      <c r="E487" s="244"/>
      <c r="F487" s="244"/>
      <c r="G487" s="244"/>
      <c r="H487" s="16" t="s">
        <v>1042</v>
      </c>
      <c r="I487" s="27">
        <v>18.260000000000002</v>
      </c>
      <c r="J487" s="149"/>
      <c r="K487" s="27">
        <f>I487*AO487</f>
        <v>0</v>
      </c>
      <c r="L487" s="27">
        <f>I487*AP487</f>
        <v>0</v>
      </c>
      <c r="M487" s="27">
        <f>I487*J487</f>
        <v>0</v>
      </c>
      <c r="N487" s="56">
        <f>IF(M623=0,0,M487/M623)</f>
        <v>0</v>
      </c>
      <c r="O487" s="39" t="s">
        <v>1068</v>
      </c>
      <c r="P487" s="6"/>
      <c r="Z487" s="45">
        <f>IF(AQ487="5",BJ487,0)</f>
        <v>0</v>
      </c>
      <c r="AB487" s="45">
        <f>IF(AQ487="1",BH487,0)</f>
        <v>0</v>
      </c>
      <c r="AC487" s="45">
        <f>IF(AQ487="1",BI487,0)</f>
        <v>0</v>
      </c>
      <c r="AD487" s="45">
        <f>IF(AQ487="7",BH487,0)</f>
        <v>0</v>
      </c>
      <c r="AE487" s="45">
        <f>IF(AQ487="7",BI487,0)</f>
        <v>0</v>
      </c>
      <c r="AF487" s="45">
        <f>IF(AQ487="2",BH487,0)</f>
        <v>0</v>
      </c>
      <c r="AG487" s="45">
        <f>IF(AQ487="2",BI487,0)</f>
        <v>0</v>
      </c>
      <c r="AH487" s="45">
        <f>IF(AQ487="0",BJ487,0)</f>
        <v>0</v>
      </c>
      <c r="AI487" s="44" t="s">
        <v>305</v>
      </c>
      <c r="AJ487" s="27">
        <f>IF(AN487=0,M487,0)</f>
        <v>0</v>
      </c>
      <c r="AK487" s="27">
        <f>IF(AN487=15,M487,0)</f>
        <v>0</v>
      </c>
      <c r="AL487" s="27">
        <f>IF(AN487=21,M487,0)</f>
        <v>0</v>
      </c>
      <c r="AN487" s="45">
        <v>15</v>
      </c>
      <c r="AO487" s="45">
        <f>J487*0.195187969924812</f>
        <v>0</v>
      </c>
      <c r="AP487" s="45">
        <f>J487*(1-0.195187969924812)</f>
        <v>0</v>
      </c>
      <c r="AQ487" s="46" t="s">
        <v>13</v>
      </c>
      <c r="AV487" s="45">
        <f>AW487+AX487</f>
        <v>0</v>
      </c>
      <c r="AW487" s="45">
        <f>I487*AO487</f>
        <v>0</v>
      </c>
      <c r="AX487" s="45">
        <f>I487*AP487</f>
        <v>0</v>
      </c>
      <c r="AY487" s="48" t="s">
        <v>1104</v>
      </c>
      <c r="AZ487" s="48" t="s">
        <v>1127</v>
      </c>
      <c r="BA487" s="44" t="s">
        <v>1139</v>
      </c>
      <c r="BC487" s="45">
        <f>AW487+AX487</f>
        <v>0</v>
      </c>
      <c r="BD487" s="45">
        <f>J487/(100-BE487)*100</f>
        <v>0</v>
      </c>
      <c r="BE487" s="45">
        <v>0</v>
      </c>
      <c r="BF487" s="45">
        <f>487</f>
        <v>487</v>
      </c>
      <c r="BH487" s="27">
        <f>I487*AO487</f>
        <v>0</v>
      </c>
      <c r="BI487" s="27">
        <f>I487*AP487</f>
        <v>0</v>
      </c>
      <c r="BJ487" s="27">
        <f>I487*J487</f>
        <v>0</v>
      </c>
      <c r="BK487" s="27" t="s">
        <v>1146</v>
      </c>
      <c r="BL487" s="45">
        <v>783</v>
      </c>
    </row>
    <row r="488" spans="1:64" x14ac:dyDescent="0.2">
      <c r="A488" s="6"/>
      <c r="C488" s="21" t="s">
        <v>310</v>
      </c>
      <c r="D488" s="245" t="s">
        <v>758</v>
      </c>
      <c r="E488" s="246"/>
      <c r="F488" s="246"/>
      <c r="G488" s="246"/>
      <c r="H488" s="246"/>
      <c r="I488" s="246"/>
      <c r="J488" s="246"/>
      <c r="K488" s="246"/>
      <c r="L488" s="246"/>
      <c r="M488" s="246"/>
      <c r="N488" s="246"/>
      <c r="O488" s="247"/>
      <c r="P488" s="6"/>
    </row>
    <row r="489" spans="1:64" x14ac:dyDescent="0.2">
      <c r="A489" s="5" t="s">
        <v>241</v>
      </c>
      <c r="B489" s="16" t="s">
        <v>305</v>
      </c>
      <c r="C489" s="16" t="s">
        <v>556</v>
      </c>
      <c r="D489" s="243" t="s">
        <v>954</v>
      </c>
      <c r="E489" s="244"/>
      <c r="F489" s="244"/>
      <c r="G489" s="244"/>
      <c r="H489" s="16" t="s">
        <v>1042</v>
      </c>
      <c r="I489" s="27">
        <v>26.04</v>
      </c>
      <c r="J489" s="149"/>
      <c r="K489" s="27">
        <f>I489*AO489</f>
        <v>0</v>
      </c>
      <c r="L489" s="27">
        <f>I489*AP489</f>
        <v>0</v>
      </c>
      <c r="M489" s="27">
        <f>I489*J489</f>
        <v>0</v>
      </c>
      <c r="N489" s="56">
        <f>IF(M623=0,0,M489/M623)</f>
        <v>0</v>
      </c>
      <c r="O489" s="39" t="s">
        <v>1068</v>
      </c>
      <c r="P489" s="6"/>
      <c r="Z489" s="45">
        <f>IF(AQ489="5",BJ489,0)</f>
        <v>0</v>
      </c>
      <c r="AB489" s="45">
        <f>IF(AQ489="1",BH489,0)</f>
        <v>0</v>
      </c>
      <c r="AC489" s="45">
        <f>IF(AQ489="1",BI489,0)</f>
        <v>0</v>
      </c>
      <c r="AD489" s="45">
        <f>IF(AQ489="7",BH489,0)</f>
        <v>0</v>
      </c>
      <c r="AE489" s="45">
        <f>IF(AQ489="7",BI489,0)</f>
        <v>0</v>
      </c>
      <c r="AF489" s="45">
        <f>IF(AQ489="2",BH489,0)</f>
        <v>0</v>
      </c>
      <c r="AG489" s="45">
        <f>IF(AQ489="2",BI489,0)</f>
        <v>0</v>
      </c>
      <c r="AH489" s="45">
        <f>IF(AQ489="0",BJ489,0)</f>
        <v>0</v>
      </c>
      <c r="AI489" s="44" t="s">
        <v>305</v>
      </c>
      <c r="AJ489" s="27">
        <f>IF(AN489=0,M489,0)</f>
        <v>0</v>
      </c>
      <c r="AK489" s="27">
        <f>IF(AN489=15,M489,0)</f>
        <v>0</v>
      </c>
      <c r="AL489" s="27">
        <f>IF(AN489=21,M489,0)</f>
        <v>0</v>
      </c>
      <c r="AN489" s="45">
        <v>15</v>
      </c>
      <c r="AO489" s="45">
        <f>J489*0.165049833887043</f>
        <v>0</v>
      </c>
      <c r="AP489" s="45">
        <f>J489*(1-0.165049833887043)</f>
        <v>0</v>
      </c>
      <c r="AQ489" s="46" t="s">
        <v>13</v>
      </c>
      <c r="AV489" s="45">
        <f>AW489+AX489</f>
        <v>0</v>
      </c>
      <c r="AW489" s="45">
        <f>I489*AO489</f>
        <v>0</v>
      </c>
      <c r="AX489" s="45">
        <f>I489*AP489</f>
        <v>0</v>
      </c>
      <c r="AY489" s="48" t="s">
        <v>1104</v>
      </c>
      <c r="AZ489" s="48" t="s">
        <v>1127</v>
      </c>
      <c r="BA489" s="44" t="s">
        <v>1139</v>
      </c>
      <c r="BC489" s="45">
        <f>AW489+AX489</f>
        <v>0</v>
      </c>
      <c r="BD489" s="45">
        <f>J489/(100-BE489)*100</f>
        <v>0</v>
      </c>
      <c r="BE489" s="45">
        <v>0</v>
      </c>
      <c r="BF489" s="45">
        <f>489</f>
        <v>489</v>
      </c>
      <c r="BH489" s="27">
        <f>I489*AO489</f>
        <v>0</v>
      </c>
      <c r="BI489" s="27">
        <f>I489*AP489</f>
        <v>0</v>
      </c>
      <c r="BJ489" s="27">
        <f>I489*J489</f>
        <v>0</v>
      </c>
      <c r="BK489" s="27" t="s">
        <v>1146</v>
      </c>
      <c r="BL489" s="45">
        <v>783</v>
      </c>
    </row>
    <row r="490" spans="1:64" x14ac:dyDescent="0.2">
      <c r="A490" s="4"/>
      <c r="B490" s="15" t="s">
        <v>305</v>
      </c>
      <c r="C490" s="15" t="s">
        <v>557</v>
      </c>
      <c r="D490" s="237" t="s">
        <v>955</v>
      </c>
      <c r="E490" s="238"/>
      <c r="F490" s="238"/>
      <c r="G490" s="238"/>
      <c r="H490" s="24" t="s">
        <v>6</v>
      </c>
      <c r="I490" s="24" t="s">
        <v>6</v>
      </c>
      <c r="J490" s="24" t="s">
        <v>6</v>
      </c>
      <c r="K490" s="51">
        <f>SUM(K491:K493)</f>
        <v>0</v>
      </c>
      <c r="L490" s="51">
        <f>SUM(L491:L493)</f>
        <v>0</v>
      </c>
      <c r="M490" s="51">
        <f>SUM(M491:M493)</f>
        <v>0</v>
      </c>
      <c r="N490" s="55">
        <f>IF(M623=0,0,M490/M623)</f>
        <v>0</v>
      </c>
      <c r="O490" s="38"/>
      <c r="P490" s="6"/>
      <c r="AI490" s="44" t="s">
        <v>305</v>
      </c>
      <c r="AS490" s="51">
        <f>SUM(AJ491:AJ493)</f>
        <v>0</v>
      </c>
      <c r="AT490" s="51">
        <f>SUM(AK491:AK493)</f>
        <v>0</v>
      </c>
      <c r="AU490" s="51">
        <f>SUM(AL491:AL493)</f>
        <v>0</v>
      </c>
    </row>
    <row r="491" spans="1:64" x14ac:dyDescent="0.2">
      <c r="A491" s="5" t="s">
        <v>242</v>
      </c>
      <c r="B491" s="16" t="s">
        <v>305</v>
      </c>
      <c r="C491" s="16" t="s">
        <v>558</v>
      </c>
      <c r="D491" s="243" t="s">
        <v>956</v>
      </c>
      <c r="E491" s="244"/>
      <c r="F491" s="244"/>
      <c r="G491" s="244"/>
      <c r="H491" s="16" t="s">
        <v>1042</v>
      </c>
      <c r="I491" s="27">
        <v>398.37</v>
      </c>
      <c r="J491" s="149"/>
      <c r="K491" s="27">
        <f>I491*AO491</f>
        <v>0</v>
      </c>
      <c r="L491" s="27">
        <f>I491*AP491</f>
        <v>0</v>
      </c>
      <c r="M491" s="27">
        <f>I491*J491</f>
        <v>0</v>
      </c>
      <c r="N491" s="56">
        <f>IF(M623=0,0,M491/M623)</f>
        <v>0</v>
      </c>
      <c r="O491" s="39" t="s">
        <v>1068</v>
      </c>
      <c r="P491" s="6"/>
      <c r="Z491" s="45">
        <f>IF(AQ491="5",BJ491,0)</f>
        <v>0</v>
      </c>
      <c r="AB491" s="45">
        <f>IF(AQ491="1",BH491,0)</f>
        <v>0</v>
      </c>
      <c r="AC491" s="45">
        <f>IF(AQ491="1",BI491,0)</f>
        <v>0</v>
      </c>
      <c r="AD491" s="45">
        <f>IF(AQ491="7",BH491,0)</f>
        <v>0</v>
      </c>
      <c r="AE491" s="45">
        <f>IF(AQ491="7",BI491,0)</f>
        <v>0</v>
      </c>
      <c r="AF491" s="45">
        <f>IF(AQ491="2",BH491,0)</f>
        <v>0</v>
      </c>
      <c r="AG491" s="45">
        <f>IF(AQ491="2",BI491,0)</f>
        <v>0</v>
      </c>
      <c r="AH491" s="45">
        <f>IF(AQ491="0",BJ491,0)</f>
        <v>0</v>
      </c>
      <c r="AI491" s="44" t="s">
        <v>305</v>
      </c>
      <c r="AJ491" s="27">
        <f>IF(AN491=0,M491,0)</f>
        <v>0</v>
      </c>
      <c r="AK491" s="27">
        <f>IF(AN491=15,M491,0)</f>
        <v>0</v>
      </c>
      <c r="AL491" s="27">
        <f>IF(AN491=21,M491,0)</f>
        <v>0</v>
      </c>
      <c r="AN491" s="45">
        <v>15</v>
      </c>
      <c r="AO491" s="45">
        <f>J491*0.275000119019539</f>
        <v>0</v>
      </c>
      <c r="AP491" s="45">
        <f>J491*(1-0.275000119019539)</f>
        <v>0</v>
      </c>
      <c r="AQ491" s="46" t="s">
        <v>13</v>
      </c>
      <c r="AV491" s="45">
        <f>AW491+AX491</f>
        <v>0</v>
      </c>
      <c r="AW491" s="45">
        <f>I491*AO491</f>
        <v>0</v>
      </c>
      <c r="AX491" s="45">
        <f>I491*AP491</f>
        <v>0</v>
      </c>
      <c r="AY491" s="48" t="s">
        <v>1105</v>
      </c>
      <c r="AZ491" s="48" t="s">
        <v>1127</v>
      </c>
      <c r="BA491" s="44" t="s">
        <v>1139</v>
      </c>
      <c r="BC491" s="45">
        <f>AW491+AX491</f>
        <v>0</v>
      </c>
      <c r="BD491" s="45">
        <f>J491/(100-BE491)*100</f>
        <v>0</v>
      </c>
      <c r="BE491" s="45">
        <v>0</v>
      </c>
      <c r="BF491" s="45">
        <f>491</f>
        <v>491</v>
      </c>
      <c r="BH491" s="27">
        <f>I491*AO491</f>
        <v>0</v>
      </c>
      <c r="BI491" s="27">
        <f>I491*AP491</f>
        <v>0</v>
      </c>
      <c r="BJ491" s="27">
        <f>I491*J491</f>
        <v>0</v>
      </c>
      <c r="BK491" s="27" t="s">
        <v>1146</v>
      </c>
      <c r="BL491" s="45">
        <v>784</v>
      </c>
    </row>
    <row r="492" spans="1:64" x14ac:dyDescent="0.2">
      <c r="A492" s="6"/>
      <c r="C492" s="21" t="s">
        <v>310</v>
      </c>
      <c r="D492" s="245" t="s">
        <v>753</v>
      </c>
      <c r="E492" s="246"/>
      <c r="F492" s="246"/>
      <c r="G492" s="246"/>
      <c r="H492" s="246"/>
      <c r="I492" s="246"/>
      <c r="J492" s="246"/>
      <c r="K492" s="246"/>
      <c r="L492" s="246"/>
      <c r="M492" s="246"/>
      <c r="N492" s="246"/>
      <c r="O492" s="247"/>
      <c r="P492" s="6"/>
    </row>
    <row r="493" spans="1:64" x14ac:dyDescent="0.2">
      <c r="A493" s="5" t="s">
        <v>243</v>
      </c>
      <c r="B493" s="16" t="s">
        <v>305</v>
      </c>
      <c r="C493" s="16" t="s">
        <v>559</v>
      </c>
      <c r="D493" s="243" t="s">
        <v>957</v>
      </c>
      <c r="E493" s="244"/>
      <c r="F493" s="244"/>
      <c r="G493" s="244"/>
      <c r="H493" s="16" t="s">
        <v>1042</v>
      </c>
      <c r="I493" s="27">
        <v>398.37</v>
      </c>
      <c r="J493" s="149"/>
      <c r="K493" s="27">
        <f>I493*AO493</f>
        <v>0</v>
      </c>
      <c r="L493" s="27">
        <f>I493*AP493</f>
        <v>0</v>
      </c>
      <c r="M493" s="27">
        <f>I493*J493</f>
        <v>0</v>
      </c>
      <c r="N493" s="56">
        <f>IF(M623=0,0,M493/M623)</f>
        <v>0</v>
      </c>
      <c r="O493" s="39" t="s">
        <v>1068</v>
      </c>
      <c r="P493" s="6"/>
      <c r="Z493" s="45">
        <f>IF(AQ493="5",BJ493,0)</f>
        <v>0</v>
      </c>
      <c r="AB493" s="45">
        <f>IF(AQ493="1",BH493,0)</f>
        <v>0</v>
      </c>
      <c r="AC493" s="45">
        <f>IF(AQ493="1",BI493,0)</f>
        <v>0</v>
      </c>
      <c r="AD493" s="45">
        <f>IF(AQ493="7",BH493,0)</f>
        <v>0</v>
      </c>
      <c r="AE493" s="45">
        <f>IF(AQ493="7",BI493,0)</f>
        <v>0</v>
      </c>
      <c r="AF493" s="45">
        <f>IF(AQ493="2",BH493,0)</f>
        <v>0</v>
      </c>
      <c r="AG493" s="45">
        <f>IF(AQ493="2",BI493,0)</f>
        <v>0</v>
      </c>
      <c r="AH493" s="45">
        <f>IF(AQ493="0",BJ493,0)</f>
        <v>0</v>
      </c>
      <c r="AI493" s="44" t="s">
        <v>305</v>
      </c>
      <c r="AJ493" s="27">
        <f>IF(AN493=0,M493,0)</f>
        <v>0</v>
      </c>
      <c r="AK493" s="27">
        <f>IF(AN493=15,M493,0)</f>
        <v>0</v>
      </c>
      <c r="AL493" s="27">
        <f>IF(AN493=21,M493,0)</f>
        <v>0</v>
      </c>
      <c r="AN493" s="45">
        <v>15</v>
      </c>
      <c r="AO493" s="45">
        <f>J493*0.093429479662519</f>
        <v>0</v>
      </c>
      <c r="AP493" s="45">
        <f>J493*(1-0.093429479662519)</f>
        <v>0</v>
      </c>
      <c r="AQ493" s="46" t="s">
        <v>13</v>
      </c>
      <c r="AV493" s="45">
        <f>AW493+AX493</f>
        <v>0</v>
      </c>
      <c r="AW493" s="45">
        <f>I493*AO493</f>
        <v>0</v>
      </c>
      <c r="AX493" s="45">
        <f>I493*AP493</f>
        <v>0</v>
      </c>
      <c r="AY493" s="48" t="s">
        <v>1105</v>
      </c>
      <c r="AZ493" s="48" t="s">
        <v>1127</v>
      </c>
      <c r="BA493" s="44" t="s">
        <v>1139</v>
      </c>
      <c r="BC493" s="45">
        <f>AW493+AX493</f>
        <v>0</v>
      </c>
      <c r="BD493" s="45">
        <f>J493/(100-BE493)*100</f>
        <v>0</v>
      </c>
      <c r="BE493" s="45">
        <v>0</v>
      </c>
      <c r="BF493" s="45">
        <f>493</f>
        <v>493</v>
      </c>
      <c r="BH493" s="27">
        <f>I493*AO493</f>
        <v>0</v>
      </c>
      <c r="BI493" s="27">
        <f>I493*AP493</f>
        <v>0</v>
      </c>
      <c r="BJ493" s="27">
        <f>I493*J493</f>
        <v>0</v>
      </c>
      <c r="BK493" s="27" t="s">
        <v>1146</v>
      </c>
      <c r="BL493" s="45">
        <v>784</v>
      </c>
    </row>
    <row r="494" spans="1:64" x14ac:dyDescent="0.2">
      <c r="A494" s="4"/>
      <c r="B494" s="15" t="s">
        <v>305</v>
      </c>
      <c r="C494" s="15" t="s">
        <v>560</v>
      </c>
      <c r="D494" s="237" t="s">
        <v>958</v>
      </c>
      <c r="E494" s="238"/>
      <c r="F494" s="238"/>
      <c r="G494" s="238"/>
      <c r="H494" s="24" t="s">
        <v>6</v>
      </c>
      <c r="I494" s="24" t="s">
        <v>6</v>
      </c>
      <c r="J494" s="24" t="s">
        <v>6</v>
      </c>
      <c r="K494" s="51">
        <f>SUM(K495:K498)</f>
        <v>0</v>
      </c>
      <c r="L494" s="51">
        <f>SUM(L495:L498)</f>
        <v>0</v>
      </c>
      <c r="M494" s="51">
        <f>SUM(M495:M498)</f>
        <v>0</v>
      </c>
      <c r="N494" s="55">
        <f>IF(M623=0,0,M494/M623)</f>
        <v>0</v>
      </c>
      <c r="O494" s="38"/>
      <c r="P494" s="6"/>
      <c r="AI494" s="44" t="s">
        <v>305</v>
      </c>
      <c r="AS494" s="51">
        <f>SUM(AJ495:AJ498)</f>
        <v>0</v>
      </c>
      <c r="AT494" s="51">
        <f>SUM(AK495:AK498)</f>
        <v>0</v>
      </c>
      <c r="AU494" s="51">
        <f>SUM(AL495:AL498)</f>
        <v>0</v>
      </c>
    </row>
    <row r="495" spans="1:64" x14ac:dyDescent="0.2">
      <c r="A495" s="5" t="s">
        <v>244</v>
      </c>
      <c r="B495" s="16" t="s">
        <v>305</v>
      </c>
      <c r="C495" s="16" t="s">
        <v>561</v>
      </c>
      <c r="D495" s="243" t="s">
        <v>959</v>
      </c>
      <c r="E495" s="244"/>
      <c r="F495" s="244"/>
      <c r="G495" s="244"/>
      <c r="H495" s="16" t="s">
        <v>1042</v>
      </c>
      <c r="I495" s="27">
        <v>74.09</v>
      </c>
      <c r="J495" s="149"/>
      <c r="K495" s="27">
        <f>I495*AO495</f>
        <v>0</v>
      </c>
      <c r="L495" s="27">
        <f>I495*AP495</f>
        <v>0</v>
      </c>
      <c r="M495" s="27">
        <f>I495*J495</f>
        <v>0</v>
      </c>
      <c r="N495" s="56">
        <f>IF(M623=0,0,M495/M623)</f>
        <v>0</v>
      </c>
      <c r="O495" s="39" t="s">
        <v>1069</v>
      </c>
      <c r="P495" s="6"/>
      <c r="Z495" s="45">
        <f>IF(AQ495="5",BJ495,0)</f>
        <v>0</v>
      </c>
      <c r="AB495" s="45">
        <f>IF(AQ495="1",BH495,0)</f>
        <v>0</v>
      </c>
      <c r="AC495" s="45">
        <f>IF(AQ495="1",BI495,0)</f>
        <v>0</v>
      </c>
      <c r="AD495" s="45">
        <f>IF(AQ495="7",BH495,0)</f>
        <v>0</v>
      </c>
      <c r="AE495" s="45">
        <f>IF(AQ495="7",BI495,0)</f>
        <v>0</v>
      </c>
      <c r="AF495" s="45">
        <f>IF(AQ495="2",BH495,0)</f>
        <v>0</v>
      </c>
      <c r="AG495" s="45">
        <f>IF(AQ495="2",BI495,0)</f>
        <v>0</v>
      </c>
      <c r="AH495" s="45">
        <f>IF(AQ495="0",BJ495,0)</f>
        <v>0</v>
      </c>
      <c r="AI495" s="44" t="s">
        <v>305</v>
      </c>
      <c r="AJ495" s="27">
        <f>IF(AN495=0,M495,0)</f>
        <v>0</v>
      </c>
      <c r="AK495" s="27">
        <f>IF(AN495=15,M495,0)</f>
        <v>0</v>
      </c>
      <c r="AL495" s="27">
        <f>IF(AN495=21,M495,0)</f>
        <v>0</v>
      </c>
      <c r="AN495" s="45">
        <v>15</v>
      </c>
      <c r="AO495" s="45">
        <f>J495*0.656198126217568</f>
        <v>0</v>
      </c>
      <c r="AP495" s="45">
        <f>J495*(1-0.656198126217568)</f>
        <v>0</v>
      </c>
      <c r="AQ495" s="46" t="s">
        <v>13</v>
      </c>
      <c r="AV495" s="45">
        <f>AW495+AX495</f>
        <v>0</v>
      </c>
      <c r="AW495" s="45">
        <f>I495*AO495</f>
        <v>0</v>
      </c>
      <c r="AX495" s="45">
        <f>I495*AP495</f>
        <v>0</v>
      </c>
      <c r="AY495" s="48" t="s">
        <v>1106</v>
      </c>
      <c r="AZ495" s="48" t="s">
        <v>1127</v>
      </c>
      <c r="BA495" s="44" t="s">
        <v>1139</v>
      </c>
      <c r="BC495" s="45">
        <f>AW495+AX495</f>
        <v>0</v>
      </c>
      <c r="BD495" s="45">
        <f>J495/(100-BE495)*100</f>
        <v>0</v>
      </c>
      <c r="BE495" s="45">
        <v>0</v>
      </c>
      <c r="BF495" s="45">
        <f>495</f>
        <v>495</v>
      </c>
      <c r="BH495" s="27">
        <f>I495*AO495</f>
        <v>0</v>
      </c>
      <c r="BI495" s="27">
        <f>I495*AP495</f>
        <v>0</v>
      </c>
      <c r="BJ495" s="27">
        <f>I495*J495</f>
        <v>0</v>
      </c>
      <c r="BK495" s="27" t="s">
        <v>1146</v>
      </c>
      <c r="BL495" s="45">
        <v>786</v>
      </c>
    </row>
    <row r="496" spans="1:64" x14ac:dyDescent="0.2">
      <c r="A496" s="6"/>
      <c r="C496" s="20" t="s">
        <v>302</v>
      </c>
      <c r="D496" s="248" t="s">
        <v>960</v>
      </c>
      <c r="E496" s="249"/>
      <c r="F496" s="249"/>
      <c r="G496" s="249"/>
      <c r="H496" s="249"/>
      <c r="I496" s="249"/>
      <c r="J496" s="249"/>
      <c r="K496" s="249"/>
      <c r="L496" s="249"/>
      <c r="M496" s="249"/>
      <c r="N496" s="249"/>
      <c r="O496" s="250"/>
      <c r="P496" s="6"/>
    </row>
    <row r="497" spans="1:64" x14ac:dyDescent="0.2">
      <c r="A497" s="6"/>
      <c r="C497" s="21" t="s">
        <v>310</v>
      </c>
      <c r="D497" s="245" t="s">
        <v>753</v>
      </c>
      <c r="E497" s="246"/>
      <c r="F497" s="246"/>
      <c r="G497" s="246"/>
      <c r="H497" s="246"/>
      <c r="I497" s="246"/>
      <c r="J497" s="246"/>
      <c r="K497" s="246"/>
      <c r="L497" s="246"/>
      <c r="M497" s="246"/>
      <c r="N497" s="246"/>
      <c r="O497" s="247"/>
      <c r="P497" s="6"/>
    </row>
    <row r="498" spans="1:64" x14ac:dyDescent="0.2">
      <c r="A498" s="5" t="s">
        <v>245</v>
      </c>
      <c r="B498" s="16" t="s">
        <v>305</v>
      </c>
      <c r="C498" s="16" t="s">
        <v>562</v>
      </c>
      <c r="D498" s="243" t="s">
        <v>961</v>
      </c>
      <c r="E498" s="244"/>
      <c r="F498" s="244"/>
      <c r="G498" s="244"/>
      <c r="H498" s="16" t="s">
        <v>1043</v>
      </c>
      <c r="I498" s="27">
        <v>0.33</v>
      </c>
      <c r="J498" s="149"/>
      <c r="K498" s="27">
        <f>I498*AO498</f>
        <v>0</v>
      </c>
      <c r="L498" s="27">
        <f>I498*AP498</f>
        <v>0</v>
      </c>
      <c r="M498" s="27">
        <f>I498*J498</f>
        <v>0</v>
      </c>
      <c r="N498" s="56">
        <f>IF(M623=0,0,M498/M623)</f>
        <v>0</v>
      </c>
      <c r="O498" s="39" t="s">
        <v>1068</v>
      </c>
      <c r="P498" s="6"/>
      <c r="Z498" s="45">
        <f>IF(AQ498="5",BJ498,0)</f>
        <v>0</v>
      </c>
      <c r="AB498" s="45">
        <f>IF(AQ498="1",BH498,0)</f>
        <v>0</v>
      </c>
      <c r="AC498" s="45">
        <f>IF(AQ498="1",BI498,0)</f>
        <v>0</v>
      </c>
      <c r="AD498" s="45">
        <f>IF(AQ498="7",BH498,0)</f>
        <v>0</v>
      </c>
      <c r="AE498" s="45">
        <f>IF(AQ498="7",BI498,0)</f>
        <v>0</v>
      </c>
      <c r="AF498" s="45">
        <f>IF(AQ498="2",BH498,0)</f>
        <v>0</v>
      </c>
      <c r="AG498" s="45">
        <f>IF(AQ498="2",BI498,0)</f>
        <v>0</v>
      </c>
      <c r="AH498" s="45">
        <f>IF(AQ498="0",BJ498,0)</f>
        <v>0</v>
      </c>
      <c r="AI498" s="44" t="s">
        <v>305</v>
      </c>
      <c r="AJ498" s="27">
        <f>IF(AN498=0,M498,0)</f>
        <v>0</v>
      </c>
      <c r="AK498" s="27">
        <f>IF(AN498=15,M498,0)</f>
        <v>0</v>
      </c>
      <c r="AL498" s="27">
        <f>IF(AN498=21,M498,0)</f>
        <v>0</v>
      </c>
      <c r="AN498" s="45">
        <v>15</v>
      </c>
      <c r="AO498" s="45">
        <f>J498*0</f>
        <v>0</v>
      </c>
      <c r="AP498" s="45">
        <f>J498*(1-0)</f>
        <v>0</v>
      </c>
      <c r="AQ498" s="46" t="s">
        <v>11</v>
      </c>
      <c r="AV498" s="45">
        <f>AW498+AX498</f>
        <v>0</v>
      </c>
      <c r="AW498" s="45">
        <f>I498*AO498</f>
        <v>0</v>
      </c>
      <c r="AX498" s="45">
        <f>I498*AP498</f>
        <v>0</v>
      </c>
      <c r="AY498" s="48" t="s">
        <v>1106</v>
      </c>
      <c r="AZ498" s="48" t="s">
        <v>1127</v>
      </c>
      <c r="BA498" s="44" t="s">
        <v>1139</v>
      </c>
      <c r="BC498" s="45">
        <f>AW498+AX498</f>
        <v>0</v>
      </c>
      <c r="BD498" s="45">
        <f>J498/(100-BE498)*100</f>
        <v>0</v>
      </c>
      <c r="BE498" s="45">
        <v>0</v>
      </c>
      <c r="BF498" s="45">
        <f>498</f>
        <v>498</v>
      </c>
      <c r="BH498" s="27">
        <f>I498*AO498</f>
        <v>0</v>
      </c>
      <c r="BI498" s="27">
        <f>I498*AP498</f>
        <v>0</v>
      </c>
      <c r="BJ498" s="27">
        <f>I498*J498</f>
        <v>0</v>
      </c>
      <c r="BK498" s="27" t="s">
        <v>1146</v>
      </c>
      <c r="BL498" s="45">
        <v>786</v>
      </c>
    </row>
    <row r="499" spans="1:64" x14ac:dyDescent="0.2">
      <c r="A499" s="4"/>
      <c r="B499" s="15" t="s">
        <v>305</v>
      </c>
      <c r="C499" s="15" t="s">
        <v>100</v>
      </c>
      <c r="D499" s="237" t="s">
        <v>962</v>
      </c>
      <c r="E499" s="238"/>
      <c r="F499" s="238"/>
      <c r="G499" s="238"/>
      <c r="H499" s="24" t="s">
        <v>6</v>
      </c>
      <c r="I499" s="24" t="s">
        <v>6</v>
      </c>
      <c r="J499" s="24" t="s">
        <v>6</v>
      </c>
      <c r="K499" s="51">
        <f>SUM(K500:K507)</f>
        <v>0</v>
      </c>
      <c r="L499" s="51">
        <f>SUM(L500:L507)</f>
        <v>0</v>
      </c>
      <c r="M499" s="51">
        <f>SUM(M500:M507)</f>
        <v>0</v>
      </c>
      <c r="N499" s="55">
        <f>IF(M623=0,0,M499/M623)</f>
        <v>0</v>
      </c>
      <c r="O499" s="38"/>
      <c r="P499" s="6"/>
      <c r="AI499" s="44" t="s">
        <v>305</v>
      </c>
      <c r="AS499" s="51">
        <f>SUM(AJ500:AJ507)</f>
        <v>0</v>
      </c>
      <c r="AT499" s="51">
        <f>SUM(AK500:AK507)</f>
        <v>0</v>
      </c>
      <c r="AU499" s="51">
        <f>SUM(AL500:AL507)</f>
        <v>0</v>
      </c>
    </row>
    <row r="500" spans="1:64" x14ac:dyDescent="0.2">
      <c r="A500" s="5" t="s">
        <v>246</v>
      </c>
      <c r="B500" s="16" t="s">
        <v>305</v>
      </c>
      <c r="C500" s="16" t="s">
        <v>563</v>
      </c>
      <c r="D500" s="243" t="s">
        <v>963</v>
      </c>
      <c r="E500" s="244"/>
      <c r="F500" s="244"/>
      <c r="G500" s="244"/>
      <c r="H500" s="16" t="s">
        <v>1042</v>
      </c>
      <c r="I500" s="27">
        <v>350.06</v>
      </c>
      <c r="J500" s="149"/>
      <c r="K500" s="27">
        <f>I500*AO500</f>
        <v>0</v>
      </c>
      <c r="L500" s="27">
        <f>I500*AP500</f>
        <v>0</v>
      </c>
      <c r="M500" s="27">
        <f>I500*J500</f>
        <v>0</v>
      </c>
      <c r="N500" s="56">
        <f>IF(M623=0,0,M500/M623)</f>
        <v>0</v>
      </c>
      <c r="O500" s="39" t="s">
        <v>1068</v>
      </c>
      <c r="P500" s="6"/>
      <c r="Z500" s="45">
        <f>IF(AQ500="5",BJ500,0)</f>
        <v>0</v>
      </c>
      <c r="AB500" s="45">
        <f>IF(AQ500="1",BH500,0)</f>
        <v>0</v>
      </c>
      <c r="AC500" s="45">
        <f>IF(AQ500="1",BI500,0)</f>
        <v>0</v>
      </c>
      <c r="AD500" s="45">
        <f>IF(AQ500="7",BH500,0)</f>
        <v>0</v>
      </c>
      <c r="AE500" s="45">
        <f>IF(AQ500="7",BI500,0)</f>
        <v>0</v>
      </c>
      <c r="AF500" s="45">
        <f>IF(AQ500="2",BH500,0)</f>
        <v>0</v>
      </c>
      <c r="AG500" s="45">
        <f>IF(AQ500="2",BI500,0)</f>
        <v>0</v>
      </c>
      <c r="AH500" s="45">
        <f>IF(AQ500="0",BJ500,0)</f>
        <v>0</v>
      </c>
      <c r="AI500" s="44" t="s">
        <v>305</v>
      </c>
      <c r="AJ500" s="27">
        <f>IF(AN500=0,M500,0)</f>
        <v>0</v>
      </c>
      <c r="AK500" s="27">
        <f>IF(AN500=15,M500,0)</f>
        <v>0</v>
      </c>
      <c r="AL500" s="27">
        <f>IF(AN500=21,M500,0)</f>
        <v>0</v>
      </c>
      <c r="AN500" s="45">
        <v>15</v>
      </c>
      <c r="AO500" s="45">
        <f>J500*0</f>
        <v>0</v>
      </c>
      <c r="AP500" s="45">
        <f>J500*(1-0)</f>
        <v>0</v>
      </c>
      <c r="AQ500" s="46" t="s">
        <v>7</v>
      </c>
      <c r="AV500" s="45">
        <f>AW500+AX500</f>
        <v>0</v>
      </c>
      <c r="AW500" s="45">
        <f>I500*AO500</f>
        <v>0</v>
      </c>
      <c r="AX500" s="45">
        <f>I500*AP500</f>
        <v>0</v>
      </c>
      <c r="AY500" s="48" t="s">
        <v>1107</v>
      </c>
      <c r="AZ500" s="48" t="s">
        <v>1128</v>
      </c>
      <c r="BA500" s="44" t="s">
        <v>1139</v>
      </c>
      <c r="BC500" s="45">
        <f>AW500+AX500</f>
        <v>0</v>
      </c>
      <c r="BD500" s="45">
        <f>J500/(100-BE500)*100</f>
        <v>0</v>
      </c>
      <c r="BE500" s="45">
        <v>0</v>
      </c>
      <c r="BF500" s="45">
        <f>500</f>
        <v>500</v>
      </c>
      <c r="BH500" s="27">
        <f>I500*AO500</f>
        <v>0</v>
      </c>
      <c r="BI500" s="27">
        <f>I500*AP500</f>
        <v>0</v>
      </c>
      <c r="BJ500" s="27">
        <f>I500*J500</f>
        <v>0</v>
      </c>
      <c r="BK500" s="27" t="s">
        <v>1146</v>
      </c>
      <c r="BL500" s="45">
        <v>94</v>
      </c>
    </row>
    <row r="501" spans="1:64" x14ac:dyDescent="0.2">
      <c r="A501" s="6"/>
      <c r="D501" s="251" t="s">
        <v>964</v>
      </c>
      <c r="E501" s="252"/>
      <c r="F501" s="252"/>
      <c r="G501" s="252"/>
      <c r="H501" s="252"/>
      <c r="I501" s="252"/>
      <c r="J501" s="252"/>
      <c r="K501" s="252"/>
      <c r="L501" s="252"/>
      <c r="M501" s="252"/>
      <c r="N501" s="252"/>
      <c r="O501" s="253"/>
      <c r="P501" s="6"/>
    </row>
    <row r="502" spans="1:64" x14ac:dyDescent="0.2">
      <c r="A502" s="6"/>
      <c r="C502" s="21" t="s">
        <v>310</v>
      </c>
      <c r="D502" s="245" t="s">
        <v>748</v>
      </c>
      <c r="E502" s="246"/>
      <c r="F502" s="246"/>
      <c r="G502" s="246"/>
      <c r="H502" s="246"/>
      <c r="I502" s="246"/>
      <c r="J502" s="246"/>
      <c r="K502" s="246"/>
      <c r="L502" s="246"/>
      <c r="M502" s="246"/>
      <c r="N502" s="246"/>
      <c r="O502" s="247"/>
      <c r="P502" s="6"/>
    </row>
    <row r="503" spans="1:64" x14ac:dyDescent="0.2">
      <c r="A503" s="5" t="s">
        <v>247</v>
      </c>
      <c r="B503" s="16" t="s">
        <v>305</v>
      </c>
      <c r="C503" s="16" t="s">
        <v>564</v>
      </c>
      <c r="D503" s="243" t="s">
        <v>965</v>
      </c>
      <c r="E503" s="244"/>
      <c r="F503" s="244"/>
      <c r="G503" s="244"/>
      <c r="H503" s="16" t="s">
        <v>1042</v>
      </c>
      <c r="I503" s="27">
        <v>960.32</v>
      </c>
      <c r="J503" s="149"/>
      <c r="K503" s="27">
        <f>I503*AO503</f>
        <v>0</v>
      </c>
      <c r="L503" s="27">
        <f>I503*AP503</f>
        <v>0</v>
      </c>
      <c r="M503" s="27">
        <f>I503*J503</f>
        <v>0</v>
      </c>
      <c r="N503" s="56">
        <f>IF(M623=0,0,M503/M623)</f>
        <v>0</v>
      </c>
      <c r="O503" s="39" t="s">
        <v>1068</v>
      </c>
      <c r="P503" s="6"/>
      <c r="Z503" s="45">
        <f>IF(AQ503="5",BJ503,0)</f>
        <v>0</v>
      </c>
      <c r="AB503" s="45">
        <f>IF(AQ503="1",BH503,0)</f>
        <v>0</v>
      </c>
      <c r="AC503" s="45">
        <f>IF(AQ503="1",BI503,0)</f>
        <v>0</v>
      </c>
      <c r="AD503" s="45">
        <f>IF(AQ503="7",BH503,0)</f>
        <v>0</v>
      </c>
      <c r="AE503" s="45">
        <f>IF(AQ503="7",BI503,0)</f>
        <v>0</v>
      </c>
      <c r="AF503" s="45">
        <f>IF(AQ503="2",BH503,0)</f>
        <v>0</v>
      </c>
      <c r="AG503" s="45">
        <f>IF(AQ503="2",BI503,0)</f>
        <v>0</v>
      </c>
      <c r="AH503" s="45">
        <f>IF(AQ503="0",BJ503,0)</f>
        <v>0</v>
      </c>
      <c r="AI503" s="44" t="s">
        <v>305</v>
      </c>
      <c r="AJ503" s="27">
        <f>IF(AN503=0,M503,0)</f>
        <v>0</v>
      </c>
      <c r="AK503" s="27">
        <f>IF(AN503=15,M503,0)</f>
        <v>0</v>
      </c>
      <c r="AL503" s="27">
        <f>IF(AN503=21,M503,0)</f>
        <v>0</v>
      </c>
      <c r="AN503" s="45">
        <v>15</v>
      </c>
      <c r="AO503" s="45">
        <f>J503*0</f>
        <v>0</v>
      </c>
      <c r="AP503" s="45">
        <f>J503*(1-0)</f>
        <v>0</v>
      </c>
      <c r="AQ503" s="46" t="s">
        <v>7</v>
      </c>
      <c r="AV503" s="45">
        <f>AW503+AX503</f>
        <v>0</v>
      </c>
      <c r="AW503" s="45">
        <f>I503*AO503</f>
        <v>0</v>
      </c>
      <c r="AX503" s="45">
        <f>I503*AP503</f>
        <v>0</v>
      </c>
      <c r="AY503" s="48" t="s">
        <v>1107</v>
      </c>
      <c r="AZ503" s="48" t="s">
        <v>1128</v>
      </c>
      <c r="BA503" s="44" t="s">
        <v>1139</v>
      </c>
      <c r="BC503" s="45">
        <f>AW503+AX503</f>
        <v>0</v>
      </c>
      <c r="BD503" s="45">
        <f>J503/(100-BE503)*100</f>
        <v>0</v>
      </c>
      <c r="BE503" s="45">
        <v>0</v>
      </c>
      <c r="BF503" s="45">
        <f>503</f>
        <v>503</v>
      </c>
      <c r="BH503" s="27">
        <f>I503*AO503</f>
        <v>0</v>
      </c>
      <c r="BI503" s="27">
        <f>I503*AP503</f>
        <v>0</v>
      </c>
      <c r="BJ503" s="27">
        <f>I503*J503</f>
        <v>0</v>
      </c>
      <c r="BK503" s="27" t="s">
        <v>1146</v>
      </c>
      <c r="BL503" s="45">
        <v>94</v>
      </c>
    </row>
    <row r="504" spans="1:64" x14ac:dyDescent="0.2">
      <c r="A504" s="6"/>
      <c r="D504" s="251" t="s">
        <v>964</v>
      </c>
      <c r="E504" s="252"/>
      <c r="F504" s="252"/>
      <c r="G504" s="252"/>
      <c r="H504" s="252"/>
      <c r="I504" s="252"/>
      <c r="J504" s="252"/>
      <c r="K504" s="252"/>
      <c r="L504" s="252"/>
      <c r="M504" s="252"/>
      <c r="N504" s="252"/>
      <c r="O504" s="253"/>
      <c r="P504" s="6"/>
    </row>
    <row r="505" spans="1:64" x14ac:dyDescent="0.2">
      <c r="A505" s="5" t="s">
        <v>248</v>
      </c>
      <c r="B505" s="16" t="s">
        <v>305</v>
      </c>
      <c r="C505" s="16" t="s">
        <v>565</v>
      </c>
      <c r="D505" s="243" t="s">
        <v>966</v>
      </c>
      <c r="E505" s="244"/>
      <c r="F505" s="244"/>
      <c r="G505" s="244"/>
      <c r="H505" s="16" t="s">
        <v>1042</v>
      </c>
      <c r="I505" s="27">
        <v>350.06</v>
      </c>
      <c r="J505" s="149"/>
      <c r="K505" s="27">
        <f>I505*AO505</f>
        <v>0</v>
      </c>
      <c r="L505" s="27">
        <f>I505*AP505</f>
        <v>0</v>
      </c>
      <c r="M505" s="27">
        <f>I505*J505</f>
        <v>0</v>
      </c>
      <c r="N505" s="56">
        <f>IF(M623=0,0,M505/M623)</f>
        <v>0</v>
      </c>
      <c r="O505" s="39" t="s">
        <v>1068</v>
      </c>
      <c r="P505" s="6"/>
      <c r="Z505" s="45">
        <f>IF(AQ505="5",BJ505,0)</f>
        <v>0</v>
      </c>
      <c r="AB505" s="45">
        <f>IF(AQ505="1",BH505,0)</f>
        <v>0</v>
      </c>
      <c r="AC505" s="45">
        <f>IF(AQ505="1",BI505,0)</f>
        <v>0</v>
      </c>
      <c r="AD505" s="45">
        <f>IF(AQ505="7",BH505,0)</f>
        <v>0</v>
      </c>
      <c r="AE505" s="45">
        <f>IF(AQ505="7",BI505,0)</f>
        <v>0</v>
      </c>
      <c r="AF505" s="45">
        <f>IF(AQ505="2",BH505,0)</f>
        <v>0</v>
      </c>
      <c r="AG505" s="45">
        <f>IF(AQ505="2",BI505,0)</f>
        <v>0</v>
      </c>
      <c r="AH505" s="45">
        <f>IF(AQ505="0",BJ505,0)</f>
        <v>0</v>
      </c>
      <c r="AI505" s="44" t="s">
        <v>305</v>
      </c>
      <c r="AJ505" s="27">
        <f>IF(AN505=0,M505,0)</f>
        <v>0</v>
      </c>
      <c r="AK505" s="27">
        <f>IF(AN505=15,M505,0)</f>
        <v>0</v>
      </c>
      <c r="AL505" s="27">
        <f>IF(AN505=21,M505,0)</f>
        <v>0</v>
      </c>
      <c r="AN505" s="45">
        <v>15</v>
      </c>
      <c r="AO505" s="45">
        <f>J505*0</f>
        <v>0</v>
      </c>
      <c r="AP505" s="45">
        <f>J505*(1-0)</f>
        <v>0</v>
      </c>
      <c r="AQ505" s="46" t="s">
        <v>7</v>
      </c>
      <c r="AV505" s="45">
        <f>AW505+AX505</f>
        <v>0</v>
      </c>
      <c r="AW505" s="45">
        <f>I505*AO505</f>
        <v>0</v>
      </c>
      <c r="AX505" s="45">
        <f>I505*AP505</f>
        <v>0</v>
      </c>
      <c r="AY505" s="48" t="s">
        <v>1107</v>
      </c>
      <c r="AZ505" s="48" t="s">
        <v>1128</v>
      </c>
      <c r="BA505" s="44" t="s">
        <v>1139</v>
      </c>
      <c r="BC505" s="45">
        <f>AW505+AX505</f>
        <v>0</v>
      </c>
      <c r="BD505" s="45">
        <f>J505/(100-BE505)*100</f>
        <v>0</v>
      </c>
      <c r="BE505" s="45">
        <v>0</v>
      </c>
      <c r="BF505" s="45">
        <f>505</f>
        <v>505</v>
      </c>
      <c r="BH505" s="27">
        <f>I505*AO505</f>
        <v>0</v>
      </c>
      <c r="BI505" s="27">
        <f>I505*AP505</f>
        <v>0</v>
      </c>
      <c r="BJ505" s="27">
        <f>I505*J505</f>
        <v>0</v>
      </c>
      <c r="BK505" s="27" t="s">
        <v>1146</v>
      </c>
      <c r="BL505" s="45">
        <v>94</v>
      </c>
    </row>
    <row r="506" spans="1:64" x14ac:dyDescent="0.2">
      <c r="A506" s="6"/>
      <c r="D506" s="251" t="s">
        <v>964</v>
      </c>
      <c r="E506" s="252"/>
      <c r="F506" s="252"/>
      <c r="G506" s="252"/>
      <c r="H506" s="252"/>
      <c r="I506" s="252"/>
      <c r="J506" s="252"/>
      <c r="K506" s="252"/>
      <c r="L506" s="252"/>
      <c r="M506" s="252"/>
      <c r="N506" s="252"/>
      <c r="O506" s="253"/>
      <c r="P506" s="6"/>
    </row>
    <row r="507" spans="1:64" x14ac:dyDescent="0.2">
      <c r="A507" s="5" t="s">
        <v>249</v>
      </c>
      <c r="B507" s="16" t="s">
        <v>305</v>
      </c>
      <c r="C507" s="16" t="s">
        <v>566</v>
      </c>
      <c r="D507" s="243" t="s">
        <v>967</v>
      </c>
      <c r="E507" s="244"/>
      <c r="F507" s="244"/>
      <c r="G507" s="244"/>
      <c r="H507" s="16" t="s">
        <v>1042</v>
      </c>
      <c r="I507" s="27">
        <v>253.18</v>
      </c>
      <c r="J507" s="149"/>
      <c r="K507" s="27">
        <f>I507*AO507</f>
        <v>0</v>
      </c>
      <c r="L507" s="27">
        <f>I507*AP507</f>
        <v>0</v>
      </c>
      <c r="M507" s="27">
        <f>I507*J507</f>
        <v>0</v>
      </c>
      <c r="N507" s="56">
        <f>IF(M623=0,0,M507/M623)</f>
        <v>0</v>
      </c>
      <c r="O507" s="39" t="s">
        <v>1068</v>
      </c>
      <c r="P507" s="6"/>
      <c r="Z507" s="45">
        <f>IF(AQ507="5",BJ507,0)</f>
        <v>0</v>
      </c>
      <c r="AB507" s="45">
        <f>IF(AQ507="1",BH507,0)</f>
        <v>0</v>
      </c>
      <c r="AC507" s="45">
        <f>IF(AQ507="1",BI507,0)</f>
        <v>0</v>
      </c>
      <c r="AD507" s="45">
        <f>IF(AQ507="7",BH507,0)</f>
        <v>0</v>
      </c>
      <c r="AE507" s="45">
        <f>IF(AQ507="7",BI507,0)</f>
        <v>0</v>
      </c>
      <c r="AF507" s="45">
        <f>IF(AQ507="2",BH507,0)</f>
        <v>0</v>
      </c>
      <c r="AG507" s="45">
        <f>IF(AQ507="2",BI507,0)</f>
        <v>0</v>
      </c>
      <c r="AH507" s="45">
        <f>IF(AQ507="0",BJ507,0)</f>
        <v>0</v>
      </c>
      <c r="AI507" s="44" t="s">
        <v>305</v>
      </c>
      <c r="AJ507" s="27">
        <f>IF(AN507=0,M507,0)</f>
        <v>0</v>
      </c>
      <c r="AK507" s="27">
        <f>IF(AN507=15,M507,0)</f>
        <v>0</v>
      </c>
      <c r="AL507" s="27">
        <f>IF(AN507=21,M507,0)</f>
        <v>0</v>
      </c>
      <c r="AN507" s="45">
        <v>15</v>
      </c>
      <c r="AO507" s="45">
        <f>J507*0.327179487179487</f>
        <v>0</v>
      </c>
      <c r="AP507" s="45">
        <f>J507*(1-0.327179487179487)</f>
        <v>0</v>
      </c>
      <c r="AQ507" s="46" t="s">
        <v>7</v>
      </c>
      <c r="AV507" s="45">
        <f>AW507+AX507</f>
        <v>0</v>
      </c>
      <c r="AW507" s="45">
        <f>I507*AO507</f>
        <v>0</v>
      </c>
      <c r="AX507" s="45">
        <f>I507*AP507</f>
        <v>0</v>
      </c>
      <c r="AY507" s="48" t="s">
        <v>1107</v>
      </c>
      <c r="AZ507" s="48" t="s">
        <v>1128</v>
      </c>
      <c r="BA507" s="44" t="s">
        <v>1139</v>
      </c>
      <c r="BC507" s="45">
        <f>AW507+AX507</f>
        <v>0</v>
      </c>
      <c r="BD507" s="45">
        <f>J507/(100-BE507)*100</f>
        <v>0</v>
      </c>
      <c r="BE507" s="45">
        <v>0</v>
      </c>
      <c r="BF507" s="45">
        <f>507</f>
        <v>507</v>
      </c>
      <c r="BH507" s="27">
        <f>I507*AO507</f>
        <v>0</v>
      </c>
      <c r="BI507" s="27">
        <f>I507*AP507</f>
        <v>0</v>
      </c>
      <c r="BJ507" s="27">
        <f>I507*J507</f>
        <v>0</v>
      </c>
      <c r="BK507" s="27" t="s">
        <v>1146</v>
      </c>
      <c r="BL507" s="45">
        <v>94</v>
      </c>
    </row>
    <row r="508" spans="1:64" x14ac:dyDescent="0.2">
      <c r="A508" s="4"/>
      <c r="B508" s="15" t="s">
        <v>305</v>
      </c>
      <c r="C508" s="15" t="s">
        <v>101</v>
      </c>
      <c r="D508" s="237" t="s">
        <v>968</v>
      </c>
      <c r="E508" s="238"/>
      <c r="F508" s="238"/>
      <c r="G508" s="238"/>
      <c r="H508" s="24" t="s">
        <v>6</v>
      </c>
      <c r="I508" s="24" t="s">
        <v>6</v>
      </c>
      <c r="J508" s="24" t="s">
        <v>6</v>
      </c>
      <c r="K508" s="51">
        <f>SUM(K509:K514)</f>
        <v>0</v>
      </c>
      <c r="L508" s="51">
        <f>SUM(L509:L514)</f>
        <v>0</v>
      </c>
      <c r="M508" s="51">
        <f>SUM(M509:M514)</f>
        <v>0</v>
      </c>
      <c r="N508" s="55">
        <f>IF(M623=0,0,M508/M623)</f>
        <v>0</v>
      </c>
      <c r="O508" s="38"/>
      <c r="P508" s="6"/>
      <c r="AI508" s="44" t="s">
        <v>305</v>
      </c>
      <c r="AS508" s="51">
        <f>SUM(AJ509:AJ514)</f>
        <v>0</v>
      </c>
      <c r="AT508" s="51">
        <f>SUM(AK509:AK514)</f>
        <v>0</v>
      </c>
      <c r="AU508" s="51">
        <f>SUM(AL509:AL514)</f>
        <v>0</v>
      </c>
    </row>
    <row r="509" spans="1:64" x14ac:dyDescent="0.2">
      <c r="A509" s="5" t="s">
        <v>250</v>
      </c>
      <c r="B509" s="16" t="s">
        <v>305</v>
      </c>
      <c r="C509" s="16" t="s">
        <v>567</v>
      </c>
      <c r="D509" s="243" t="s">
        <v>969</v>
      </c>
      <c r="E509" s="244"/>
      <c r="F509" s="244"/>
      <c r="G509" s="244"/>
      <c r="H509" s="16" t="s">
        <v>1042</v>
      </c>
      <c r="I509" s="27">
        <v>52.76</v>
      </c>
      <c r="J509" s="149"/>
      <c r="K509" s="27">
        <f>I509*AO509</f>
        <v>0</v>
      </c>
      <c r="L509" s="27">
        <f>I509*AP509</f>
        <v>0</v>
      </c>
      <c r="M509" s="27">
        <f>I509*J509</f>
        <v>0</v>
      </c>
      <c r="N509" s="56">
        <f>IF(M623=0,0,M509/M623)</f>
        <v>0</v>
      </c>
      <c r="O509" s="39" t="s">
        <v>1070</v>
      </c>
      <c r="P509" s="6"/>
      <c r="Z509" s="45">
        <f>IF(AQ509="5",BJ509,0)</f>
        <v>0</v>
      </c>
      <c r="AB509" s="45">
        <f>IF(AQ509="1",BH509,0)</f>
        <v>0</v>
      </c>
      <c r="AC509" s="45">
        <f>IF(AQ509="1",BI509,0)</f>
        <v>0</v>
      </c>
      <c r="AD509" s="45">
        <f>IF(AQ509="7",BH509,0)</f>
        <v>0</v>
      </c>
      <c r="AE509" s="45">
        <f>IF(AQ509="7",BI509,0)</f>
        <v>0</v>
      </c>
      <c r="AF509" s="45">
        <f>IF(AQ509="2",BH509,0)</f>
        <v>0</v>
      </c>
      <c r="AG509" s="45">
        <f>IF(AQ509="2",BI509,0)</f>
        <v>0</v>
      </c>
      <c r="AH509" s="45">
        <f>IF(AQ509="0",BJ509,0)</f>
        <v>0</v>
      </c>
      <c r="AI509" s="44" t="s">
        <v>305</v>
      </c>
      <c r="AJ509" s="27">
        <f>IF(AN509=0,M509,0)</f>
        <v>0</v>
      </c>
      <c r="AK509" s="27">
        <f>IF(AN509=15,M509,0)</f>
        <v>0</v>
      </c>
      <c r="AL509" s="27">
        <f>IF(AN509=21,M509,0)</f>
        <v>0</v>
      </c>
      <c r="AN509" s="45">
        <v>15</v>
      </c>
      <c r="AO509" s="45">
        <f>J509*0.832013757269083</f>
        <v>0</v>
      </c>
      <c r="AP509" s="45">
        <f>J509*(1-0.832013757269083)</f>
        <v>0</v>
      </c>
      <c r="AQ509" s="46" t="s">
        <v>7</v>
      </c>
      <c r="AV509" s="45">
        <f>AW509+AX509</f>
        <v>0</v>
      </c>
      <c r="AW509" s="45">
        <f>I509*AO509</f>
        <v>0</v>
      </c>
      <c r="AX509" s="45">
        <f>I509*AP509</f>
        <v>0</v>
      </c>
      <c r="AY509" s="48" t="s">
        <v>1108</v>
      </c>
      <c r="AZ509" s="48" t="s">
        <v>1128</v>
      </c>
      <c r="BA509" s="44" t="s">
        <v>1139</v>
      </c>
      <c r="BC509" s="45">
        <f>AW509+AX509</f>
        <v>0</v>
      </c>
      <c r="BD509" s="45">
        <f>J509/(100-BE509)*100</f>
        <v>0</v>
      </c>
      <c r="BE509" s="45">
        <v>0</v>
      </c>
      <c r="BF509" s="45">
        <f>509</f>
        <v>509</v>
      </c>
      <c r="BH509" s="27">
        <f>I509*AO509</f>
        <v>0</v>
      </c>
      <c r="BI509" s="27">
        <f>I509*AP509</f>
        <v>0</v>
      </c>
      <c r="BJ509" s="27">
        <f>I509*J509</f>
        <v>0</v>
      </c>
      <c r="BK509" s="27" t="s">
        <v>1146</v>
      </c>
      <c r="BL509" s="45">
        <v>95</v>
      </c>
    </row>
    <row r="510" spans="1:64" x14ac:dyDescent="0.2">
      <c r="A510" s="6"/>
      <c r="C510" s="21" t="s">
        <v>310</v>
      </c>
      <c r="D510" s="245" t="s">
        <v>790</v>
      </c>
      <c r="E510" s="246"/>
      <c r="F510" s="246"/>
      <c r="G510" s="246"/>
      <c r="H510" s="246"/>
      <c r="I510" s="246"/>
      <c r="J510" s="246"/>
      <c r="K510" s="246"/>
      <c r="L510" s="246"/>
      <c r="M510" s="246"/>
      <c r="N510" s="246"/>
      <c r="O510" s="247"/>
      <c r="P510" s="6"/>
    </row>
    <row r="511" spans="1:64" x14ac:dyDescent="0.2">
      <c r="A511" s="5" t="s">
        <v>251</v>
      </c>
      <c r="B511" s="16" t="s">
        <v>305</v>
      </c>
      <c r="C511" s="16" t="s">
        <v>568</v>
      </c>
      <c r="D511" s="243" t="s">
        <v>970</v>
      </c>
      <c r="E511" s="244"/>
      <c r="F511" s="244"/>
      <c r="G511" s="244"/>
      <c r="H511" s="16" t="s">
        <v>1042</v>
      </c>
      <c r="I511" s="27">
        <v>253.18</v>
      </c>
      <c r="J511" s="149"/>
      <c r="K511" s="27">
        <f>I511*AO511</f>
        <v>0</v>
      </c>
      <c r="L511" s="27">
        <f>I511*AP511</f>
        <v>0</v>
      </c>
      <c r="M511" s="27">
        <f>I511*J511</f>
        <v>0</v>
      </c>
      <c r="N511" s="56">
        <f>IF(M623=0,0,M511/M623)</f>
        <v>0</v>
      </c>
      <c r="O511" s="39" t="s">
        <v>1068</v>
      </c>
      <c r="P511" s="6"/>
      <c r="Z511" s="45">
        <f>IF(AQ511="5",BJ511,0)</f>
        <v>0</v>
      </c>
      <c r="AB511" s="45">
        <f>IF(AQ511="1",BH511,0)</f>
        <v>0</v>
      </c>
      <c r="AC511" s="45">
        <f>IF(AQ511="1",BI511,0)</f>
        <v>0</v>
      </c>
      <c r="AD511" s="45">
        <f>IF(AQ511="7",BH511,0)</f>
        <v>0</v>
      </c>
      <c r="AE511" s="45">
        <f>IF(AQ511="7",BI511,0)</f>
        <v>0</v>
      </c>
      <c r="AF511" s="45">
        <f>IF(AQ511="2",BH511,0)</f>
        <v>0</v>
      </c>
      <c r="AG511" s="45">
        <f>IF(AQ511="2",BI511,0)</f>
        <v>0</v>
      </c>
      <c r="AH511" s="45">
        <f>IF(AQ511="0",BJ511,0)</f>
        <v>0</v>
      </c>
      <c r="AI511" s="44" t="s">
        <v>305</v>
      </c>
      <c r="AJ511" s="27">
        <f>IF(AN511=0,M511,0)</f>
        <v>0</v>
      </c>
      <c r="AK511" s="27">
        <f>IF(AN511=15,M511,0)</f>
        <v>0</v>
      </c>
      <c r="AL511" s="27">
        <f>IF(AN511=21,M511,0)</f>
        <v>0</v>
      </c>
      <c r="AN511" s="45">
        <v>15</v>
      </c>
      <c r="AO511" s="45">
        <f>J511*0.012078431372549</f>
        <v>0</v>
      </c>
      <c r="AP511" s="45">
        <f>J511*(1-0.012078431372549)</f>
        <v>0</v>
      </c>
      <c r="AQ511" s="46" t="s">
        <v>7</v>
      </c>
      <c r="AV511" s="45">
        <f>AW511+AX511</f>
        <v>0</v>
      </c>
      <c r="AW511" s="45">
        <f>I511*AO511</f>
        <v>0</v>
      </c>
      <c r="AX511" s="45">
        <f>I511*AP511</f>
        <v>0</v>
      </c>
      <c r="AY511" s="48" t="s">
        <v>1108</v>
      </c>
      <c r="AZ511" s="48" t="s">
        <v>1128</v>
      </c>
      <c r="BA511" s="44" t="s">
        <v>1139</v>
      </c>
      <c r="BC511" s="45">
        <f>AW511+AX511</f>
        <v>0</v>
      </c>
      <c r="BD511" s="45">
        <f>J511/(100-BE511)*100</f>
        <v>0</v>
      </c>
      <c r="BE511" s="45">
        <v>0</v>
      </c>
      <c r="BF511" s="45">
        <f>511</f>
        <v>511</v>
      </c>
      <c r="BH511" s="27">
        <f>I511*AO511</f>
        <v>0</v>
      </c>
      <c r="BI511" s="27">
        <f>I511*AP511</f>
        <v>0</v>
      </c>
      <c r="BJ511" s="27">
        <f>I511*J511</f>
        <v>0</v>
      </c>
      <c r="BK511" s="27" t="s">
        <v>1146</v>
      </c>
      <c r="BL511" s="45">
        <v>95</v>
      </c>
    </row>
    <row r="512" spans="1:64" x14ac:dyDescent="0.2">
      <c r="A512" s="5" t="s">
        <v>252</v>
      </c>
      <c r="B512" s="16" t="s">
        <v>305</v>
      </c>
      <c r="C512" s="16" t="s">
        <v>569</v>
      </c>
      <c r="D512" s="243" t="s">
        <v>971</v>
      </c>
      <c r="E512" s="244"/>
      <c r="F512" s="244"/>
      <c r="G512" s="244"/>
      <c r="H512" s="16" t="s">
        <v>1045</v>
      </c>
      <c r="I512" s="27">
        <v>2</v>
      </c>
      <c r="J512" s="149"/>
      <c r="K512" s="27">
        <f>I512*AO512</f>
        <v>0</v>
      </c>
      <c r="L512" s="27">
        <f>I512*AP512</f>
        <v>0</v>
      </c>
      <c r="M512" s="27">
        <f>I512*J512</f>
        <v>0</v>
      </c>
      <c r="N512" s="56">
        <f>IF(M623=0,0,M512/M623)</f>
        <v>0</v>
      </c>
      <c r="O512" s="39" t="s">
        <v>1068</v>
      </c>
      <c r="P512" s="6"/>
      <c r="Z512" s="45">
        <f>IF(AQ512="5",BJ512,0)</f>
        <v>0</v>
      </c>
      <c r="AB512" s="45">
        <f>IF(AQ512="1",BH512,0)</f>
        <v>0</v>
      </c>
      <c r="AC512" s="45">
        <f>IF(AQ512="1",BI512,0)</f>
        <v>0</v>
      </c>
      <c r="AD512" s="45">
        <f>IF(AQ512="7",BH512,0)</f>
        <v>0</v>
      </c>
      <c r="AE512" s="45">
        <f>IF(AQ512="7",BI512,0)</f>
        <v>0</v>
      </c>
      <c r="AF512" s="45">
        <f>IF(AQ512="2",BH512,0)</f>
        <v>0</v>
      </c>
      <c r="AG512" s="45">
        <f>IF(AQ512="2",BI512,0)</f>
        <v>0</v>
      </c>
      <c r="AH512" s="45">
        <f>IF(AQ512="0",BJ512,0)</f>
        <v>0</v>
      </c>
      <c r="AI512" s="44" t="s">
        <v>305</v>
      </c>
      <c r="AJ512" s="27">
        <f>IF(AN512=0,M512,0)</f>
        <v>0</v>
      </c>
      <c r="AK512" s="27">
        <f>IF(AN512=15,M512,0)</f>
        <v>0</v>
      </c>
      <c r="AL512" s="27">
        <f>IF(AN512=21,M512,0)</f>
        <v>0</v>
      </c>
      <c r="AN512" s="45">
        <v>15</v>
      </c>
      <c r="AO512" s="45">
        <f>J512*0.169662789331453</f>
        <v>0</v>
      </c>
      <c r="AP512" s="45">
        <f>J512*(1-0.169662789331453)</f>
        <v>0</v>
      </c>
      <c r="AQ512" s="46" t="s">
        <v>7</v>
      </c>
      <c r="AV512" s="45">
        <f>AW512+AX512</f>
        <v>0</v>
      </c>
      <c r="AW512" s="45">
        <f>I512*AO512</f>
        <v>0</v>
      </c>
      <c r="AX512" s="45">
        <f>I512*AP512</f>
        <v>0</v>
      </c>
      <c r="AY512" s="48" t="s">
        <v>1108</v>
      </c>
      <c r="AZ512" s="48" t="s">
        <v>1128</v>
      </c>
      <c r="BA512" s="44" t="s">
        <v>1139</v>
      </c>
      <c r="BC512" s="45">
        <f>AW512+AX512</f>
        <v>0</v>
      </c>
      <c r="BD512" s="45">
        <f>J512/(100-BE512)*100</f>
        <v>0</v>
      </c>
      <c r="BE512" s="45">
        <v>0</v>
      </c>
      <c r="BF512" s="45">
        <f>512</f>
        <v>512</v>
      </c>
      <c r="BH512" s="27">
        <f>I512*AO512</f>
        <v>0</v>
      </c>
      <c r="BI512" s="27">
        <f>I512*AP512</f>
        <v>0</v>
      </c>
      <c r="BJ512" s="27">
        <f>I512*J512</f>
        <v>0</v>
      </c>
      <c r="BK512" s="27" t="s">
        <v>1146</v>
      </c>
      <c r="BL512" s="45">
        <v>95</v>
      </c>
    </row>
    <row r="513" spans="1:64" x14ac:dyDescent="0.2">
      <c r="A513" s="6"/>
      <c r="C513" s="21" t="s">
        <v>310</v>
      </c>
      <c r="D513" s="245" t="s">
        <v>972</v>
      </c>
      <c r="E513" s="246"/>
      <c r="F513" s="246"/>
      <c r="G513" s="246"/>
      <c r="H513" s="246"/>
      <c r="I513" s="246"/>
      <c r="J513" s="246"/>
      <c r="K513" s="246"/>
      <c r="L513" s="246"/>
      <c r="M513" s="246"/>
      <c r="N513" s="246"/>
      <c r="O513" s="247"/>
      <c r="P513" s="6"/>
    </row>
    <row r="514" spans="1:64" x14ac:dyDescent="0.2">
      <c r="A514" s="7" t="s">
        <v>253</v>
      </c>
      <c r="B514" s="17" t="s">
        <v>305</v>
      </c>
      <c r="C514" s="17" t="s">
        <v>570</v>
      </c>
      <c r="D514" s="241" t="s">
        <v>973</v>
      </c>
      <c r="E514" s="242"/>
      <c r="F514" s="242"/>
      <c r="G514" s="242"/>
      <c r="H514" s="17" t="s">
        <v>1045</v>
      </c>
      <c r="I514" s="28">
        <v>2</v>
      </c>
      <c r="J514" s="154"/>
      <c r="K514" s="28">
        <f>I514*AO514</f>
        <v>0</v>
      </c>
      <c r="L514" s="28">
        <f>I514*AP514</f>
        <v>0</v>
      </c>
      <c r="M514" s="28">
        <f>I514*J514</f>
        <v>0</v>
      </c>
      <c r="N514" s="57">
        <f>IF(M623=0,0,M514/M623)</f>
        <v>0</v>
      </c>
      <c r="O514" s="40" t="s">
        <v>1068</v>
      </c>
      <c r="P514" s="6"/>
      <c r="Z514" s="45">
        <f>IF(AQ514="5",BJ514,0)</f>
        <v>0</v>
      </c>
      <c r="AB514" s="45">
        <f>IF(AQ514="1",BH514,0)</f>
        <v>0</v>
      </c>
      <c r="AC514" s="45">
        <f>IF(AQ514="1",BI514,0)</f>
        <v>0</v>
      </c>
      <c r="AD514" s="45">
        <f>IF(AQ514="7",BH514,0)</f>
        <v>0</v>
      </c>
      <c r="AE514" s="45">
        <f>IF(AQ514="7",BI514,0)</f>
        <v>0</v>
      </c>
      <c r="AF514" s="45">
        <f>IF(AQ514="2",BH514,0)</f>
        <v>0</v>
      </c>
      <c r="AG514" s="45">
        <f>IF(AQ514="2",BI514,0)</f>
        <v>0</v>
      </c>
      <c r="AH514" s="45">
        <f>IF(AQ514="0",BJ514,0)</f>
        <v>0</v>
      </c>
      <c r="AI514" s="44" t="s">
        <v>305</v>
      </c>
      <c r="AJ514" s="28">
        <f>IF(AN514=0,M514,0)</f>
        <v>0</v>
      </c>
      <c r="AK514" s="28">
        <f>IF(AN514=15,M514,0)</f>
        <v>0</v>
      </c>
      <c r="AL514" s="28">
        <f>IF(AN514=21,M514,0)</f>
        <v>0</v>
      </c>
      <c r="AN514" s="45">
        <v>15</v>
      </c>
      <c r="AO514" s="45">
        <f>J514*1</f>
        <v>0</v>
      </c>
      <c r="AP514" s="45">
        <f>J514*(1-1)</f>
        <v>0</v>
      </c>
      <c r="AQ514" s="47" t="s">
        <v>7</v>
      </c>
      <c r="AV514" s="45">
        <f>AW514+AX514</f>
        <v>0</v>
      </c>
      <c r="AW514" s="45">
        <f>I514*AO514</f>
        <v>0</v>
      </c>
      <c r="AX514" s="45">
        <f>I514*AP514</f>
        <v>0</v>
      </c>
      <c r="AY514" s="48" t="s">
        <v>1108</v>
      </c>
      <c r="AZ514" s="48" t="s">
        <v>1128</v>
      </c>
      <c r="BA514" s="44" t="s">
        <v>1139</v>
      </c>
      <c r="BC514" s="45">
        <f>AW514+AX514</f>
        <v>0</v>
      </c>
      <c r="BD514" s="45">
        <f>J514/(100-BE514)*100</f>
        <v>0</v>
      </c>
      <c r="BE514" s="45">
        <v>0</v>
      </c>
      <c r="BF514" s="45">
        <f>514</f>
        <v>514</v>
      </c>
      <c r="BH514" s="28">
        <f>I514*AO514</f>
        <v>0</v>
      </c>
      <c r="BI514" s="28">
        <f>I514*AP514</f>
        <v>0</v>
      </c>
      <c r="BJ514" s="28">
        <f>I514*J514</f>
        <v>0</v>
      </c>
      <c r="BK514" s="28" t="s">
        <v>1147</v>
      </c>
      <c r="BL514" s="45">
        <v>95</v>
      </c>
    </row>
    <row r="515" spans="1:64" x14ac:dyDescent="0.2">
      <c r="A515" s="4"/>
      <c r="B515" s="15" t="s">
        <v>305</v>
      </c>
      <c r="C515" s="15" t="s">
        <v>571</v>
      </c>
      <c r="D515" s="237" t="s">
        <v>974</v>
      </c>
      <c r="E515" s="238"/>
      <c r="F515" s="238"/>
      <c r="G515" s="238"/>
      <c r="H515" s="24" t="s">
        <v>6</v>
      </c>
      <c r="I515" s="24" t="s">
        <v>6</v>
      </c>
      <c r="J515" s="24" t="s">
        <v>6</v>
      </c>
      <c r="K515" s="51">
        <f>SUM(K516:K516)</f>
        <v>0</v>
      </c>
      <c r="L515" s="51">
        <f>SUM(L516:L516)</f>
        <v>0</v>
      </c>
      <c r="M515" s="51">
        <f>SUM(M516:M516)</f>
        <v>0</v>
      </c>
      <c r="N515" s="55">
        <f>IF(M623=0,0,M515/M623)</f>
        <v>0</v>
      </c>
      <c r="O515" s="38"/>
      <c r="P515" s="6"/>
      <c r="AI515" s="44" t="s">
        <v>305</v>
      </c>
      <c r="AS515" s="51">
        <f>SUM(AJ516:AJ516)</f>
        <v>0</v>
      </c>
      <c r="AT515" s="51">
        <f>SUM(AK516:AK516)</f>
        <v>0</v>
      </c>
      <c r="AU515" s="51">
        <f>SUM(AL516:AL516)</f>
        <v>0</v>
      </c>
    </row>
    <row r="516" spans="1:64" x14ac:dyDescent="0.2">
      <c r="A516" s="5" t="s">
        <v>254</v>
      </c>
      <c r="B516" s="16" t="s">
        <v>305</v>
      </c>
      <c r="C516" s="16" t="s">
        <v>572</v>
      </c>
      <c r="D516" s="243" t="s">
        <v>975</v>
      </c>
      <c r="E516" s="244"/>
      <c r="F516" s="244"/>
      <c r="G516" s="244"/>
      <c r="H516" s="16" t="s">
        <v>1043</v>
      </c>
      <c r="I516" s="27">
        <v>820.36</v>
      </c>
      <c r="J516" s="149"/>
      <c r="K516" s="27">
        <f>I516*AO516</f>
        <v>0</v>
      </c>
      <c r="L516" s="27">
        <f>I516*AP516</f>
        <v>0</v>
      </c>
      <c r="M516" s="27">
        <f>I516*J516</f>
        <v>0</v>
      </c>
      <c r="N516" s="56">
        <f>IF(M623=0,0,M516/M623)</f>
        <v>0</v>
      </c>
      <c r="O516" s="39" t="s">
        <v>1068</v>
      </c>
      <c r="P516" s="6"/>
      <c r="Z516" s="45">
        <f>IF(AQ516="5",BJ516,0)</f>
        <v>0</v>
      </c>
      <c r="AB516" s="45">
        <f>IF(AQ516="1",BH516,0)</f>
        <v>0</v>
      </c>
      <c r="AC516" s="45">
        <f>IF(AQ516="1",BI516,0)</f>
        <v>0</v>
      </c>
      <c r="AD516" s="45">
        <f>IF(AQ516="7",BH516,0)</f>
        <v>0</v>
      </c>
      <c r="AE516" s="45">
        <f>IF(AQ516="7",BI516,0)</f>
        <v>0</v>
      </c>
      <c r="AF516" s="45">
        <f>IF(AQ516="2",BH516,0)</f>
        <v>0</v>
      </c>
      <c r="AG516" s="45">
        <f>IF(AQ516="2",BI516,0)</f>
        <v>0</v>
      </c>
      <c r="AH516" s="45">
        <f>IF(AQ516="0",BJ516,0)</f>
        <v>0</v>
      </c>
      <c r="AI516" s="44" t="s">
        <v>305</v>
      </c>
      <c r="AJ516" s="27">
        <f>IF(AN516=0,M516,0)</f>
        <v>0</v>
      </c>
      <c r="AK516" s="27">
        <f>IF(AN516=15,M516,0)</f>
        <v>0</v>
      </c>
      <c r="AL516" s="27">
        <f>IF(AN516=21,M516,0)</f>
        <v>0</v>
      </c>
      <c r="AN516" s="45">
        <v>15</v>
      </c>
      <c r="AO516" s="45">
        <f>J516*0</f>
        <v>0</v>
      </c>
      <c r="AP516" s="45">
        <f>J516*(1-0)</f>
        <v>0</v>
      </c>
      <c r="AQ516" s="46" t="s">
        <v>11</v>
      </c>
      <c r="AV516" s="45">
        <f>AW516+AX516</f>
        <v>0</v>
      </c>
      <c r="AW516" s="45">
        <f>I516*AO516</f>
        <v>0</v>
      </c>
      <c r="AX516" s="45">
        <f>I516*AP516</f>
        <v>0</v>
      </c>
      <c r="AY516" s="48" t="s">
        <v>1109</v>
      </c>
      <c r="AZ516" s="48" t="s">
        <v>1128</v>
      </c>
      <c r="BA516" s="44" t="s">
        <v>1139</v>
      </c>
      <c r="BC516" s="45">
        <f>AW516+AX516</f>
        <v>0</v>
      </c>
      <c r="BD516" s="45">
        <f>J516/(100-BE516)*100</f>
        <v>0</v>
      </c>
      <c r="BE516" s="45">
        <v>0</v>
      </c>
      <c r="BF516" s="45">
        <f>516</f>
        <v>516</v>
      </c>
      <c r="BH516" s="27">
        <f>I516*AO516</f>
        <v>0</v>
      </c>
      <c r="BI516" s="27">
        <f>I516*AP516</f>
        <v>0</v>
      </c>
      <c r="BJ516" s="27">
        <f>I516*J516</f>
        <v>0</v>
      </c>
      <c r="BK516" s="27" t="s">
        <v>1146</v>
      </c>
      <c r="BL516" s="45" t="s">
        <v>571</v>
      </c>
    </row>
    <row r="517" spans="1:64" x14ac:dyDescent="0.2">
      <c r="A517" s="4"/>
      <c r="B517" s="15" t="s">
        <v>305</v>
      </c>
      <c r="C517" s="15" t="s">
        <v>573</v>
      </c>
      <c r="D517" s="237" t="s">
        <v>976</v>
      </c>
      <c r="E517" s="238"/>
      <c r="F517" s="238"/>
      <c r="G517" s="238"/>
      <c r="H517" s="24" t="s">
        <v>6</v>
      </c>
      <c r="I517" s="24" t="s">
        <v>6</v>
      </c>
      <c r="J517" s="24" t="s">
        <v>6</v>
      </c>
      <c r="K517" s="51">
        <f>SUM(K518:K522)</f>
        <v>0</v>
      </c>
      <c r="L517" s="51">
        <f>SUM(L518:L522)</f>
        <v>0</v>
      </c>
      <c r="M517" s="51">
        <f>SUM(M518:M522)</f>
        <v>0</v>
      </c>
      <c r="N517" s="55">
        <f>IF(M623=0,0,M517/M623)</f>
        <v>0</v>
      </c>
      <c r="O517" s="38"/>
      <c r="P517" s="6"/>
      <c r="AI517" s="44" t="s">
        <v>305</v>
      </c>
      <c r="AS517" s="51">
        <f>SUM(AJ518:AJ522)</f>
        <v>0</v>
      </c>
      <c r="AT517" s="51">
        <f>SUM(AK518:AK522)</f>
        <v>0</v>
      </c>
      <c r="AU517" s="51">
        <f>SUM(AL518:AL522)</f>
        <v>0</v>
      </c>
    </row>
    <row r="518" spans="1:64" x14ac:dyDescent="0.2">
      <c r="A518" s="5" t="s">
        <v>255</v>
      </c>
      <c r="B518" s="16" t="s">
        <v>305</v>
      </c>
      <c r="C518" s="16" t="s">
        <v>574</v>
      </c>
      <c r="D518" s="243" t="s">
        <v>977</v>
      </c>
      <c r="E518" s="244"/>
      <c r="F518" s="244"/>
      <c r="G518" s="244"/>
      <c r="H518" s="16" t="s">
        <v>1047</v>
      </c>
      <c r="I518" s="27">
        <v>643.29999999999995</v>
      </c>
      <c r="J518" s="149"/>
      <c r="K518" s="27">
        <f>I518*AO518</f>
        <v>0</v>
      </c>
      <c r="L518" s="27">
        <f>I518*AP518</f>
        <v>0</v>
      </c>
      <c r="M518" s="27">
        <f>I518*J518</f>
        <v>0</v>
      </c>
      <c r="N518" s="56">
        <f>IF(M623=0,0,M518/M623)</f>
        <v>0</v>
      </c>
      <c r="O518" s="39" t="s">
        <v>1068</v>
      </c>
      <c r="P518" s="6"/>
      <c r="Z518" s="45">
        <f>IF(AQ518="5",BJ518,0)</f>
        <v>0</v>
      </c>
      <c r="AB518" s="45">
        <f>IF(AQ518="1",BH518,0)</f>
        <v>0</v>
      </c>
      <c r="AC518" s="45">
        <f>IF(AQ518="1",BI518,0)</f>
        <v>0</v>
      </c>
      <c r="AD518" s="45">
        <f>IF(AQ518="7",BH518,0)</f>
        <v>0</v>
      </c>
      <c r="AE518" s="45">
        <f>IF(AQ518="7",BI518,0)</f>
        <v>0</v>
      </c>
      <c r="AF518" s="45">
        <f>IF(AQ518="2",BH518,0)</f>
        <v>0</v>
      </c>
      <c r="AG518" s="45">
        <f>IF(AQ518="2",BI518,0)</f>
        <v>0</v>
      </c>
      <c r="AH518" s="45">
        <f>IF(AQ518="0",BJ518,0)</f>
        <v>0</v>
      </c>
      <c r="AI518" s="44" t="s">
        <v>305</v>
      </c>
      <c r="AJ518" s="27">
        <f>IF(AN518=0,M518,0)</f>
        <v>0</v>
      </c>
      <c r="AK518" s="27">
        <f>IF(AN518=15,M518,0)</f>
        <v>0</v>
      </c>
      <c r="AL518" s="27">
        <f>IF(AN518=21,M518,0)</f>
        <v>0</v>
      </c>
      <c r="AN518" s="45">
        <v>15</v>
      </c>
      <c r="AO518" s="45">
        <f>J518*0.03875</f>
        <v>0</v>
      </c>
      <c r="AP518" s="45">
        <f>J518*(1-0.03875)</f>
        <v>0</v>
      </c>
      <c r="AQ518" s="46" t="s">
        <v>8</v>
      </c>
      <c r="AV518" s="45">
        <f>AW518+AX518</f>
        <v>0</v>
      </c>
      <c r="AW518" s="45">
        <f>I518*AO518</f>
        <v>0</v>
      </c>
      <c r="AX518" s="45">
        <f>I518*AP518</f>
        <v>0</v>
      </c>
      <c r="AY518" s="48" t="s">
        <v>1110</v>
      </c>
      <c r="AZ518" s="48" t="s">
        <v>1128</v>
      </c>
      <c r="BA518" s="44" t="s">
        <v>1139</v>
      </c>
      <c r="BC518" s="45">
        <f>AW518+AX518</f>
        <v>0</v>
      </c>
      <c r="BD518" s="45">
        <f>J518/(100-BE518)*100</f>
        <v>0</v>
      </c>
      <c r="BE518" s="45">
        <v>0</v>
      </c>
      <c r="BF518" s="45">
        <f>518</f>
        <v>518</v>
      </c>
      <c r="BH518" s="27">
        <f>I518*AO518</f>
        <v>0</v>
      </c>
      <c r="BI518" s="27">
        <f>I518*AP518</f>
        <v>0</v>
      </c>
      <c r="BJ518" s="27">
        <f>I518*J518</f>
        <v>0</v>
      </c>
      <c r="BK518" s="27" t="s">
        <v>1146</v>
      </c>
      <c r="BL518" s="45" t="s">
        <v>573</v>
      </c>
    </row>
    <row r="519" spans="1:64" x14ac:dyDescent="0.2">
      <c r="A519" s="6"/>
      <c r="C519" s="21" t="s">
        <v>310</v>
      </c>
      <c r="D519" s="245" t="s">
        <v>698</v>
      </c>
      <c r="E519" s="246"/>
      <c r="F519" s="246"/>
      <c r="G519" s="246"/>
      <c r="H519" s="246"/>
      <c r="I519" s="246"/>
      <c r="J519" s="246"/>
      <c r="K519" s="246"/>
      <c r="L519" s="246"/>
      <c r="M519" s="246"/>
      <c r="N519" s="246"/>
      <c r="O519" s="247"/>
      <c r="P519" s="6"/>
    </row>
    <row r="520" spans="1:64" x14ac:dyDescent="0.2">
      <c r="A520" s="7" t="s">
        <v>256</v>
      </c>
      <c r="B520" s="17" t="s">
        <v>305</v>
      </c>
      <c r="C520" s="17" t="s">
        <v>575</v>
      </c>
      <c r="D520" s="241" t="s">
        <v>978</v>
      </c>
      <c r="E520" s="242"/>
      <c r="F520" s="242"/>
      <c r="G520" s="242"/>
      <c r="H520" s="17" t="s">
        <v>1047</v>
      </c>
      <c r="I520" s="28">
        <v>694.76</v>
      </c>
      <c r="J520" s="154"/>
      <c r="K520" s="28">
        <f>I520*AO520</f>
        <v>0</v>
      </c>
      <c r="L520" s="28">
        <f>I520*AP520</f>
        <v>0</v>
      </c>
      <c r="M520" s="28">
        <f>I520*J520</f>
        <v>0</v>
      </c>
      <c r="N520" s="57">
        <f>IF(M623=0,0,M520/M623)</f>
        <v>0</v>
      </c>
      <c r="O520" s="40" t="s">
        <v>1068</v>
      </c>
      <c r="P520" s="6"/>
      <c r="Z520" s="45">
        <f>IF(AQ520="5",BJ520,0)</f>
        <v>0</v>
      </c>
      <c r="AB520" s="45">
        <f>IF(AQ520="1",BH520,0)</f>
        <v>0</v>
      </c>
      <c r="AC520" s="45">
        <f>IF(AQ520="1",BI520,0)</f>
        <v>0</v>
      </c>
      <c r="AD520" s="45">
        <f>IF(AQ520="7",BH520,0)</f>
        <v>0</v>
      </c>
      <c r="AE520" s="45">
        <f>IF(AQ520="7",BI520,0)</f>
        <v>0</v>
      </c>
      <c r="AF520" s="45">
        <f>IF(AQ520="2",BH520,0)</f>
        <v>0</v>
      </c>
      <c r="AG520" s="45">
        <f>IF(AQ520="2",BI520,0)</f>
        <v>0</v>
      </c>
      <c r="AH520" s="45">
        <f>IF(AQ520="0",BJ520,0)</f>
        <v>0</v>
      </c>
      <c r="AI520" s="44" t="s">
        <v>305</v>
      </c>
      <c r="AJ520" s="28">
        <f>IF(AN520=0,M520,0)</f>
        <v>0</v>
      </c>
      <c r="AK520" s="28">
        <f>IF(AN520=15,M520,0)</f>
        <v>0</v>
      </c>
      <c r="AL520" s="28">
        <f>IF(AN520=21,M520,0)</f>
        <v>0</v>
      </c>
      <c r="AN520" s="45">
        <v>15</v>
      </c>
      <c r="AO520" s="45">
        <f>J520*1</f>
        <v>0</v>
      </c>
      <c r="AP520" s="45">
        <f>J520*(1-1)</f>
        <v>0</v>
      </c>
      <c r="AQ520" s="47" t="s">
        <v>7</v>
      </c>
      <c r="AV520" s="45">
        <f>AW520+AX520</f>
        <v>0</v>
      </c>
      <c r="AW520" s="45">
        <f>I520*AO520</f>
        <v>0</v>
      </c>
      <c r="AX520" s="45">
        <f>I520*AP520</f>
        <v>0</v>
      </c>
      <c r="AY520" s="48" t="s">
        <v>1110</v>
      </c>
      <c r="AZ520" s="48" t="s">
        <v>1128</v>
      </c>
      <c r="BA520" s="44" t="s">
        <v>1139</v>
      </c>
      <c r="BC520" s="45">
        <f>AW520+AX520</f>
        <v>0</v>
      </c>
      <c r="BD520" s="45">
        <f>J520/(100-BE520)*100</f>
        <v>0</v>
      </c>
      <c r="BE520" s="45">
        <v>0</v>
      </c>
      <c r="BF520" s="45">
        <f>520</f>
        <v>520</v>
      </c>
      <c r="BH520" s="28">
        <f>I520*AO520</f>
        <v>0</v>
      </c>
      <c r="BI520" s="28">
        <f>I520*AP520</f>
        <v>0</v>
      </c>
      <c r="BJ520" s="28">
        <f>I520*J520</f>
        <v>0</v>
      </c>
      <c r="BK520" s="28" t="s">
        <v>1147</v>
      </c>
      <c r="BL520" s="45" t="s">
        <v>573</v>
      </c>
    </row>
    <row r="521" spans="1:64" x14ac:dyDescent="0.2">
      <c r="A521" s="5" t="s">
        <v>257</v>
      </c>
      <c r="B521" s="16" t="s">
        <v>305</v>
      </c>
      <c r="C521" s="16" t="s">
        <v>576</v>
      </c>
      <c r="D521" s="243" t="s">
        <v>979</v>
      </c>
      <c r="E521" s="244"/>
      <c r="F521" s="244"/>
      <c r="G521" s="244"/>
      <c r="H521" s="16" t="s">
        <v>1045</v>
      </c>
      <c r="I521" s="27">
        <v>24</v>
      </c>
      <c r="J521" s="149"/>
      <c r="K521" s="27">
        <f>I521*AO521</f>
        <v>0</v>
      </c>
      <c r="L521" s="27">
        <f>I521*AP521</f>
        <v>0</v>
      </c>
      <c r="M521" s="27">
        <f>I521*J521</f>
        <v>0</v>
      </c>
      <c r="N521" s="56">
        <f>IF(M623=0,0,M521/M623)</f>
        <v>0</v>
      </c>
      <c r="O521" s="39" t="s">
        <v>1068</v>
      </c>
      <c r="P521" s="6"/>
      <c r="Z521" s="45">
        <f>IF(AQ521="5",BJ521,0)</f>
        <v>0</v>
      </c>
      <c r="AB521" s="45">
        <f>IF(AQ521="1",BH521,0)</f>
        <v>0</v>
      </c>
      <c r="AC521" s="45">
        <f>IF(AQ521="1",BI521,0)</f>
        <v>0</v>
      </c>
      <c r="AD521" s="45">
        <f>IF(AQ521="7",BH521,0)</f>
        <v>0</v>
      </c>
      <c r="AE521" s="45">
        <f>IF(AQ521="7",BI521,0)</f>
        <v>0</v>
      </c>
      <c r="AF521" s="45">
        <f>IF(AQ521="2",BH521,0)</f>
        <v>0</v>
      </c>
      <c r="AG521" s="45">
        <f>IF(AQ521="2",BI521,0)</f>
        <v>0</v>
      </c>
      <c r="AH521" s="45">
        <f>IF(AQ521="0",BJ521,0)</f>
        <v>0</v>
      </c>
      <c r="AI521" s="44" t="s">
        <v>305</v>
      </c>
      <c r="AJ521" s="27">
        <f>IF(AN521=0,M521,0)</f>
        <v>0</v>
      </c>
      <c r="AK521" s="27">
        <f>IF(AN521=15,M521,0)</f>
        <v>0</v>
      </c>
      <c r="AL521" s="27">
        <f>IF(AN521=21,M521,0)</f>
        <v>0</v>
      </c>
      <c r="AN521" s="45">
        <v>15</v>
      </c>
      <c r="AO521" s="45">
        <f>J521*0.567365032455539</f>
        <v>0</v>
      </c>
      <c r="AP521" s="45">
        <f>J521*(1-0.567365032455539)</f>
        <v>0</v>
      </c>
      <c r="AQ521" s="46" t="s">
        <v>7</v>
      </c>
      <c r="AV521" s="45">
        <f>AW521+AX521</f>
        <v>0</v>
      </c>
      <c r="AW521" s="45">
        <f>I521*AO521</f>
        <v>0</v>
      </c>
      <c r="AX521" s="45">
        <f>I521*AP521</f>
        <v>0</v>
      </c>
      <c r="AY521" s="48" t="s">
        <v>1110</v>
      </c>
      <c r="AZ521" s="48" t="s">
        <v>1128</v>
      </c>
      <c r="BA521" s="44" t="s">
        <v>1139</v>
      </c>
      <c r="BC521" s="45">
        <f>AW521+AX521</f>
        <v>0</v>
      </c>
      <c r="BD521" s="45">
        <f>J521/(100-BE521)*100</f>
        <v>0</v>
      </c>
      <c r="BE521" s="45">
        <v>0</v>
      </c>
      <c r="BF521" s="45">
        <f>521</f>
        <v>521</v>
      </c>
      <c r="BH521" s="27">
        <f>I521*AO521</f>
        <v>0</v>
      </c>
      <c r="BI521" s="27">
        <f>I521*AP521</f>
        <v>0</v>
      </c>
      <c r="BJ521" s="27">
        <f>I521*J521</f>
        <v>0</v>
      </c>
      <c r="BK521" s="27" t="s">
        <v>1146</v>
      </c>
      <c r="BL521" s="45" t="s">
        <v>573</v>
      </c>
    </row>
    <row r="522" spans="1:64" x14ac:dyDescent="0.2">
      <c r="A522" s="5" t="s">
        <v>258</v>
      </c>
      <c r="B522" s="16" t="s">
        <v>305</v>
      </c>
      <c r="C522" s="16" t="s">
        <v>577</v>
      </c>
      <c r="D522" s="243" t="s">
        <v>980</v>
      </c>
      <c r="E522" s="244"/>
      <c r="F522" s="244"/>
      <c r="G522" s="244"/>
      <c r="H522" s="16" t="s">
        <v>1042</v>
      </c>
      <c r="I522" s="27">
        <v>5.12</v>
      </c>
      <c r="J522" s="149"/>
      <c r="K522" s="27">
        <f>I522*AO522</f>
        <v>0</v>
      </c>
      <c r="L522" s="27">
        <f>I522*AP522</f>
        <v>0</v>
      </c>
      <c r="M522" s="27">
        <f>I522*J522</f>
        <v>0</v>
      </c>
      <c r="N522" s="56">
        <f>IF(M623=0,0,M522/M623)</f>
        <v>0</v>
      </c>
      <c r="O522" s="39" t="s">
        <v>1068</v>
      </c>
      <c r="P522" s="6"/>
      <c r="Z522" s="45">
        <f>IF(AQ522="5",BJ522,0)</f>
        <v>0</v>
      </c>
      <c r="AB522" s="45">
        <f>IF(AQ522="1",BH522,0)</f>
        <v>0</v>
      </c>
      <c r="AC522" s="45">
        <f>IF(AQ522="1",BI522,0)</f>
        <v>0</v>
      </c>
      <c r="AD522" s="45">
        <f>IF(AQ522="7",BH522,0)</f>
        <v>0</v>
      </c>
      <c r="AE522" s="45">
        <f>IF(AQ522="7",BI522,0)</f>
        <v>0</v>
      </c>
      <c r="AF522" s="45">
        <f>IF(AQ522="2",BH522,0)</f>
        <v>0</v>
      </c>
      <c r="AG522" s="45">
        <f>IF(AQ522="2",BI522,0)</f>
        <v>0</v>
      </c>
      <c r="AH522" s="45">
        <f>IF(AQ522="0",BJ522,0)</f>
        <v>0</v>
      </c>
      <c r="AI522" s="44" t="s">
        <v>305</v>
      </c>
      <c r="AJ522" s="27">
        <f>IF(AN522=0,M522,0)</f>
        <v>0</v>
      </c>
      <c r="AK522" s="27">
        <f>IF(AN522=15,M522,0)</f>
        <v>0</v>
      </c>
      <c r="AL522" s="27">
        <f>IF(AN522=21,M522,0)</f>
        <v>0</v>
      </c>
      <c r="AN522" s="45">
        <v>15</v>
      </c>
      <c r="AO522" s="45">
        <f>J522*0</f>
        <v>0</v>
      </c>
      <c r="AP522" s="45">
        <f>J522*(1-0)</f>
        <v>0</v>
      </c>
      <c r="AQ522" s="46" t="s">
        <v>7</v>
      </c>
      <c r="AV522" s="45">
        <f>AW522+AX522</f>
        <v>0</v>
      </c>
      <c r="AW522" s="45">
        <f>I522*AO522</f>
        <v>0</v>
      </c>
      <c r="AX522" s="45">
        <f>I522*AP522</f>
        <v>0</v>
      </c>
      <c r="AY522" s="48" t="s">
        <v>1110</v>
      </c>
      <c r="AZ522" s="48" t="s">
        <v>1128</v>
      </c>
      <c r="BA522" s="44" t="s">
        <v>1139</v>
      </c>
      <c r="BC522" s="45">
        <f>AW522+AX522</f>
        <v>0</v>
      </c>
      <c r="BD522" s="45">
        <f>J522/(100-BE522)*100</f>
        <v>0</v>
      </c>
      <c r="BE522" s="45">
        <v>0</v>
      </c>
      <c r="BF522" s="45">
        <f>522</f>
        <v>522</v>
      </c>
      <c r="BH522" s="27">
        <f>I522*AO522</f>
        <v>0</v>
      </c>
      <c r="BI522" s="27">
        <f>I522*AP522</f>
        <v>0</v>
      </c>
      <c r="BJ522" s="27">
        <f>I522*J522</f>
        <v>0</v>
      </c>
      <c r="BK522" s="27" t="s">
        <v>1146</v>
      </c>
      <c r="BL522" s="45" t="s">
        <v>573</v>
      </c>
    </row>
    <row r="523" spans="1:64" x14ac:dyDescent="0.2">
      <c r="A523" s="6"/>
      <c r="C523" s="21" t="s">
        <v>310</v>
      </c>
      <c r="D523" s="245" t="s">
        <v>698</v>
      </c>
      <c r="E523" s="246"/>
      <c r="F523" s="246"/>
      <c r="G523" s="246"/>
      <c r="H523" s="246"/>
      <c r="I523" s="246"/>
      <c r="J523" s="246"/>
      <c r="K523" s="246"/>
      <c r="L523" s="246"/>
      <c r="M523" s="246"/>
      <c r="N523" s="246"/>
      <c r="O523" s="247"/>
      <c r="P523" s="6"/>
    </row>
    <row r="524" spans="1:64" x14ac:dyDescent="0.2">
      <c r="A524" s="8"/>
      <c r="B524" s="18" t="s">
        <v>306</v>
      </c>
      <c r="C524" s="18"/>
      <c r="D524" s="254" t="s">
        <v>981</v>
      </c>
      <c r="E524" s="255"/>
      <c r="F524" s="255"/>
      <c r="G524" s="255"/>
      <c r="H524" s="25" t="s">
        <v>6</v>
      </c>
      <c r="I524" s="25" t="s">
        <v>6</v>
      </c>
      <c r="J524" s="25" t="s">
        <v>6</v>
      </c>
      <c r="K524" s="52">
        <f>K525+K530+K533+K535+K548+K562+K570+K574+K576</f>
        <v>0</v>
      </c>
      <c r="L524" s="52">
        <f>L525+L530+L533+L535+L548+L562+L570+L574+L576</f>
        <v>0</v>
      </c>
      <c r="M524" s="52">
        <f>M525+M530+M533+M535+M548+M562+M570+M574+M576</f>
        <v>0</v>
      </c>
      <c r="N524" s="58">
        <f>IF(M623=0,0,M524/M623)</f>
        <v>0</v>
      </c>
      <c r="O524" s="41"/>
      <c r="P524" s="6"/>
    </row>
    <row r="525" spans="1:64" x14ac:dyDescent="0.2">
      <c r="A525" s="4"/>
      <c r="B525" s="15" t="s">
        <v>306</v>
      </c>
      <c r="C525" s="15" t="s">
        <v>17</v>
      </c>
      <c r="D525" s="237" t="s">
        <v>982</v>
      </c>
      <c r="E525" s="238"/>
      <c r="F525" s="238"/>
      <c r="G525" s="238"/>
      <c r="H525" s="24" t="s">
        <v>6</v>
      </c>
      <c r="I525" s="24" t="s">
        <v>6</v>
      </c>
      <c r="J525" s="24" t="s">
        <v>6</v>
      </c>
      <c r="K525" s="51">
        <f>SUM(K526:K528)</f>
        <v>0</v>
      </c>
      <c r="L525" s="51">
        <f>SUM(L526:L528)</f>
        <v>0</v>
      </c>
      <c r="M525" s="51">
        <f>SUM(M526:M528)</f>
        <v>0</v>
      </c>
      <c r="N525" s="55">
        <f>IF(M623=0,0,M525/M623)</f>
        <v>0</v>
      </c>
      <c r="O525" s="38"/>
      <c r="P525" s="6"/>
      <c r="AI525" s="44" t="s">
        <v>306</v>
      </c>
      <c r="AS525" s="51">
        <f>SUM(AJ526:AJ528)</f>
        <v>0</v>
      </c>
      <c r="AT525" s="51">
        <f>SUM(AK526:AK528)</f>
        <v>0</v>
      </c>
      <c r="AU525" s="51">
        <f>SUM(AL526:AL528)</f>
        <v>0</v>
      </c>
    </row>
    <row r="526" spans="1:64" x14ac:dyDescent="0.2">
      <c r="A526" s="5" t="s">
        <v>259</v>
      </c>
      <c r="B526" s="16" t="s">
        <v>306</v>
      </c>
      <c r="C526" s="16" t="s">
        <v>578</v>
      </c>
      <c r="D526" s="243" t="s">
        <v>983</v>
      </c>
      <c r="E526" s="244"/>
      <c r="F526" s="244"/>
      <c r="G526" s="244"/>
      <c r="H526" s="16" t="s">
        <v>1044</v>
      </c>
      <c r="I526" s="27">
        <v>3.5</v>
      </c>
      <c r="J526" s="149"/>
      <c r="K526" s="27">
        <f>I526*AO526</f>
        <v>0</v>
      </c>
      <c r="L526" s="27">
        <f>I526*AP526</f>
        <v>0</v>
      </c>
      <c r="M526" s="27">
        <f>I526*J526</f>
        <v>0</v>
      </c>
      <c r="N526" s="56">
        <f>IF(M623=0,0,M526/M623)</f>
        <v>0</v>
      </c>
      <c r="O526" s="39" t="s">
        <v>1068</v>
      </c>
      <c r="P526" s="6"/>
      <c r="Z526" s="45">
        <f>IF(AQ526="5",BJ526,0)</f>
        <v>0</v>
      </c>
      <c r="AB526" s="45">
        <f>IF(AQ526="1",BH526,0)</f>
        <v>0</v>
      </c>
      <c r="AC526" s="45">
        <f>IF(AQ526="1",BI526,0)</f>
        <v>0</v>
      </c>
      <c r="AD526" s="45">
        <f>IF(AQ526="7",BH526,0)</f>
        <v>0</v>
      </c>
      <c r="AE526" s="45">
        <f>IF(AQ526="7",BI526,0)</f>
        <v>0</v>
      </c>
      <c r="AF526" s="45">
        <f>IF(AQ526="2",BH526,0)</f>
        <v>0</v>
      </c>
      <c r="AG526" s="45">
        <f>IF(AQ526="2",BI526,0)</f>
        <v>0</v>
      </c>
      <c r="AH526" s="45">
        <f>IF(AQ526="0",BJ526,0)</f>
        <v>0</v>
      </c>
      <c r="AI526" s="44" t="s">
        <v>306</v>
      </c>
      <c r="AJ526" s="27">
        <f>IF(AN526=0,M526,0)</f>
        <v>0</v>
      </c>
      <c r="AK526" s="27">
        <f>IF(AN526=15,M526,0)</f>
        <v>0</v>
      </c>
      <c r="AL526" s="27">
        <f>IF(AN526=21,M526,0)</f>
        <v>0</v>
      </c>
      <c r="AN526" s="45">
        <v>15</v>
      </c>
      <c r="AO526" s="45">
        <f>J526*0</f>
        <v>0</v>
      </c>
      <c r="AP526" s="45">
        <f>J526*(1-0)</f>
        <v>0</v>
      </c>
      <c r="AQ526" s="46" t="s">
        <v>7</v>
      </c>
      <c r="AV526" s="45">
        <f>AW526+AX526</f>
        <v>0</v>
      </c>
      <c r="AW526" s="45">
        <f>I526*AO526</f>
        <v>0</v>
      </c>
      <c r="AX526" s="45">
        <f>I526*AP526</f>
        <v>0</v>
      </c>
      <c r="AY526" s="48" t="s">
        <v>1111</v>
      </c>
      <c r="AZ526" s="48" t="s">
        <v>1129</v>
      </c>
      <c r="BA526" s="44" t="s">
        <v>1140</v>
      </c>
      <c r="BC526" s="45">
        <f>AW526+AX526</f>
        <v>0</v>
      </c>
      <c r="BD526" s="45">
        <f>J526/(100-BE526)*100</f>
        <v>0</v>
      </c>
      <c r="BE526" s="45">
        <v>0</v>
      </c>
      <c r="BF526" s="45">
        <f>526</f>
        <v>526</v>
      </c>
      <c r="BH526" s="27">
        <f>I526*AO526</f>
        <v>0</v>
      </c>
      <c r="BI526" s="27">
        <f>I526*AP526</f>
        <v>0</v>
      </c>
      <c r="BJ526" s="27">
        <f>I526*J526</f>
        <v>0</v>
      </c>
      <c r="BK526" s="27" t="s">
        <v>1146</v>
      </c>
      <c r="BL526" s="45">
        <v>11</v>
      </c>
    </row>
    <row r="527" spans="1:64" x14ac:dyDescent="0.2">
      <c r="A527" s="6"/>
      <c r="C527" s="21" t="s">
        <v>310</v>
      </c>
      <c r="D527" s="245" t="s">
        <v>622</v>
      </c>
      <c r="E527" s="246"/>
      <c r="F527" s="246"/>
      <c r="G527" s="246"/>
      <c r="H527" s="246"/>
      <c r="I527" s="246"/>
      <c r="J527" s="246"/>
      <c r="K527" s="246"/>
      <c r="L527" s="246"/>
      <c r="M527" s="246"/>
      <c r="N527" s="246"/>
      <c r="O527" s="247"/>
      <c r="P527" s="6"/>
    </row>
    <row r="528" spans="1:64" x14ac:dyDescent="0.2">
      <c r="A528" s="5" t="s">
        <v>260</v>
      </c>
      <c r="B528" s="16" t="s">
        <v>306</v>
      </c>
      <c r="C528" s="16" t="s">
        <v>579</v>
      </c>
      <c r="D528" s="243" t="s">
        <v>984</v>
      </c>
      <c r="E528" s="244"/>
      <c r="F528" s="244"/>
      <c r="G528" s="244"/>
      <c r="H528" s="16" t="s">
        <v>1042</v>
      </c>
      <c r="I528" s="27">
        <v>9.4</v>
      </c>
      <c r="J528" s="149"/>
      <c r="K528" s="27">
        <f>I528*AO528</f>
        <v>0</v>
      </c>
      <c r="L528" s="27">
        <f>I528*AP528</f>
        <v>0</v>
      </c>
      <c r="M528" s="27">
        <f>I528*J528</f>
        <v>0</v>
      </c>
      <c r="N528" s="56">
        <f>IF(M623=0,0,M528/M623)</f>
        <v>0</v>
      </c>
      <c r="O528" s="39" t="s">
        <v>1068</v>
      </c>
      <c r="P528" s="6"/>
      <c r="Z528" s="45">
        <f>IF(AQ528="5",BJ528,0)</f>
        <v>0</v>
      </c>
      <c r="AB528" s="45">
        <f>IF(AQ528="1",BH528,0)</f>
        <v>0</v>
      </c>
      <c r="AC528" s="45">
        <f>IF(AQ528="1",BI528,0)</f>
        <v>0</v>
      </c>
      <c r="AD528" s="45">
        <f>IF(AQ528="7",BH528,0)</f>
        <v>0</v>
      </c>
      <c r="AE528" s="45">
        <f>IF(AQ528="7",BI528,0)</f>
        <v>0</v>
      </c>
      <c r="AF528" s="45">
        <f>IF(AQ528="2",BH528,0)</f>
        <v>0</v>
      </c>
      <c r="AG528" s="45">
        <f>IF(AQ528="2",BI528,0)</f>
        <v>0</v>
      </c>
      <c r="AH528" s="45">
        <f>IF(AQ528="0",BJ528,0)</f>
        <v>0</v>
      </c>
      <c r="AI528" s="44" t="s">
        <v>306</v>
      </c>
      <c r="AJ528" s="27">
        <f>IF(AN528=0,M528,0)</f>
        <v>0</v>
      </c>
      <c r="AK528" s="27">
        <f>IF(AN528=15,M528,0)</f>
        <v>0</v>
      </c>
      <c r="AL528" s="27">
        <f>IF(AN528=21,M528,0)</f>
        <v>0</v>
      </c>
      <c r="AN528" s="45">
        <v>15</v>
      </c>
      <c r="AO528" s="45">
        <f>J528*0</f>
        <v>0</v>
      </c>
      <c r="AP528" s="45">
        <f>J528*(1-0)</f>
        <v>0</v>
      </c>
      <c r="AQ528" s="46" t="s">
        <v>7</v>
      </c>
      <c r="AV528" s="45">
        <f>AW528+AX528</f>
        <v>0</v>
      </c>
      <c r="AW528" s="45">
        <f>I528*AO528</f>
        <v>0</v>
      </c>
      <c r="AX528" s="45">
        <f>I528*AP528</f>
        <v>0</v>
      </c>
      <c r="AY528" s="48" t="s">
        <v>1111</v>
      </c>
      <c r="AZ528" s="48" t="s">
        <v>1129</v>
      </c>
      <c r="BA528" s="44" t="s">
        <v>1140</v>
      </c>
      <c r="BC528" s="45">
        <f>AW528+AX528</f>
        <v>0</v>
      </c>
      <c r="BD528" s="45">
        <f>J528/(100-BE528)*100</f>
        <v>0</v>
      </c>
      <c r="BE528" s="45">
        <v>0</v>
      </c>
      <c r="BF528" s="45">
        <f>528</f>
        <v>528</v>
      </c>
      <c r="BH528" s="27">
        <f>I528*AO528</f>
        <v>0</v>
      </c>
      <c r="BI528" s="27">
        <f>I528*AP528</f>
        <v>0</v>
      </c>
      <c r="BJ528" s="27">
        <f>I528*J528</f>
        <v>0</v>
      </c>
      <c r="BK528" s="27" t="s">
        <v>1146</v>
      </c>
      <c r="BL528" s="45">
        <v>11</v>
      </c>
    </row>
    <row r="529" spans="1:64" x14ac:dyDescent="0.2">
      <c r="A529" s="6"/>
      <c r="C529" s="21" t="s">
        <v>310</v>
      </c>
      <c r="D529" s="245" t="s">
        <v>622</v>
      </c>
      <c r="E529" s="246"/>
      <c r="F529" s="246"/>
      <c r="G529" s="246"/>
      <c r="H529" s="246"/>
      <c r="I529" s="246"/>
      <c r="J529" s="246"/>
      <c r="K529" s="246"/>
      <c r="L529" s="246"/>
      <c r="M529" s="246"/>
      <c r="N529" s="246"/>
      <c r="O529" s="247"/>
      <c r="P529" s="6"/>
    </row>
    <row r="530" spans="1:64" x14ac:dyDescent="0.2">
      <c r="A530" s="4"/>
      <c r="B530" s="15" t="s">
        <v>306</v>
      </c>
      <c r="C530" s="15" t="s">
        <v>19</v>
      </c>
      <c r="D530" s="237" t="s">
        <v>626</v>
      </c>
      <c r="E530" s="238"/>
      <c r="F530" s="238"/>
      <c r="G530" s="238"/>
      <c r="H530" s="24" t="s">
        <v>6</v>
      </c>
      <c r="I530" s="24" t="s">
        <v>6</v>
      </c>
      <c r="J530" s="24" t="s">
        <v>6</v>
      </c>
      <c r="K530" s="51">
        <f>SUM(K531:K531)</f>
        <v>0</v>
      </c>
      <c r="L530" s="51">
        <f>SUM(L531:L531)</f>
        <v>0</v>
      </c>
      <c r="M530" s="51">
        <f>SUM(M531:M531)</f>
        <v>0</v>
      </c>
      <c r="N530" s="55">
        <f>IF(M623=0,0,M530/M623)</f>
        <v>0</v>
      </c>
      <c r="O530" s="38"/>
      <c r="P530" s="6"/>
      <c r="AI530" s="44" t="s">
        <v>306</v>
      </c>
      <c r="AS530" s="51">
        <f>SUM(AJ531:AJ531)</f>
        <v>0</v>
      </c>
      <c r="AT530" s="51">
        <f>SUM(AK531:AK531)</f>
        <v>0</v>
      </c>
      <c r="AU530" s="51">
        <f>SUM(AL531:AL531)</f>
        <v>0</v>
      </c>
    </row>
    <row r="531" spans="1:64" x14ac:dyDescent="0.2">
      <c r="A531" s="5" t="s">
        <v>261</v>
      </c>
      <c r="B531" s="16" t="s">
        <v>306</v>
      </c>
      <c r="C531" s="16" t="s">
        <v>580</v>
      </c>
      <c r="D531" s="243" t="s">
        <v>985</v>
      </c>
      <c r="E531" s="244"/>
      <c r="F531" s="244"/>
      <c r="G531" s="244"/>
      <c r="H531" s="16" t="s">
        <v>1041</v>
      </c>
      <c r="I531" s="27">
        <v>20.059999999999999</v>
      </c>
      <c r="J531" s="149"/>
      <c r="K531" s="27">
        <f>I531*AO531</f>
        <v>0</v>
      </c>
      <c r="L531" s="27">
        <f>I531*AP531</f>
        <v>0</v>
      </c>
      <c r="M531" s="27">
        <f>I531*J531</f>
        <v>0</v>
      </c>
      <c r="N531" s="56">
        <f>IF(M623=0,0,M531/M623)</f>
        <v>0</v>
      </c>
      <c r="O531" s="39" t="s">
        <v>1068</v>
      </c>
      <c r="P531" s="6"/>
      <c r="Z531" s="45">
        <f>IF(AQ531="5",BJ531,0)</f>
        <v>0</v>
      </c>
      <c r="AB531" s="45">
        <f>IF(AQ531="1",BH531,0)</f>
        <v>0</v>
      </c>
      <c r="AC531" s="45">
        <f>IF(AQ531="1",BI531,0)</f>
        <v>0</v>
      </c>
      <c r="AD531" s="45">
        <f>IF(AQ531="7",BH531,0)</f>
        <v>0</v>
      </c>
      <c r="AE531" s="45">
        <f>IF(AQ531="7",BI531,0)</f>
        <v>0</v>
      </c>
      <c r="AF531" s="45">
        <f>IF(AQ531="2",BH531,0)</f>
        <v>0</v>
      </c>
      <c r="AG531" s="45">
        <f>IF(AQ531="2",BI531,0)</f>
        <v>0</v>
      </c>
      <c r="AH531" s="45">
        <f>IF(AQ531="0",BJ531,0)</f>
        <v>0</v>
      </c>
      <c r="AI531" s="44" t="s">
        <v>306</v>
      </c>
      <c r="AJ531" s="27">
        <f>IF(AN531=0,M531,0)</f>
        <v>0</v>
      </c>
      <c r="AK531" s="27">
        <f>IF(AN531=15,M531,0)</f>
        <v>0</v>
      </c>
      <c r="AL531" s="27">
        <f>IF(AN531=21,M531,0)</f>
        <v>0</v>
      </c>
      <c r="AN531" s="45">
        <v>15</v>
      </c>
      <c r="AO531" s="45">
        <f>J531*0</f>
        <v>0</v>
      </c>
      <c r="AP531" s="45">
        <f>J531*(1-0)</f>
        <v>0</v>
      </c>
      <c r="AQ531" s="46" t="s">
        <v>7</v>
      </c>
      <c r="AV531" s="45">
        <f>AW531+AX531</f>
        <v>0</v>
      </c>
      <c r="AW531" s="45">
        <f>I531*AO531</f>
        <v>0</v>
      </c>
      <c r="AX531" s="45">
        <f>I531*AP531</f>
        <v>0</v>
      </c>
      <c r="AY531" s="48" t="s">
        <v>1081</v>
      </c>
      <c r="AZ531" s="48" t="s">
        <v>1129</v>
      </c>
      <c r="BA531" s="44" t="s">
        <v>1140</v>
      </c>
      <c r="BC531" s="45">
        <f>AW531+AX531</f>
        <v>0</v>
      </c>
      <c r="BD531" s="45">
        <f>J531/(100-BE531)*100</f>
        <v>0</v>
      </c>
      <c r="BE531" s="45">
        <v>0</v>
      </c>
      <c r="BF531" s="45">
        <f>531</f>
        <v>531</v>
      </c>
      <c r="BH531" s="27">
        <f>I531*AO531</f>
        <v>0</v>
      </c>
      <c r="BI531" s="27">
        <f>I531*AP531</f>
        <v>0</v>
      </c>
      <c r="BJ531" s="27">
        <f>I531*J531</f>
        <v>0</v>
      </c>
      <c r="BK531" s="27" t="s">
        <v>1146</v>
      </c>
      <c r="BL531" s="45">
        <v>13</v>
      </c>
    </row>
    <row r="532" spans="1:64" x14ac:dyDescent="0.2">
      <c r="A532" s="6"/>
      <c r="C532" s="21" t="s">
        <v>310</v>
      </c>
      <c r="D532" s="245" t="s">
        <v>622</v>
      </c>
      <c r="E532" s="246"/>
      <c r="F532" s="246"/>
      <c r="G532" s="246"/>
      <c r="H532" s="246"/>
      <c r="I532" s="246"/>
      <c r="J532" s="246"/>
      <c r="K532" s="246"/>
      <c r="L532" s="246"/>
      <c r="M532" s="246"/>
      <c r="N532" s="246"/>
      <c r="O532" s="247"/>
      <c r="P532" s="6"/>
    </row>
    <row r="533" spans="1:64" x14ac:dyDescent="0.2">
      <c r="A533" s="4"/>
      <c r="B533" s="15" t="s">
        <v>306</v>
      </c>
      <c r="C533" s="15" t="s">
        <v>22</v>
      </c>
      <c r="D533" s="237" t="s">
        <v>635</v>
      </c>
      <c r="E533" s="238"/>
      <c r="F533" s="238"/>
      <c r="G533" s="238"/>
      <c r="H533" s="24" t="s">
        <v>6</v>
      </c>
      <c r="I533" s="24" t="s">
        <v>6</v>
      </c>
      <c r="J533" s="24" t="s">
        <v>6</v>
      </c>
      <c r="K533" s="51">
        <f>SUM(K534:K534)</f>
        <v>0</v>
      </c>
      <c r="L533" s="51">
        <f>SUM(L534:L534)</f>
        <v>0</v>
      </c>
      <c r="M533" s="51">
        <f>SUM(M534:M534)</f>
        <v>0</v>
      </c>
      <c r="N533" s="55">
        <f>IF(M623=0,0,M533/M623)</f>
        <v>0</v>
      </c>
      <c r="O533" s="38"/>
      <c r="P533" s="6"/>
      <c r="AI533" s="44" t="s">
        <v>306</v>
      </c>
      <c r="AS533" s="51">
        <f>SUM(AJ534:AJ534)</f>
        <v>0</v>
      </c>
      <c r="AT533" s="51">
        <f>SUM(AK534:AK534)</f>
        <v>0</v>
      </c>
      <c r="AU533" s="51">
        <f>SUM(AL534:AL534)</f>
        <v>0</v>
      </c>
    </row>
    <row r="534" spans="1:64" x14ac:dyDescent="0.2">
      <c r="A534" s="5" t="s">
        <v>262</v>
      </c>
      <c r="B534" s="16" t="s">
        <v>306</v>
      </c>
      <c r="C534" s="16" t="s">
        <v>321</v>
      </c>
      <c r="D534" s="243" t="s">
        <v>636</v>
      </c>
      <c r="E534" s="244"/>
      <c r="F534" s="244"/>
      <c r="G534" s="244"/>
      <c r="H534" s="16" t="s">
        <v>1041</v>
      </c>
      <c r="I534" s="27">
        <v>20.059999999999999</v>
      </c>
      <c r="J534" s="149"/>
      <c r="K534" s="27">
        <f>I534*AO534</f>
        <v>0</v>
      </c>
      <c r="L534" s="27">
        <f>I534*AP534</f>
        <v>0</v>
      </c>
      <c r="M534" s="27">
        <f>I534*J534</f>
        <v>0</v>
      </c>
      <c r="N534" s="56">
        <f>IF(M623=0,0,M534/M623)</f>
        <v>0</v>
      </c>
      <c r="O534" s="39" t="s">
        <v>1068</v>
      </c>
      <c r="P534" s="6"/>
      <c r="Z534" s="45">
        <f>IF(AQ534="5",BJ534,0)</f>
        <v>0</v>
      </c>
      <c r="AB534" s="45">
        <f>IF(AQ534="1",BH534,0)</f>
        <v>0</v>
      </c>
      <c r="AC534" s="45">
        <f>IF(AQ534="1",BI534,0)</f>
        <v>0</v>
      </c>
      <c r="AD534" s="45">
        <f>IF(AQ534="7",BH534,0)</f>
        <v>0</v>
      </c>
      <c r="AE534" s="45">
        <f>IF(AQ534="7",BI534,0)</f>
        <v>0</v>
      </c>
      <c r="AF534" s="45">
        <f>IF(AQ534="2",BH534,0)</f>
        <v>0</v>
      </c>
      <c r="AG534" s="45">
        <f>IF(AQ534="2",BI534,0)</f>
        <v>0</v>
      </c>
      <c r="AH534" s="45">
        <f>IF(AQ534="0",BJ534,0)</f>
        <v>0</v>
      </c>
      <c r="AI534" s="44" t="s">
        <v>306</v>
      </c>
      <c r="AJ534" s="27">
        <f>IF(AN534=0,M534,0)</f>
        <v>0</v>
      </c>
      <c r="AK534" s="27">
        <f>IF(AN534=15,M534,0)</f>
        <v>0</v>
      </c>
      <c r="AL534" s="27">
        <f>IF(AN534=21,M534,0)</f>
        <v>0</v>
      </c>
      <c r="AN534" s="45">
        <v>15</v>
      </c>
      <c r="AO534" s="45">
        <f>J534*0</f>
        <v>0</v>
      </c>
      <c r="AP534" s="45">
        <f>J534*(1-0)</f>
        <v>0</v>
      </c>
      <c r="AQ534" s="46" t="s">
        <v>7</v>
      </c>
      <c r="AV534" s="45">
        <f>AW534+AX534</f>
        <v>0</v>
      </c>
      <c r="AW534" s="45">
        <f>I534*AO534</f>
        <v>0</v>
      </c>
      <c r="AX534" s="45">
        <f>I534*AP534</f>
        <v>0</v>
      </c>
      <c r="AY534" s="48" t="s">
        <v>1082</v>
      </c>
      <c r="AZ534" s="48" t="s">
        <v>1129</v>
      </c>
      <c r="BA534" s="44" t="s">
        <v>1140</v>
      </c>
      <c r="BC534" s="45">
        <f>AW534+AX534</f>
        <v>0</v>
      </c>
      <c r="BD534" s="45">
        <f>J534/(100-BE534)*100</f>
        <v>0</v>
      </c>
      <c r="BE534" s="45">
        <v>0</v>
      </c>
      <c r="BF534" s="45">
        <f>534</f>
        <v>534</v>
      </c>
      <c r="BH534" s="27">
        <f>I534*AO534</f>
        <v>0</v>
      </c>
      <c r="BI534" s="27">
        <f>I534*AP534</f>
        <v>0</v>
      </c>
      <c r="BJ534" s="27">
        <f>I534*J534</f>
        <v>0</v>
      </c>
      <c r="BK534" s="27" t="s">
        <v>1146</v>
      </c>
      <c r="BL534" s="45">
        <v>16</v>
      </c>
    </row>
    <row r="535" spans="1:64" x14ac:dyDescent="0.2">
      <c r="A535" s="4"/>
      <c r="B535" s="15" t="s">
        <v>306</v>
      </c>
      <c r="C535" s="15" t="s">
        <v>62</v>
      </c>
      <c r="D535" s="237" t="s">
        <v>986</v>
      </c>
      <c r="E535" s="238"/>
      <c r="F535" s="238"/>
      <c r="G535" s="238"/>
      <c r="H535" s="24" t="s">
        <v>6</v>
      </c>
      <c r="I535" s="24" t="s">
        <v>6</v>
      </c>
      <c r="J535" s="24" t="s">
        <v>6</v>
      </c>
      <c r="K535" s="51">
        <f>SUM(K536:K545)</f>
        <v>0</v>
      </c>
      <c r="L535" s="51">
        <f>SUM(L536:L545)</f>
        <v>0</v>
      </c>
      <c r="M535" s="51">
        <f>SUM(M536:M545)</f>
        <v>0</v>
      </c>
      <c r="N535" s="55">
        <f>IF(M623=0,0,M535/M623)</f>
        <v>0</v>
      </c>
      <c r="O535" s="38"/>
      <c r="P535" s="6"/>
      <c r="AI535" s="44" t="s">
        <v>306</v>
      </c>
      <c r="AS535" s="51">
        <f>SUM(AJ536:AJ545)</f>
        <v>0</v>
      </c>
      <c r="AT535" s="51">
        <f>SUM(AK536:AK545)</f>
        <v>0</v>
      </c>
      <c r="AU535" s="51">
        <f>SUM(AL536:AL545)</f>
        <v>0</v>
      </c>
    </row>
    <row r="536" spans="1:64" x14ac:dyDescent="0.2">
      <c r="A536" s="5" t="s">
        <v>263</v>
      </c>
      <c r="B536" s="16" t="s">
        <v>306</v>
      </c>
      <c r="C536" s="16" t="s">
        <v>581</v>
      </c>
      <c r="D536" s="243" t="s">
        <v>987</v>
      </c>
      <c r="E536" s="244"/>
      <c r="F536" s="244"/>
      <c r="G536" s="244"/>
      <c r="H536" s="16" t="s">
        <v>1042</v>
      </c>
      <c r="I536" s="27">
        <v>8.36</v>
      </c>
      <c r="J536" s="149"/>
      <c r="K536" s="27">
        <f>I536*AO536</f>
        <v>0</v>
      </c>
      <c r="L536" s="27">
        <f>I536*AP536</f>
        <v>0</v>
      </c>
      <c r="M536" s="27">
        <f>I536*J536</f>
        <v>0</v>
      </c>
      <c r="N536" s="56">
        <f>IF(M623=0,0,M536/M623)</f>
        <v>0</v>
      </c>
      <c r="O536" s="39" t="s">
        <v>1068</v>
      </c>
      <c r="P536" s="6"/>
      <c r="Z536" s="45">
        <f>IF(AQ536="5",BJ536,0)</f>
        <v>0</v>
      </c>
      <c r="AB536" s="45">
        <f>IF(AQ536="1",BH536,0)</f>
        <v>0</v>
      </c>
      <c r="AC536" s="45">
        <f>IF(AQ536="1",BI536,0)</f>
        <v>0</v>
      </c>
      <c r="AD536" s="45">
        <f>IF(AQ536="7",BH536,0)</f>
        <v>0</v>
      </c>
      <c r="AE536" s="45">
        <f>IF(AQ536="7",BI536,0)</f>
        <v>0</v>
      </c>
      <c r="AF536" s="45">
        <f>IF(AQ536="2",BH536,0)</f>
        <v>0</v>
      </c>
      <c r="AG536" s="45">
        <f>IF(AQ536="2",BI536,0)</f>
        <v>0</v>
      </c>
      <c r="AH536" s="45">
        <f>IF(AQ536="0",BJ536,0)</f>
        <v>0</v>
      </c>
      <c r="AI536" s="44" t="s">
        <v>306</v>
      </c>
      <c r="AJ536" s="27">
        <f>IF(AN536=0,M536,0)</f>
        <v>0</v>
      </c>
      <c r="AK536" s="27">
        <f>IF(AN536=15,M536,0)</f>
        <v>0</v>
      </c>
      <c r="AL536" s="27">
        <f>IF(AN536=21,M536,0)</f>
        <v>0</v>
      </c>
      <c r="AN536" s="45">
        <v>15</v>
      </c>
      <c r="AO536" s="45">
        <f>J536*0.69</f>
        <v>0</v>
      </c>
      <c r="AP536" s="45">
        <f>J536*(1-0.69)</f>
        <v>0</v>
      </c>
      <c r="AQ536" s="46" t="s">
        <v>7</v>
      </c>
      <c r="AV536" s="45">
        <f>AW536+AX536</f>
        <v>0</v>
      </c>
      <c r="AW536" s="45">
        <f>I536*AO536</f>
        <v>0</v>
      </c>
      <c r="AX536" s="45">
        <f>I536*AP536</f>
        <v>0</v>
      </c>
      <c r="AY536" s="48" t="s">
        <v>1112</v>
      </c>
      <c r="AZ536" s="48" t="s">
        <v>1130</v>
      </c>
      <c r="BA536" s="44" t="s">
        <v>1140</v>
      </c>
      <c r="BC536" s="45">
        <f>AW536+AX536</f>
        <v>0</v>
      </c>
      <c r="BD536" s="45">
        <f>J536/(100-BE536)*100</f>
        <v>0</v>
      </c>
      <c r="BE536" s="45">
        <v>0</v>
      </c>
      <c r="BF536" s="45">
        <f>536</f>
        <v>536</v>
      </c>
      <c r="BH536" s="27">
        <f>I536*AO536</f>
        <v>0</v>
      </c>
      <c r="BI536" s="27">
        <f>I536*AP536</f>
        <v>0</v>
      </c>
      <c r="BJ536" s="27">
        <f>I536*J536</f>
        <v>0</v>
      </c>
      <c r="BK536" s="27" t="s">
        <v>1146</v>
      </c>
      <c r="BL536" s="45">
        <v>56</v>
      </c>
    </row>
    <row r="537" spans="1:64" x14ac:dyDescent="0.2">
      <c r="A537" s="6"/>
      <c r="C537" s="20" t="s">
        <v>302</v>
      </c>
      <c r="D537" s="248" t="s">
        <v>988</v>
      </c>
      <c r="E537" s="249"/>
      <c r="F537" s="249"/>
      <c r="G537" s="249"/>
      <c r="H537" s="249"/>
      <c r="I537" s="249"/>
      <c r="J537" s="249"/>
      <c r="K537" s="249"/>
      <c r="L537" s="249"/>
      <c r="M537" s="249"/>
      <c r="N537" s="249"/>
      <c r="O537" s="250"/>
      <c r="P537" s="6"/>
    </row>
    <row r="538" spans="1:64" x14ac:dyDescent="0.2">
      <c r="A538" s="6"/>
      <c r="C538" s="21" t="s">
        <v>310</v>
      </c>
      <c r="D538" s="245" t="s">
        <v>622</v>
      </c>
      <c r="E538" s="246"/>
      <c r="F538" s="246"/>
      <c r="G538" s="246"/>
      <c r="H538" s="246"/>
      <c r="I538" s="246"/>
      <c r="J538" s="246"/>
      <c r="K538" s="246"/>
      <c r="L538" s="246"/>
      <c r="M538" s="246"/>
      <c r="N538" s="246"/>
      <c r="O538" s="247"/>
      <c r="P538" s="6"/>
    </row>
    <row r="539" spans="1:64" x14ac:dyDescent="0.2">
      <c r="A539" s="5" t="s">
        <v>264</v>
      </c>
      <c r="B539" s="16" t="s">
        <v>306</v>
      </c>
      <c r="C539" s="16" t="s">
        <v>582</v>
      </c>
      <c r="D539" s="243" t="s">
        <v>989</v>
      </c>
      <c r="E539" s="244"/>
      <c r="F539" s="244"/>
      <c r="G539" s="244"/>
      <c r="H539" s="16" t="s">
        <v>1042</v>
      </c>
      <c r="I539" s="27">
        <v>68.459999999999994</v>
      </c>
      <c r="J539" s="149"/>
      <c r="K539" s="27">
        <f>I539*AO539</f>
        <v>0</v>
      </c>
      <c r="L539" s="27">
        <f>I539*AP539</f>
        <v>0</v>
      </c>
      <c r="M539" s="27">
        <f>I539*J539</f>
        <v>0</v>
      </c>
      <c r="N539" s="56">
        <f>IF(M623=0,0,M539/M623)</f>
        <v>0</v>
      </c>
      <c r="O539" s="39" t="s">
        <v>1068</v>
      </c>
      <c r="P539" s="6"/>
      <c r="Z539" s="45">
        <f>IF(AQ539="5",BJ539,0)</f>
        <v>0</v>
      </c>
      <c r="AB539" s="45">
        <f>IF(AQ539="1",BH539,0)</f>
        <v>0</v>
      </c>
      <c r="AC539" s="45">
        <f>IF(AQ539="1",BI539,0)</f>
        <v>0</v>
      </c>
      <c r="AD539" s="45">
        <f>IF(AQ539="7",BH539,0)</f>
        <v>0</v>
      </c>
      <c r="AE539" s="45">
        <f>IF(AQ539="7",BI539,0)</f>
        <v>0</v>
      </c>
      <c r="AF539" s="45">
        <f>IF(AQ539="2",BH539,0)</f>
        <v>0</v>
      </c>
      <c r="AG539" s="45">
        <f>IF(AQ539="2",BI539,0)</f>
        <v>0</v>
      </c>
      <c r="AH539" s="45">
        <f>IF(AQ539="0",BJ539,0)</f>
        <v>0</v>
      </c>
      <c r="AI539" s="44" t="s">
        <v>306</v>
      </c>
      <c r="AJ539" s="27">
        <f>IF(AN539=0,M539,0)</f>
        <v>0</v>
      </c>
      <c r="AK539" s="27">
        <f>IF(AN539=15,M539,0)</f>
        <v>0</v>
      </c>
      <c r="AL539" s="27">
        <f>IF(AN539=21,M539,0)</f>
        <v>0</v>
      </c>
      <c r="AN539" s="45">
        <v>15</v>
      </c>
      <c r="AO539" s="45">
        <f>J539*0.69262109139546</f>
        <v>0</v>
      </c>
      <c r="AP539" s="45">
        <f>J539*(1-0.69262109139546)</f>
        <v>0</v>
      </c>
      <c r="AQ539" s="46" t="s">
        <v>7</v>
      </c>
      <c r="AV539" s="45">
        <f>AW539+AX539</f>
        <v>0</v>
      </c>
      <c r="AW539" s="45">
        <f>I539*AO539</f>
        <v>0</v>
      </c>
      <c r="AX539" s="45">
        <f>I539*AP539</f>
        <v>0</v>
      </c>
      <c r="AY539" s="48" t="s">
        <v>1112</v>
      </c>
      <c r="AZ539" s="48" t="s">
        <v>1130</v>
      </c>
      <c r="BA539" s="44" t="s">
        <v>1140</v>
      </c>
      <c r="BC539" s="45">
        <f>AW539+AX539</f>
        <v>0</v>
      </c>
      <c r="BD539" s="45">
        <f>J539/(100-BE539)*100</f>
        <v>0</v>
      </c>
      <c r="BE539" s="45">
        <v>0</v>
      </c>
      <c r="BF539" s="45">
        <f>539</f>
        <v>539</v>
      </c>
      <c r="BH539" s="27">
        <f>I539*AO539</f>
        <v>0</v>
      </c>
      <c r="BI539" s="27">
        <f>I539*AP539</f>
        <v>0</v>
      </c>
      <c r="BJ539" s="27">
        <f>I539*J539</f>
        <v>0</v>
      </c>
      <c r="BK539" s="27" t="s">
        <v>1146</v>
      </c>
      <c r="BL539" s="45">
        <v>56</v>
      </c>
    </row>
    <row r="540" spans="1:64" ht="25.7" customHeight="1" x14ac:dyDescent="0.2">
      <c r="A540" s="6"/>
      <c r="C540" s="20" t="s">
        <v>302</v>
      </c>
      <c r="D540" s="248" t="s">
        <v>990</v>
      </c>
      <c r="E540" s="249"/>
      <c r="F540" s="249"/>
      <c r="G540" s="249"/>
      <c r="H540" s="249"/>
      <c r="I540" s="249"/>
      <c r="J540" s="249"/>
      <c r="K540" s="249"/>
      <c r="L540" s="249"/>
      <c r="M540" s="249"/>
      <c r="N540" s="249"/>
      <c r="O540" s="250"/>
      <c r="P540" s="6"/>
    </row>
    <row r="541" spans="1:64" x14ac:dyDescent="0.2">
      <c r="A541" s="6"/>
      <c r="C541" s="21" t="s">
        <v>310</v>
      </c>
      <c r="D541" s="245" t="s">
        <v>622</v>
      </c>
      <c r="E541" s="246"/>
      <c r="F541" s="246"/>
      <c r="G541" s="246"/>
      <c r="H541" s="246"/>
      <c r="I541" s="246"/>
      <c r="J541" s="246"/>
      <c r="K541" s="246"/>
      <c r="L541" s="246"/>
      <c r="M541" s="246"/>
      <c r="N541" s="246"/>
      <c r="O541" s="247"/>
      <c r="P541" s="6"/>
    </row>
    <row r="542" spans="1:64" x14ac:dyDescent="0.2">
      <c r="A542" s="5" t="s">
        <v>265</v>
      </c>
      <c r="B542" s="16" t="s">
        <v>306</v>
      </c>
      <c r="C542" s="16" t="s">
        <v>583</v>
      </c>
      <c r="D542" s="243" t="s">
        <v>991</v>
      </c>
      <c r="E542" s="244"/>
      <c r="F542" s="244"/>
      <c r="G542" s="244"/>
      <c r="H542" s="16" t="s">
        <v>1042</v>
      </c>
      <c r="I542" s="27">
        <v>26.62</v>
      </c>
      <c r="J542" s="149"/>
      <c r="K542" s="27">
        <f>I542*AO542</f>
        <v>0</v>
      </c>
      <c r="L542" s="27">
        <f>I542*AP542</f>
        <v>0</v>
      </c>
      <c r="M542" s="27">
        <f>I542*J542</f>
        <v>0</v>
      </c>
      <c r="N542" s="56">
        <f>IF(M623=0,0,M542/M623)</f>
        <v>0</v>
      </c>
      <c r="O542" s="39" t="s">
        <v>1068</v>
      </c>
      <c r="P542" s="6"/>
      <c r="Z542" s="45">
        <f>IF(AQ542="5",BJ542,0)</f>
        <v>0</v>
      </c>
      <c r="AB542" s="45">
        <f>IF(AQ542="1",BH542,0)</f>
        <v>0</v>
      </c>
      <c r="AC542" s="45">
        <f>IF(AQ542="1",BI542,0)</f>
        <v>0</v>
      </c>
      <c r="AD542" s="45">
        <f>IF(AQ542="7",BH542,0)</f>
        <v>0</v>
      </c>
      <c r="AE542" s="45">
        <f>IF(AQ542="7",BI542,0)</f>
        <v>0</v>
      </c>
      <c r="AF542" s="45">
        <f>IF(AQ542="2",BH542,0)</f>
        <v>0</v>
      </c>
      <c r="AG542" s="45">
        <f>IF(AQ542="2",BI542,0)</f>
        <v>0</v>
      </c>
      <c r="AH542" s="45">
        <f>IF(AQ542="0",BJ542,0)</f>
        <v>0</v>
      </c>
      <c r="AI542" s="44" t="s">
        <v>306</v>
      </c>
      <c r="AJ542" s="27">
        <f>IF(AN542=0,M542,0)</f>
        <v>0</v>
      </c>
      <c r="AK542" s="27">
        <f>IF(AN542=15,M542,0)</f>
        <v>0</v>
      </c>
      <c r="AL542" s="27">
        <f>IF(AN542=21,M542,0)</f>
        <v>0</v>
      </c>
      <c r="AN542" s="45">
        <v>15</v>
      </c>
      <c r="AO542" s="45">
        <f>J542*0.812244897959184</f>
        <v>0</v>
      </c>
      <c r="AP542" s="45">
        <f>J542*(1-0.812244897959184)</f>
        <v>0</v>
      </c>
      <c r="AQ542" s="46" t="s">
        <v>7</v>
      </c>
      <c r="AV542" s="45">
        <f>AW542+AX542</f>
        <v>0</v>
      </c>
      <c r="AW542" s="45">
        <f>I542*AO542</f>
        <v>0</v>
      </c>
      <c r="AX542" s="45">
        <f>I542*AP542</f>
        <v>0</v>
      </c>
      <c r="AY542" s="48" t="s">
        <v>1112</v>
      </c>
      <c r="AZ542" s="48" t="s">
        <v>1130</v>
      </c>
      <c r="BA542" s="44" t="s">
        <v>1140</v>
      </c>
      <c r="BC542" s="45">
        <f>AW542+AX542</f>
        <v>0</v>
      </c>
      <c r="BD542" s="45">
        <f>J542/(100-BE542)*100</f>
        <v>0</v>
      </c>
      <c r="BE542" s="45">
        <v>0</v>
      </c>
      <c r="BF542" s="45">
        <f>542</f>
        <v>542</v>
      </c>
      <c r="BH542" s="27">
        <f>I542*AO542</f>
        <v>0</v>
      </c>
      <c r="BI542" s="27">
        <f>I542*AP542</f>
        <v>0</v>
      </c>
      <c r="BJ542" s="27">
        <f>I542*J542</f>
        <v>0</v>
      </c>
      <c r="BK542" s="27" t="s">
        <v>1146</v>
      </c>
      <c r="BL542" s="45">
        <v>56</v>
      </c>
    </row>
    <row r="543" spans="1:64" x14ac:dyDescent="0.2">
      <c r="A543" s="6"/>
      <c r="D543" s="251" t="s">
        <v>992</v>
      </c>
      <c r="E543" s="252"/>
      <c r="F543" s="252"/>
      <c r="G543" s="252"/>
      <c r="H543" s="252"/>
      <c r="I543" s="252"/>
      <c r="J543" s="252"/>
      <c r="K543" s="252"/>
      <c r="L543" s="252"/>
      <c r="M543" s="252"/>
      <c r="N543" s="252"/>
      <c r="O543" s="253"/>
      <c r="P543" s="6"/>
    </row>
    <row r="544" spans="1:64" x14ac:dyDescent="0.2">
      <c r="A544" s="6"/>
      <c r="C544" s="21" t="s">
        <v>310</v>
      </c>
      <c r="D544" s="245" t="s">
        <v>622</v>
      </c>
      <c r="E544" s="246"/>
      <c r="F544" s="246"/>
      <c r="G544" s="246"/>
      <c r="H544" s="246"/>
      <c r="I544" s="246"/>
      <c r="J544" s="246"/>
      <c r="K544" s="246"/>
      <c r="L544" s="246"/>
      <c r="M544" s="246"/>
      <c r="N544" s="246"/>
      <c r="O544" s="247"/>
      <c r="P544" s="6"/>
    </row>
    <row r="545" spans="1:64" x14ac:dyDescent="0.2">
      <c r="A545" s="5" t="s">
        <v>266</v>
      </c>
      <c r="B545" s="16" t="s">
        <v>306</v>
      </c>
      <c r="C545" s="16" t="s">
        <v>584</v>
      </c>
      <c r="D545" s="243" t="s">
        <v>993</v>
      </c>
      <c r="E545" s="244"/>
      <c r="F545" s="244"/>
      <c r="G545" s="244"/>
      <c r="H545" s="16" t="s">
        <v>1042</v>
      </c>
      <c r="I545" s="27">
        <v>41.84</v>
      </c>
      <c r="J545" s="149"/>
      <c r="K545" s="27">
        <f>I545*AO545</f>
        <v>0</v>
      </c>
      <c r="L545" s="27">
        <f>I545*AP545</f>
        <v>0</v>
      </c>
      <c r="M545" s="27">
        <f>I545*J545</f>
        <v>0</v>
      </c>
      <c r="N545" s="56">
        <f>IF(M623=0,0,M545/M623)</f>
        <v>0</v>
      </c>
      <c r="O545" s="39" t="s">
        <v>1068</v>
      </c>
      <c r="P545" s="6"/>
      <c r="Z545" s="45">
        <f>IF(AQ545="5",BJ545,0)</f>
        <v>0</v>
      </c>
      <c r="AB545" s="45">
        <f>IF(AQ545="1",BH545,0)</f>
        <v>0</v>
      </c>
      <c r="AC545" s="45">
        <f>IF(AQ545="1",BI545,0)</f>
        <v>0</v>
      </c>
      <c r="AD545" s="45">
        <f>IF(AQ545="7",BH545,0)</f>
        <v>0</v>
      </c>
      <c r="AE545" s="45">
        <f>IF(AQ545="7",BI545,0)</f>
        <v>0</v>
      </c>
      <c r="AF545" s="45">
        <f>IF(AQ545="2",BH545,0)</f>
        <v>0</v>
      </c>
      <c r="AG545" s="45">
        <f>IF(AQ545="2",BI545,0)</f>
        <v>0</v>
      </c>
      <c r="AH545" s="45">
        <f>IF(AQ545="0",BJ545,0)</f>
        <v>0</v>
      </c>
      <c r="AI545" s="44" t="s">
        <v>306</v>
      </c>
      <c r="AJ545" s="27">
        <f>IF(AN545=0,M545,0)</f>
        <v>0</v>
      </c>
      <c r="AK545" s="27">
        <f>IF(AN545=15,M545,0)</f>
        <v>0</v>
      </c>
      <c r="AL545" s="27">
        <f>IF(AN545=21,M545,0)</f>
        <v>0</v>
      </c>
      <c r="AN545" s="45">
        <v>15</v>
      </c>
      <c r="AO545" s="45">
        <f>J545*0.882836879432624</f>
        <v>0</v>
      </c>
      <c r="AP545" s="45">
        <f>J545*(1-0.882836879432624)</f>
        <v>0</v>
      </c>
      <c r="AQ545" s="46" t="s">
        <v>7</v>
      </c>
      <c r="AV545" s="45">
        <f>AW545+AX545</f>
        <v>0</v>
      </c>
      <c r="AW545" s="45">
        <f>I545*AO545</f>
        <v>0</v>
      </c>
      <c r="AX545" s="45">
        <f>I545*AP545</f>
        <v>0</v>
      </c>
      <c r="AY545" s="48" t="s">
        <v>1112</v>
      </c>
      <c r="AZ545" s="48" t="s">
        <v>1130</v>
      </c>
      <c r="BA545" s="44" t="s">
        <v>1140</v>
      </c>
      <c r="BC545" s="45">
        <f>AW545+AX545</f>
        <v>0</v>
      </c>
      <c r="BD545" s="45">
        <f>J545/(100-BE545)*100</f>
        <v>0</v>
      </c>
      <c r="BE545" s="45">
        <v>0</v>
      </c>
      <c r="BF545" s="45">
        <f>545</f>
        <v>545</v>
      </c>
      <c r="BH545" s="27">
        <f>I545*AO545</f>
        <v>0</v>
      </c>
      <c r="BI545" s="27">
        <f>I545*AP545</f>
        <v>0</v>
      </c>
      <c r="BJ545" s="27">
        <f>I545*J545</f>
        <v>0</v>
      </c>
      <c r="BK545" s="27" t="s">
        <v>1146</v>
      </c>
      <c r="BL545" s="45">
        <v>56</v>
      </c>
    </row>
    <row r="546" spans="1:64" x14ac:dyDescent="0.2">
      <c r="A546" s="6"/>
      <c r="D546" s="251" t="s">
        <v>992</v>
      </c>
      <c r="E546" s="252"/>
      <c r="F546" s="252"/>
      <c r="G546" s="252"/>
      <c r="H546" s="252"/>
      <c r="I546" s="252"/>
      <c r="J546" s="252"/>
      <c r="K546" s="252"/>
      <c r="L546" s="252"/>
      <c r="M546" s="252"/>
      <c r="N546" s="252"/>
      <c r="O546" s="253"/>
      <c r="P546" s="6"/>
    </row>
    <row r="547" spans="1:64" x14ac:dyDescent="0.2">
      <c r="A547" s="6"/>
      <c r="C547" s="21" t="s">
        <v>310</v>
      </c>
      <c r="D547" s="245" t="s">
        <v>758</v>
      </c>
      <c r="E547" s="246"/>
      <c r="F547" s="246"/>
      <c r="G547" s="246"/>
      <c r="H547" s="246"/>
      <c r="I547" s="246"/>
      <c r="J547" s="246"/>
      <c r="K547" s="246"/>
      <c r="L547" s="246"/>
      <c r="M547" s="246"/>
      <c r="N547" s="246"/>
      <c r="O547" s="247"/>
      <c r="P547" s="6"/>
    </row>
    <row r="548" spans="1:64" x14ac:dyDescent="0.2">
      <c r="A548" s="4"/>
      <c r="B548" s="15" t="s">
        <v>306</v>
      </c>
      <c r="C548" s="15" t="s">
        <v>65</v>
      </c>
      <c r="D548" s="237" t="s">
        <v>994</v>
      </c>
      <c r="E548" s="238"/>
      <c r="F548" s="238"/>
      <c r="G548" s="238"/>
      <c r="H548" s="24" t="s">
        <v>6</v>
      </c>
      <c r="I548" s="24" t="s">
        <v>6</v>
      </c>
      <c r="J548" s="24" t="s">
        <v>6</v>
      </c>
      <c r="K548" s="51">
        <f>SUM(K549:K561)</f>
        <v>0</v>
      </c>
      <c r="L548" s="51">
        <f>SUM(L549:L561)</f>
        <v>0</v>
      </c>
      <c r="M548" s="51">
        <f>SUM(M549:M561)</f>
        <v>0</v>
      </c>
      <c r="N548" s="55">
        <f>IF(M623=0,0,M548/M623)</f>
        <v>0</v>
      </c>
      <c r="O548" s="38"/>
      <c r="P548" s="6"/>
      <c r="AI548" s="44" t="s">
        <v>306</v>
      </c>
      <c r="AS548" s="51">
        <f>SUM(AJ549:AJ561)</f>
        <v>0</v>
      </c>
      <c r="AT548" s="51">
        <f>SUM(AK549:AK561)</f>
        <v>0</v>
      </c>
      <c r="AU548" s="51">
        <f>SUM(AL549:AL561)</f>
        <v>0</v>
      </c>
    </row>
    <row r="549" spans="1:64" x14ac:dyDescent="0.2">
      <c r="A549" s="5" t="s">
        <v>267</v>
      </c>
      <c r="B549" s="16" t="s">
        <v>306</v>
      </c>
      <c r="C549" s="16" t="s">
        <v>585</v>
      </c>
      <c r="D549" s="243" t="s">
        <v>995</v>
      </c>
      <c r="E549" s="244"/>
      <c r="F549" s="244"/>
      <c r="G549" s="244"/>
      <c r="H549" s="16" t="s">
        <v>1042</v>
      </c>
      <c r="I549" s="27">
        <v>41.84</v>
      </c>
      <c r="J549" s="149"/>
      <c r="K549" s="27">
        <f>I549*AO549</f>
        <v>0</v>
      </c>
      <c r="L549" s="27">
        <f>I549*AP549</f>
        <v>0</v>
      </c>
      <c r="M549" s="27">
        <f>I549*J549</f>
        <v>0</v>
      </c>
      <c r="N549" s="56">
        <f>IF(M623=0,0,M549/M623)</f>
        <v>0</v>
      </c>
      <c r="O549" s="39" t="s">
        <v>1068</v>
      </c>
      <c r="P549" s="6"/>
      <c r="Z549" s="45">
        <f>IF(AQ549="5",BJ549,0)</f>
        <v>0</v>
      </c>
      <c r="AB549" s="45">
        <f>IF(AQ549="1",BH549,0)</f>
        <v>0</v>
      </c>
      <c r="AC549" s="45">
        <f>IF(AQ549="1",BI549,0)</f>
        <v>0</v>
      </c>
      <c r="AD549" s="45">
        <f>IF(AQ549="7",BH549,0)</f>
        <v>0</v>
      </c>
      <c r="AE549" s="45">
        <f>IF(AQ549="7",BI549,0)</f>
        <v>0</v>
      </c>
      <c r="AF549" s="45">
        <f>IF(AQ549="2",BH549,0)</f>
        <v>0</v>
      </c>
      <c r="AG549" s="45">
        <f>IF(AQ549="2",BI549,0)</f>
        <v>0</v>
      </c>
      <c r="AH549" s="45">
        <f>IF(AQ549="0",BJ549,0)</f>
        <v>0</v>
      </c>
      <c r="AI549" s="44" t="s">
        <v>306</v>
      </c>
      <c r="AJ549" s="27">
        <f>IF(AN549=0,M549,0)</f>
        <v>0</v>
      </c>
      <c r="AK549" s="27">
        <f>IF(AN549=15,M549,0)</f>
        <v>0</v>
      </c>
      <c r="AL549" s="27">
        <f>IF(AN549=21,M549,0)</f>
        <v>0</v>
      </c>
      <c r="AN549" s="45">
        <v>15</v>
      </c>
      <c r="AO549" s="45">
        <f>J549*0.0604664324263504</f>
        <v>0</v>
      </c>
      <c r="AP549" s="45">
        <f>J549*(1-0.0604664324263504)</f>
        <v>0</v>
      </c>
      <c r="AQ549" s="46" t="s">
        <v>7</v>
      </c>
      <c r="AV549" s="45">
        <f>AW549+AX549</f>
        <v>0</v>
      </c>
      <c r="AW549" s="45">
        <f>I549*AO549</f>
        <v>0</v>
      </c>
      <c r="AX549" s="45">
        <f>I549*AP549</f>
        <v>0</v>
      </c>
      <c r="AY549" s="48" t="s">
        <v>1113</v>
      </c>
      <c r="AZ549" s="48" t="s">
        <v>1130</v>
      </c>
      <c r="BA549" s="44" t="s">
        <v>1140</v>
      </c>
      <c r="BC549" s="45">
        <f>AW549+AX549</f>
        <v>0</v>
      </c>
      <c r="BD549" s="45">
        <f>J549/(100-BE549)*100</f>
        <v>0</v>
      </c>
      <c r="BE549" s="45">
        <v>0</v>
      </c>
      <c r="BF549" s="45">
        <f>549</f>
        <v>549</v>
      </c>
      <c r="BH549" s="27">
        <f>I549*AO549</f>
        <v>0</v>
      </c>
      <c r="BI549" s="27">
        <f>I549*AP549</f>
        <v>0</v>
      </c>
      <c r="BJ549" s="27">
        <f>I549*J549</f>
        <v>0</v>
      </c>
      <c r="BK549" s="27" t="s">
        <v>1146</v>
      </c>
      <c r="BL549" s="45">
        <v>59</v>
      </c>
    </row>
    <row r="550" spans="1:64" x14ac:dyDescent="0.2">
      <c r="A550" s="6"/>
      <c r="C550" s="21" t="s">
        <v>310</v>
      </c>
      <c r="D550" s="245" t="s">
        <v>758</v>
      </c>
      <c r="E550" s="246"/>
      <c r="F550" s="246"/>
      <c r="G550" s="246"/>
      <c r="H550" s="246"/>
      <c r="I550" s="246"/>
      <c r="J550" s="246"/>
      <c r="K550" s="246"/>
      <c r="L550" s="246"/>
      <c r="M550" s="246"/>
      <c r="N550" s="246"/>
      <c r="O550" s="247"/>
      <c r="P550" s="6"/>
    </row>
    <row r="551" spans="1:64" x14ac:dyDescent="0.2">
      <c r="A551" s="7" t="s">
        <v>268</v>
      </c>
      <c r="B551" s="17" t="s">
        <v>306</v>
      </c>
      <c r="C551" s="17" t="s">
        <v>586</v>
      </c>
      <c r="D551" s="241" t="s">
        <v>996</v>
      </c>
      <c r="E551" s="242"/>
      <c r="F551" s="242"/>
      <c r="G551" s="242"/>
      <c r="H551" s="17" t="s">
        <v>1042</v>
      </c>
      <c r="I551" s="28">
        <v>42.68</v>
      </c>
      <c r="J551" s="154"/>
      <c r="K551" s="28">
        <f>I551*AO551</f>
        <v>0</v>
      </c>
      <c r="L551" s="28">
        <f>I551*AP551</f>
        <v>0</v>
      </c>
      <c r="M551" s="28">
        <f>I551*J551</f>
        <v>0</v>
      </c>
      <c r="N551" s="57">
        <f>IF(M623=0,0,M551/M623)</f>
        <v>0</v>
      </c>
      <c r="O551" s="40" t="s">
        <v>1068</v>
      </c>
      <c r="P551" s="6"/>
      <c r="Z551" s="45">
        <f>IF(AQ551="5",BJ551,0)</f>
        <v>0</v>
      </c>
      <c r="AB551" s="45">
        <f>IF(AQ551="1",BH551,0)</f>
        <v>0</v>
      </c>
      <c r="AC551" s="45">
        <f>IF(AQ551="1",BI551,0)</f>
        <v>0</v>
      </c>
      <c r="AD551" s="45">
        <f>IF(AQ551="7",BH551,0)</f>
        <v>0</v>
      </c>
      <c r="AE551" s="45">
        <f>IF(AQ551="7",BI551,0)</f>
        <v>0</v>
      </c>
      <c r="AF551" s="45">
        <f>IF(AQ551="2",BH551,0)</f>
        <v>0</v>
      </c>
      <c r="AG551" s="45">
        <f>IF(AQ551="2",BI551,0)</f>
        <v>0</v>
      </c>
      <c r="AH551" s="45">
        <f>IF(AQ551="0",BJ551,0)</f>
        <v>0</v>
      </c>
      <c r="AI551" s="44" t="s">
        <v>306</v>
      </c>
      <c r="AJ551" s="28">
        <f>IF(AN551=0,M551,0)</f>
        <v>0</v>
      </c>
      <c r="AK551" s="28">
        <f>IF(AN551=15,M551,0)</f>
        <v>0</v>
      </c>
      <c r="AL551" s="28">
        <f>IF(AN551=21,M551,0)</f>
        <v>0</v>
      </c>
      <c r="AN551" s="45">
        <v>15</v>
      </c>
      <c r="AO551" s="45">
        <f>J551*1</f>
        <v>0</v>
      </c>
      <c r="AP551" s="45">
        <f>J551*(1-1)</f>
        <v>0</v>
      </c>
      <c r="AQ551" s="47" t="s">
        <v>7</v>
      </c>
      <c r="AV551" s="45">
        <f>AW551+AX551</f>
        <v>0</v>
      </c>
      <c r="AW551" s="45">
        <f>I551*AO551</f>
        <v>0</v>
      </c>
      <c r="AX551" s="45">
        <f>I551*AP551</f>
        <v>0</v>
      </c>
      <c r="AY551" s="48" t="s">
        <v>1113</v>
      </c>
      <c r="AZ551" s="48" t="s">
        <v>1130</v>
      </c>
      <c r="BA551" s="44" t="s">
        <v>1140</v>
      </c>
      <c r="BC551" s="45">
        <f>AW551+AX551</f>
        <v>0</v>
      </c>
      <c r="BD551" s="45">
        <f>J551/(100-BE551)*100</f>
        <v>0</v>
      </c>
      <c r="BE551" s="45">
        <v>0</v>
      </c>
      <c r="BF551" s="45">
        <f>551</f>
        <v>551</v>
      </c>
      <c r="BH551" s="28">
        <f>I551*AO551</f>
        <v>0</v>
      </c>
      <c r="BI551" s="28">
        <f>I551*AP551</f>
        <v>0</v>
      </c>
      <c r="BJ551" s="28">
        <f>I551*J551</f>
        <v>0</v>
      </c>
      <c r="BK551" s="28" t="s">
        <v>1147</v>
      </c>
      <c r="BL551" s="45">
        <v>59</v>
      </c>
    </row>
    <row r="552" spans="1:64" x14ac:dyDescent="0.2">
      <c r="A552" s="5" t="s">
        <v>269</v>
      </c>
      <c r="B552" s="16" t="s">
        <v>306</v>
      </c>
      <c r="C552" s="16" t="s">
        <v>587</v>
      </c>
      <c r="D552" s="243" t="s">
        <v>997</v>
      </c>
      <c r="E552" s="244"/>
      <c r="F552" s="244"/>
      <c r="G552" s="244"/>
      <c r="H552" s="16" t="s">
        <v>1042</v>
      </c>
      <c r="I552" s="27">
        <v>18.260000000000002</v>
      </c>
      <c r="J552" s="149"/>
      <c r="K552" s="27">
        <f>I552*AO552</f>
        <v>0</v>
      </c>
      <c r="L552" s="27">
        <f>I552*AP552</f>
        <v>0</v>
      </c>
      <c r="M552" s="27">
        <f>I552*J552</f>
        <v>0</v>
      </c>
      <c r="N552" s="56">
        <f>IF(M623=0,0,M552/M623)</f>
        <v>0</v>
      </c>
      <c r="O552" s="39" t="s">
        <v>1068</v>
      </c>
      <c r="P552" s="6"/>
      <c r="Z552" s="45">
        <f>IF(AQ552="5",BJ552,0)</f>
        <v>0</v>
      </c>
      <c r="AB552" s="45">
        <f>IF(AQ552="1",BH552,0)</f>
        <v>0</v>
      </c>
      <c r="AC552" s="45">
        <f>IF(AQ552="1",BI552,0)</f>
        <v>0</v>
      </c>
      <c r="AD552" s="45">
        <f>IF(AQ552="7",BH552,0)</f>
        <v>0</v>
      </c>
      <c r="AE552" s="45">
        <f>IF(AQ552="7",BI552,0)</f>
        <v>0</v>
      </c>
      <c r="AF552" s="45">
        <f>IF(AQ552="2",BH552,0)</f>
        <v>0</v>
      </c>
      <c r="AG552" s="45">
        <f>IF(AQ552="2",BI552,0)</f>
        <v>0</v>
      </c>
      <c r="AH552" s="45">
        <f>IF(AQ552="0",BJ552,0)</f>
        <v>0</v>
      </c>
      <c r="AI552" s="44" t="s">
        <v>306</v>
      </c>
      <c r="AJ552" s="27">
        <f>IF(AN552=0,M552,0)</f>
        <v>0</v>
      </c>
      <c r="AK552" s="27">
        <f>IF(AN552=15,M552,0)</f>
        <v>0</v>
      </c>
      <c r="AL552" s="27">
        <f>IF(AN552=21,M552,0)</f>
        <v>0</v>
      </c>
      <c r="AN552" s="45">
        <v>15</v>
      </c>
      <c r="AO552" s="45">
        <f>J552*0.688660869565217</f>
        <v>0</v>
      </c>
      <c r="AP552" s="45">
        <f>J552*(1-0.688660869565217)</f>
        <v>0</v>
      </c>
      <c r="AQ552" s="46" t="s">
        <v>7</v>
      </c>
      <c r="AV552" s="45">
        <f>AW552+AX552</f>
        <v>0</v>
      </c>
      <c r="AW552" s="45">
        <f>I552*AO552</f>
        <v>0</v>
      </c>
      <c r="AX552" s="45">
        <f>I552*AP552</f>
        <v>0</v>
      </c>
      <c r="AY552" s="48" t="s">
        <v>1113</v>
      </c>
      <c r="AZ552" s="48" t="s">
        <v>1130</v>
      </c>
      <c r="BA552" s="44" t="s">
        <v>1140</v>
      </c>
      <c r="BC552" s="45">
        <f>AW552+AX552</f>
        <v>0</v>
      </c>
      <c r="BD552" s="45">
        <f>J552/(100-BE552)*100</f>
        <v>0</v>
      </c>
      <c r="BE552" s="45">
        <v>0</v>
      </c>
      <c r="BF552" s="45">
        <f>552</f>
        <v>552</v>
      </c>
      <c r="BH552" s="27">
        <f>I552*AO552</f>
        <v>0</v>
      </c>
      <c r="BI552" s="27">
        <f>I552*AP552</f>
        <v>0</v>
      </c>
      <c r="BJ552" s="27">
        <f>I552*J552</f>
        <v>0</v>
      </c>
      <c r="BK552" s="27" t="s">
        <v>1146</v>
      </c>
      <c r="BL552" s="45">
        <v>59</v>
      </c>
    </row>
    <row r="553" spans="1:64" x14ac:dyDescent="0.2">
      <c r="A553" s="6"/>
      <c r="D553" s="251" t="s">
        <v>998</v>
      </c>
      <c r="E553" s="252"/>
      <c r="F553" s="252"/>
      <c r="G553" s="252"/>
      <c r="H553" s="252"/>
      <c r="I553" s="252"/>
      <c r="J553" s="252"/>
      <c r="K553" s="252"/>
      <c r="L553" s="252"/>
      <c r="M553" s="252"/>
      <c r="N553" s="252"/>
      <c r="O553" s="253"/>
      <c r="P553" s="6"/>
    </row>
    <row r="554" spans="1:64" x14ac:dyDescent="0.2">
      <c r="A554" s="6"/>
      <c r="C554" s="21" t="s">
        <v>310</v>
      </c>
      <c r="D554" s="245" t="s">
        <v>758</v>
      </c>
      <c r="E554" s="246"/>
      <c r="F554" s="246"/>
      <c r="G554" s="246"/>
      <c r="H554" s="246"/>
      <c r="I554" s="246"/>
      <c r="J554" s="246"/>
      <c r="K554" s="246"/>
      <c r="L554" s="246"/>
      <c r="M554" s="246"/>
      <c r="N554" s="246"/>
      <c r="O554" s="247"/>
      <c r="P554" s="6"/>
    </row>
    <row r="555" spans="1:64" x14ac:dyDescent="0.2">
      <c r="A555" s="5" t="s">
        <v>270</v>
      </c>
      <c r="B555" s="16" t="s">
        <v>306</v>
      </c>
      <c r="C555" s="16" t="s">
        <v>588</v>
      </c>
      <c r="D555" s="243" t="s">
        <v>999</v>
      </c>
      <c r="E555" s="244"/>
      <c r="F555" s="244"/>
      <c r="G555" s="244"/>
      <c r="H555" s="16" t="s">
        <v>1042</v>
      </c>
      <c r="I555" s="27">
        <v>9.4</v>
      </c>
      <c r="J555" s="149"/>
      <c r="K555" s="27">
        <f>I555*AO555</f>
        <v>0</v>
      </c>
      <c r="L555" s="27">
        <f>I555*AP555</f>
        <v>0</v>
      </c>
      <c r="M555" s="27">
        <f>I555*J555</f>
        <v>0</v>
      </c>
      <c r="N555" s="56">
        <f>IF(M623=0,0,M555/M623)</f>
        <v>0</v>
      </c>
      <c r="O555" s="39" t="s">
        <v>1068</v>
      </c>
      <c r="P555" s="6"/>
      <c r="Z555" s="45">
        <f>IF(AQ555="5",BJ555,0)</f>
        <v>0</v>
      </c>
      <c r="AB555" s="45">
        <f>IF(AQ555="1",BH555,0)</f>
        <v>0</v>
      </c>
      <c r="AC555" s="45">
        <f>IF(AQ555="1",BI555,0)</f>
        <v>0</v>
      </c>
      <c r="AD555" s="45">
        <f>IF(AQ555="7",BH555,0)</f>
        <v>0</v>
      </c>
      <c r="AE555" s="45">
        <f>IF(AQ555="7",BI555,0)</f>
        <v>0</v>
      </c>
      <c r="AF555" s="45">
        <f>IF(AQ555="2",BH555,0)</f>
        <v>0</v>
      </c>
      <c r="AG555" s="45">
        <f>IF(AQ555="2",BI555,0)</f>
        <v>0</v>
      </c>
      <c r="AH555" s="45">
        <f>IF(AQ555="0",BJ555,0)</f>
        <v>0</v>
      </c>
      <c r="AI555" s="44" t="s">
        <v>306</v>
      </c>
      <c r="AJ555" s="27">
        <f>IF(AN555=0,M555,0)</f>
        <v>0</v>
      </c>
      <c r="AK555" s="27">
        <f>IF(AN555=15,M555,0)</f>
        <v>0</v>
      </c>
      <c r="AL555" s="27">
        <f>IF(AN555=21,M555,0)</f>
        <v>0</v>
      </c>
      <c r="AN555" s="45">
        <v>15</v>
      </c>
      <c r="AO555" s="45">
        <f>J555*0.466487222849326</f>
        <v>0</v>
      </c>
      <c r="AP555" s="45">
        <f>J555*(1-0.466487222849326)</f>
        <v>0</v>
      </c>
      <c r="AQ555" s="46" t="s">
        <v>7</v>
      </c>
      <c r="AV555" s="45">
        <f>AW555+AX555</f>
        <v>0</v>
      </c>
      <c r="AW555" s="45">
        <f>I555*AO555</f>
        <v>0</v>
      </c>
      <c r="AX555" s="45">
        <f>I555*AP555</f>
        <v>0</v>
      </c>
      <c r="AY555" s="48" t="s">
        <v>1113</v>
      </c>
      <c r="AZ555" s="48" t="s">
        <v>1130</v>
      </c>
      <c r="BA555" s="44" t="s">
        <v>1140</v>
      </c>
      <c r="BC555" s="45">
        <f>AW555+AX555</f>
        <v>0</v>
      </c>
      <c r="BD555" s="45">
        <f>J555/(100-BE555)*100</f>
        <v>0</v>
      </c>
      <c r="BE555" s="45">
        <v>0</v>
      </c>
      <c r="BF555" s="45">
        <f>555</f>
        <v>555</v>
      </c>
      <c r="BH555" s="27">
        <f>I555*AO555</f>
        <v>0</v>
      </c>
      <c r="BI555" s="27">
        <f>I555*AP555</f>
        <v>0</v>
      </c>
      <c r="BJ555" s="27">
        <f>I555*J555</f>
        <v>0</v>
      </c>
      <c r="BK555" s="27" t="s">
        <v>1146</v>
      </c>
      <c r="BL555" s="45">
        <v>59</v>
      </c>
    </row>
    <row r="556" spans="1:64" x14ac:dyDescent="0.2">
      <c r="A556" s="6"/>
      <c r="C556" s="20" t="s">
        <v>302</v>
      </c>
      <c r="D556" s="248" t="s">
        <v>1000</v>
      </c>
      <c r="E556" s="249"/>
      <c r="F556" s="249"/>
      <c r="G556" s="249"/>
      <c r="H556" s="249"/>
      <c r="I556" s="249"/>
      <c r="J556" s="249"/>
      <c r="K556" s="249"/>
      <c r="L556" s="249"/>
      <c r="M556" s="249"/>
      <c r="N556" s="249"/>
      <c r="O556" s="250"/>
      <c r="P556" s="6"/>
    </row>
    <row r="557" spans="1:64" x14ac:dyDescent="0.2">
      <c r="A557" s="6"/>
      <c r="C557" s="21" t="s">
        <v>310</v>
      </c>
      <c r="D557" s="245" t="s">
        <v>622</v>
      </c>
      <c r="E557" s="246"/>
      <c r="F557" s="246"/>
      <c r="G557" s="246"/>
      <c r="H557" s="246"/>
      <c r="I557" s="246"/>
      <c r="J557" s="246"/>
      <c r="K557" s="246"/>
      <c r="L557" s="246"/>
      <c r="M557" s="246"/>
      <c r="N557" s="246"/>
      <c r="O557" s="247"/>
      <c r="P557" s="6"/>
    </row>
    <row r="558" spans="1:64" x14ac:dyDescent="0.2">
      <c r="A558" s="5" t="s">
        <v>271</v>
      </c>
      <c r="B558" s="16" t="s">
        <v>306</v>
      </c>
      <c r="C558" s="16" t="s">
        <v>589</v>
      </c>
      <c r="D558" s="243" t="s">
        <v>1001</v>
      </c>
      <c r="E558" s="244"/>
      <c r="F558" s="244"/>
      <c r="G558" s="244"/>
      <c r="H558" s="16" t="s">
        <v>1044</v>
      </c>
      <c r="I558" s="27">
        <v>55.72</v>
      </c>
      <c r="J558" s="149"/>
      <c r="K558" s="27">
        <f>I558*AO558</f>
        <v>0</v>
      </c>
      <c r="L558" s="27">
        <f>I558*AP558</f>
        <v>0</v>
      </c>
      <c r="M558" s="27">
        <f>I558*J558</f>
        <v>0</v>
      </c>
      <c r="N558" s="56">
        <f>IF(M623=0,0,M558/M623)</f>
        <v>0</v>
      </c>
      <c r="O558" s="39" t="s">
        <v>1068</v>
      </c>
      <c r="P558" s="6"/>
      <c r="Z558" s="45">
        <f>IF(AQ558="5",BJ558,0)</f>
        <v>0</v>
      </c>
      <c r="AB558" s="45">
        <f>IF(AQ558="1",BH558,0)</f>
        <v>0</v>
      </c>
      <c r="AC558" s="45">
        <f>IF(AQ558="1",BI558,0)</f>
        <v>0</v>
      </c>
      <c r="AD558" s="45">
        <f>IF(AQ558="7",BH558,0)</f>
        <v>0</v>
      </c>
      <c r="AE558" s="45">
        <f>IF(AQ558="7",BI558,0)</f>
        <v>0</v>
      </c>
      <c r="AF558" s="45">
        <f>IF(AQ558="2",BH558,0)</f>
        <v>0</v>
      </c>
      <c r="AG558" s="45">
        <f>IF(AQ558="2",BI558,0)</f>
        <v>0</v>
      </c>
      <c r="AH558" s="45">
        <f>IF(AQ558="0",BJ558,0)</f>
        <v>0</v>
      </c>
      <c r="AI558" s="44" t="s">
        <v>306</v>
      </c>
      <c r="AJ558" s="27">
        <f>IF(AN558=0,M558,0)</f>
        <v>0</v>
      </c>
      <c r="AK558" s="27">
        <f>IF(AN558=15,M558,0)</f>
        <v>0</v>
      </c>
      <c r="AL558" s="27">
        <f>IF(AN558=21,M558,0)</f>
        <v>0</v>
      </c>
      <c r="AN558" s="45">
        <v>15</v>
      </c>
      <c r="AO558" s="45">
        <f>J558*0.836752375628843</f>
        <v>0</v>
      </c>
      <c r="AP558" s="45">
        <f>J558*(1-0.836752375628843)</f>
        <v>0</v>
      </c>
      <c r="AQ558" s="46" t="s">
        <v>7</v>
      </c>
      <c r="AV558" s="45">
        <f>AW558+AX558</f>
        <v>0</v>
      </c>
      <c r="AW558" s="45">
        <f>I558*AO558</f>
        <v>0</v>
      </c>
      <c r="AX558" s="45">
        <f>I558*AP558</f>
        <v>0</v>
      </c>
      <c r="AY558" s="48" t="s">
        <v>1113</v>
      </c>
      <c r="AZ558" s="48" t="s">
        <v>1130</v>
      </c>
      <c r="BA558" s="44" t="s">
        <v>1140</v>
      </c>
      <c r="BC558" s="45">
        <f>AW558+AX558</f>
        <v>0</v>
      </c>
      <c r="BD558" s="45">
        <f>J558/(100-BE558)*100</f>
        <v>0</v>
      </c>
      <c r="BE558" s="45">
        <v>0</v>
      </c>
      <c r="BF558" s="45">
        <f>558</f>
        <v>558</v>
      </c>
      <c r="BH558" s="27">
        <f>I558*AO558</f>
        <v>0</v>
      </c>
      <c r="BI558" s="27">
        <f>I558*AP558</f>
        <v>0</v>
      </c>
      <c r="BJ558" s="27">
        <f>I558*J558</f>
        <v>0</v>
      </c>
      <c r="BK558" s="27" t="s">
        <v>1146</v>
      </c>
      <c r="BL558" s="45">
        <v>59</v>
      </c>
    </row>
    <row r="559" spans="1:64" x14ac:dyDescent="0.2">
      <c r="A559" s="6"/>
      <c r="D559" s="251" t="s">
        <v>1002</v>
      </c>
      <c r="E559" s="252"/>
      <c r="F559" s="252"/>
      <c r="G559" s="252"/>
      <c r="H559" s="252"/>
      <c r="I559" s="252"/>
      <c r="J559" s="252"/>
      <c r="K559" s="252"/>
      <c r="L559" s="252"/>
      <c r="M559" s="252"/>
      <c r="N559" s="252"/>
      <c r="O559" s="253"/>
      <c r="P559" s="6"/>
    </row>
    <row r="560" spans="1:64" x14ac:dyDescent="0.2">
      <c r="A560" s="6"/>
      <c r="C560" s="21" t="s">
        <v>310</v>
      </c>
      <c r="D560" s="245" t="s">
        <v>622</v>
      </c>
      <c r="E560" s="246"/>
      <c r="F560" s="246"/>
      <c r="G560" s="246"/>
      <c r="H560" s="246"/>
      <c r="I560" s="246"/>
      <c r="J560" s="246"/>
      <c r="K560" s="246"/>
      <c r="L560" s="246"/>
      <c r="M560" s="246"/>
      <c r="N560" s="246"/>
      <c r="O560" s="247"/>
      <c r="P560" s="6"/>
    </row>
    <row r="561" spans="1:64" x14ac:dyDescent="0.2">
      <c r="A561" s="5" t="s">
        <v>272</v>
      </c>
      <c r="B561" s="16" t="s">
        <v>306</v>
      </c>
      <c r="C561" s="16" t="s">
        <v>590</v>
      </c>
      <c r="D561" s="243" t="s">
        <v>1003</v>
      </c>
      <c r="E561" s="244"/>
      <c r="F561" s="244"/>
      <c r="G561" s="244"/>
      <c r="H561" s="16" t="s">
        <v>1045</v>
      </c>
      <c r="I561" s="27">
        <v>2</v>
      </c>
      <c r="J561" s="149"/>
      <c r="K561" s="27">
        <f>I561*AO561</f>
        <v>0</v>
      </c>
      <c r="L561" s="27">
        <f>I561*AP561</f>
        <v>0</v>
      </c>
      <c r="M561" s="27">
        <f>I561*J561</f>
        <v>0</v>
      </c>
      <c r="N561" s="56">
        <f>IF(M623=0,0,M561/M623)</f>
        <v>0</v>
      </c>
      <c r="O561" s="39" t="s">
        <v>1068</v>
      </c>
      <c r="P561" s="6"/>
      <c r="Z561" s="45">
        <f>IF(AQ561="5",BJ561,0)</f>
        <v>0</v>
      </c>
      <c r="AB561" s="45">
        <f>IF(AQ561="1",BH561,0)</f>
        <v>0</v>
      </c>
      <c r="AC561" s="45">
        <f>IF(AQ561="1",BI561,0)</f>
        <v>0</v>
      </c>
      <c r="AD561" s="45">
        <f>IF(AQ561="7",BH561,0)</f>
        <v>0</v>
      </c>
      <c r="AE561" s="45">
        <f>IF(AQ561="7",BI561,0)</f>
        <v>0</v>
      </c>
      <c r="AF561" s="45">
        <f>IF(AQ561="2",BH561,0)</f>
        <v>0</v>
      </c>
      <c r="AG561" s="45">
        <f>IF(AQ561="2",BI561,0)</f>
        <v>0</v>
      </c>
      <c r="AH561" s="45">
        <f>IF(AQ561="0",BJ561,0)</f>
        <v>0</v>
      </c>
      <c r="AI561" s="44" t="s">
        <v>306</v>
      </c>
      <c r="AJ561" s="27">
        <f>IF(AN561=0,M561,0)</f>
        <v>0</v>
      </c>
      <c r="AK561" s="27">
        <f>IF(AN561=15,M561,0)</f>
        <v>0</v>
      </c>
      <c r="AL561" s="27">
        <f>IF(AN561=21,M561,0)</f>
        <v>0</v>
      </c>
      <c r="AN561" s="45">
        <v>15</v>
      </c>
      <c r="AO561" s="45">
        <f>J561*0.893242496609604</f>
        <v>0</v>
      </c>
      <c r="AP561" s="45">
        <f>J561*(1-0.893242496609604)</f>
        <v>0</v>
      </c>
      <c r="AQ561" s="46" t="s">
        <v>7</v>
      </c>
      <c r="AV561" s="45">
        <f>AW561+AX561</f>
        <v>0</v>
      </c>
      <c r="AW561" s="45">
        <f>I561*AO561</f>
        <v>0</v>
      </c>
      <c r="AX561" s="45">
        <f>I561*AP561</f>
        <v>0</v>
      </c>
      <c r="AY561" s="48" t="s">
        <v>1113</v>
      </c>
      <c r="AZ561" s="48" t="s">
        <v>1130</v>
      </c>
      <c r="BA561" s="44" t="s">
        <v>1140</v>
      </c>
      <c r="BC561" s="45">
        <f>AW561+AX561</f>
        <v>0</v>
      </c>
      <c r="BD561" s="45">
        <f>J561/(100-BE561)*100</f>
        <v>0</v>
      </c>
      <c r="BE561" s="45">
        <v>0</v>
      </c>
      <c r="BF561" s="45">
        <f>561</f>
        <v>561</v>
      </c>
      <c r="BH561" s="27">
        <f>I561*AO561</f>
        <v>0</v>
      </c>
      <c r="BI561" s="27">
        <f>I561*AP561</f>
        <v>0</v>
      </c>
      <c r="BJ561" s="27">
        <f>I561*J561</f>
        <v>0</v>
      </c>
      <c r="BK561" s="27" t="s">
        <v>1146</v>
      </c>
      <c r="BL561" s="45">
        <v>59</v>
      </c>
    </row>
    <row r="562" spans="1:64" x14ac:dyDescent="0.2">
      <c r="A562" s="4"/>
      <c r="B562" s="15" t="s">
        <v>306</v>
      </c>
      <c r="C562" s="15" t="s">
        <v>481</v>
      </c>
      <c r="D562" s="237" t="s">
        <v>866</v>
      </c>
      <c r="E562" s="238"/>
      <c r="F562" s="238"/>
      <c r="G562" s="238"/>
      <c r="H562" s="24" t="s">
        <v>6</v>
      </c>
      <c r="I562" s="24" t="s">
        <v>6</v>
      </c>
      <c r="J562" s="24" t="s">
        <v>6</v>
      </c>
      <c r="K562" s="51">
        <f>SUM(K563:K569)</f>
        <v>0</v>
      </c>
      <c r="L562" s="51">
        <f>SUM(L563:L569)</f>
        <v>0</v>
      </c>
      <c r="M562" s="51">
        <f>SUM(M563:M569)</f>
        <v>0</v>
      </c>
      <c r="N562" s="55">
        <f>IF(M623=0,0,M562/M623)</f>
        <v>0</v>
      </c>
      <c r="O562" s="38"/>
      <c r="P562" s="6"/>
      <c r="AI562" s="44" t="s">
        <v>306</v>
      </c>
      <c r="AS562" s="51">
        <f>SUM(AJ563:AJ569)</f>
        <v>0</v>
      </c>
      <c r="AT562" s="51">
        <f>SUM(AK563:AK569)</f>
        <v>0</v>
      </c>
      <c r="AU562" s="51">
        <f>SUM(AL563:AL569)</f>
        <v>0</v>
      </c>
    </row>
    <row r="563" spans="1:64" x14ac:dyDescent="0.2">
      <c r="A563" s="5" t="s">
        <v>273</v>
      </c>
      <c r="B563" s="16" t="s">
        <v>306</v>
      </c>
      <c r="C563" s="16" t="s">
        <v>591</v>
      </c>
      <c r="D563" s="243" t="s">
        <v>1004</v>
      </c>
      <c r="E563" s="244"/>
      <c r="F563" s="244"/>
      <c r="G563" s="244"/>
      <c r="H563" s="16" t="s">
        <v>1042</v>
      </c>
      <c r="I563" s="27">
        <v>18.260000000000002</v>
      </c>
      <c r="J563" s="149"/>
      <c r="K563" s="27">
        <f>I563*AO563</f>
        <v>0</v>
      </c>
      <c r="L563" s="27">
        <f>I563*AP563</f>
        <v>0</v>
      </c>
      <c r="M563" s="27">
        <f>I563*J563</f>
        <v>0</v>
      </c>
      <c r="N563" s="56">
        <f>IF(M623=0,0,M563/M623)</f>
        <v>0</v>
      </c>
      <c r="O563" s="39" t="s">
        <v>1068</v>
      </c>
      <c r="P563" s="6"/>
      <c r="Z563" s="45">
        <f>IF(AQ563="5",BJ563,0)</f>
        <v>0</v>
      </c>
      <c r="AB563" s="45">
        <f>IF(AQ563="1",BH563,0)</f>
        <v>0</v>
      </c>
      <c r="AC563" s="45">
        <f>IF(AQ563="1",BI563,0)</f>
        <v>0</v>
      </c>
      <c r="AD563" s="45">
        <f>IF(AQ563="7",BH563,0)</f>
        <v>0</v>
      </c>
      <c r="AE563" s="45">
        <f>IF(AQ563="7",BI563,0)</f>
        <v>0</v>
      </c>
      <c r="AF563" s="45">
        <f>IF(AQ563="2",BH563,0)</f>
        <v>0</v>
      </c>
      <c r="AG563" s="45">
        <f>IF(AQ563="2",BI563,0)</f>
        <v>0</v>
      </c>
      <c r="AH563" s="45">
        <f>IF(AQ563="0",BJ563,0)</f>
        <v>0</v>
      </c>
      <c r="AI563" s="44" t="s">
        <v>306</v>
      </c>
      <c r="AJ563" s="27">
        <f>IF(AN563=0,M563,0)</f>
        <v>0</v>
      </c>
      <c r="AK563" s="27">
        <f>IF(AN563=15,M563,0)</f>
        <v>0</v>
      </c>
      <c r="AL563" s="27">
        <f>IF(AN563=21,M563,0)</f>
        <v>0</v>
      </c>
      <c r="AN563" s="45">
        <v>15</v>
      </c>
      <c r="AO563" s="45">
        <f>J563*0.26048596112311</f>
        <v>0</v>
      </c>
      <c r="AP563" s="45">
        <f>J563*(1-0.26048596112311)</f>
        <v>0</v>
      </c>
      <c r="AQ563" s="46" t="s">
        <v>13</v>
      </c>
      <c r="AV563" s="45">
        <f>AW563+AX563</f>
        <v>0</v>
      </c>
      <c r="AW563" s="45">
        <f>I563*AO563</f>
        <v>0</v>
      </c>
      <c r="AX563" s="45">
        <f>I563*AP563</f>
        <v>0</v>
      </c>
      <c r="AY563" s="48" t="s">
        <v>1099</v>
      </c>
      <c r="AZ563" s="48" t="s">
        <v>1131</v>
      </c>
      <c r="BA563" s="44" t="s">
        <v>1140</v>
      </c>
      <c r="BC563" s="45">
        <f>AW563+AX563</f>
        <v>0</v>
      </c>
      <c r="BD563" s="45">
        <f>J563/(100-BE563)*100</f>
        <v>0</v>
      </c>
      <c r="BE563" s="45">
        <v>0</v>
      </c>
      <c r="BF563" s="45">
        <f>563</f>
        <v>563</v>
      </c>
      <c r="BH563" s="27">
        <f>I563*AO563</f>
        <v>0</v>
      </c>
      <c r="BI563" s="27">
        <f>I563*AP563</f>
        <v>0</v>
      </c>
      <c r="BJ563" s="27">
        <f>I563*J563</f>
        <v>0</v>
      </c>
      <c r="BK563" s="27" t="s">
        <v>1146</v>
      </c>
      <c r="BL563" s="45">
        <v>766</v>
      </c>
    </row>
    <row r="564" spans="1:64" x14ac:dyDescent="0.2">
      <c r="A564" s="6"/>
      <c r="C564" s="21" t="s">
        <v>310</v>
      </c>
      <c r="D564" s="245" t="s">
        <v>758</v>
      </c>
      <c r="E564" s="246"/>
      <c r="F564" s="246"/>
      <c r="G564" s="246"/>
      <c r="H564" s="246"/>
      <c r="I564" s="246"/>
      <c r="J564" s="246"/>
      <c r="K564" s="246"/>
      <c r="L564" s="246"/>
      <c r="M564" s="246"/>
      <c r="N564" s="246"/>
      <c r="O564" s="247"/>
      <c r="P564" s="6"/>
    </row>
    <row r="565" spans="1:64" x14ac:dyDescent="0.2">
      <c r="A565" s="7" t="s">
        <v>274</v>
      </c>
      <c r="B565" s="17" t="s">
        <v>306</v>
      </c>
      <c r="C565" s="17" t="s">
        <v>592</v>
      </c>
      <c r="D565" s="241" t="s">
        <v>1005</v>
      </c>
      <c r="E565" s="242"/>
      <c r="F565" s="242"/>
      <c r="G565" s="242"/>
      <c r="H565" s="17" t="s">
        <v>1042</v>
      </c>
      <c r="I565" s="28">
        <v>18.63</v>
      </c>
      <c r="J565" s="154"/>
      <c r="K565" s="28">
        <f>I565*AO565</f>
        <v>0</v>
      </c>
      <c r="L565" s="28">
        <f>I565*AP565</f>
        <v>0</v>
      </c>
      <c r="M565" s="28">
        <f>I565*J565</f>
        <v>0</v>
      </c>
      <c r="N565" s="57">
        <f>IF(M623=0,0,M565/M623)</f>
        <v>0</v>
      </c>
      <c r="O565" s="40" t="s">
        <v>1068</v>
      </c>
      <c r="P565" s="6"/>
      <c r="Z565" s="45">
        <f>IF(AQ565="5",BJ565,0)</f>
        <v>0</v>
      </c>
      <c r="AB565" s="45">
        <f>IF(AQ565="1",BH565,0)</f>
        <v>0</v>
      </c>
      <c r="AC565" s="45">
        <f>IF(AQ565="1",BI565,0)</f>
        <v>0</v>
      </c>
      <c r="AD565" s="45">
        <f>IF(AQ565="7",BH565,0)</f>
        <v>0</v>
      </c>
      <c r="AE565" s="45">
        <f>IF(AQ565="7",BI565,0)</f>
        <v>0</v>
      </c>
      <c r="AF565" s="45">
        <f>IF(AQ565="2",BH565,0)</f>
        <v>0</v>
      </c>
      <c r="AG565" s="45">
        <f>IF(AQ565="2",BI565,0)</f>
        <v>0</v>
      </c>
      <c r="AH565" s="45">
        <f>IF(AQ565="0",BJ565,0)</f>
        <v>0</v>
      </c>
      <c r="AI565" s="44" t="s">
        <v>306</v>
      </c>
      <c r="AJ565" s="28">
        <f>IF(AN565=0,M565,0)</f>
        <v>0</v>
      </c>
      <c r="AK565" s="28">
        <f>IF(AN565=15,M565,0)</f>
        <v>0</v>
      </c>
      <c r="AL565" s="28">
        <f>IF(AN565=21,M565,0)</f>
        <v>0</v>
      </c>
      <c r="AN565" s="45">
        <v>15</v>
      </c>
      <c r="AO565" s="45">
        <f>J565*1</f>
        <v>0</v>
      </c>
      <c r="AP565" s="45">
        <f>J565*(1-1)</f>
        <v>0</v>
      </c>
      <c r="AQ565" s="47" t="s">
        <v>13</v>
      </c>
      <c r="AV565" s="45">
        <f>AW565+AX565</f>
        <v>0</v>
      </c>
      <c r="AW565" s="45">
        <f>I565*AO565</f>
        <v>0</v>
      </c>
      <c r="AX565" s="45">
        <f>I565*AP565</f>
        <v>0</v>
      </c>
      <c r="AY565" s="48" t="s">
        <v>1099</v>
      </c>
      <c r="AZ565" s="48" t="s">
        <v>1131</v>
      </c>
      <c r="BA565" s="44" t="s">
        <v>1140</v>
      </c>
      <c r="BC565" s="45">
        <f>AW565+AX565</f>
        <v>0</v>
      </c>
      <c r="BD565" s="45">
        <f>J565/(100-BE565)*100</f>
        <v>0</v>
      </c>
      <c r="BE565" s="45">
        <v>0</v>
      </c>
      <c r="BF565" s="45">
        <f>565</f>
        <v>565</v>
      </c>
      <c r="BH565" s="28">
        <f>I565*AO565</f>
        <v>0</v>
      </c>
      <c r="BI565" s="28">
        <f>I565*AP565</f>
        <v>0</v>
      </c>
      <c r="BJ565" s="28">
        <f>I565*J565</f>
        <v>0</v>
      </c>
      <c r="BK565" s="28" t="s">
        <v>1147</v>
      </c>
      <c r="BL565" s="45">
        <v>766</v>
      </c>
    </row>
    <row r="566" spans="1:64" x14ac:dyDescent="0.2">
      <c r="A566" s="7" t="s">
        <v>275</v>
      </c>
      <c r="B566" s="17" t="s">
        <v>306</v>
      </c>
      <c r="C566" s="17" t="s">
        <v>593</v>
      </c>
      <c r="D566" s="241" t="s">
        <v>1006</v>
      </c>
      <c r="E566" s="242"/>
      <c r="F566" s="242"/>
      <c r="G566" s="242"/>
      <c r="H566" s="17" t="s">
        <v>1044</v>
      </c>
      <c r="I566" s="28">
        <v>61.88</v>
      </c>
      <c r="J566" s="154"/>
      <c r="K566" s="28">
        <f>I566*AO566</f>
        <v>0</v>
      </c>
      <c r="L566" s="28">
        <f>I566*AP566</f>
        <v>0</v>
      </c>
      <c r="M566" s="28">
        <f>I566*J566</f>
        <v>0</v>
      </c>
      <c r="N566" s="57">
        <f>IF(M623=0,0,M566/M623)</f>
        <v>0</v>
      </c>
      <c r="O566" s="40" t="s">
        <v>1068</v>
      </c>
      <c r="P566" s="6"/>
      <c r="Z566" s="45">
        <f>IF(AQ566="5",BJ566,0)</f>
        <v>0</v>
      </c>
      <c r="AB566" s="45">
        <f>IF(AQ566="1",BH566,0)</f>
        <v>0</v>
      </c>
      <c r="AC566" s="45">
        <f>IF(AQ566="1",BI566,0)</f>
        <v>0</v>
      </c>
      <c r="AD566" s="45">
        <f>IF(AQ566="7",BH566,0)</f>
        <v>0</v>
      </c>
      <c r="AE566" s="45">
        <f>IF(AQ566="7",BI566,0)</f>
        <v>0</v>
      </c>
      <c r="AF566" s="45">
        <f>IF(AQ566="2",BH566,0)</f>
        <v>0</v>
      </c>
      <c r="AG566" s="45">
        <f>IF(AQ566="2",BI566,0)</f>
        <v>0</v>
      </c>
      <c r="AH566" s="45">
        <f>IF(AQ566="0",BJ566,0)</f>
        <v>0</v>
      </c>
      <c r="AI566" s="44" t="s">
        <v>306</v>
      </c>
      <c r="AJ566" s="28">
        <f>IF(AN566=0,M566,0)</f>
        <v>0</v>
      </c>
      <c r="AK566" s="28">
        <f>IF(AN566=15,M566,0)</f>
        <v>0</v>
      </c>
      <c r="AL566" s="28">
        <f>IF(AN566=21,M566,0)</f>
        <v>0</v>
      </c>
      <c r="AN566" s="45">
        <v>15</v>
      </c>
      <c r="AO566" s="45">
        <f>J566*1</f>
        <v>0</v>
      </c>
      <c r="AP566" s="45">
        <f>J566*(1-1)</f>
        <v>0</v>
      </c>
      <c r="AQ566" s="47" t="s">
        <v>13</v>
      </c>
      <c r="AV566" s="45">
        <f>AW566+AX566</f>
        <v>0</v>
      </c>
      <c r="AW566" s="45">
        <f>I566*AO566</f>
        <v>0</v>
      </c>
      <c r="AX566" s="45">
        <f>I566*AP566</f>
        <v>0</v>
      </c>
      <c r="AY566" s="48" t="s">
        <v>1099</v>
      </c>
      <c r="AZ566" s="48" t="s">
        <v>1131</v>
      </c>
      <c r="BA566" s="44" t="s">
        <v>1140</v>
      </c>
      <c r="BC566" s="45">
        <f>AW566+AX566</f>
        <v>0</v>
      </c>
      <c r="BD566" s="45">
        <f>J566/(100-BE566)*100</f>
        <v>0</v>
      </c>
      <c r="BE566" s="45">
        <v>0</v>
      </c>
      <c r="BF566" s="45">
        <f>566</f>
        <v>566</v>
      </c>
      <c r="BH566" s="28">
        <f>I566*AO566</f>
        <v>0</v>
      </c>
      <c r="BI566" s="28">
        <f>I566*AP566</f>
        <v>0</v>
      </c>
      <c r="BJ566" s="28">
        <f>I566*J566</f>
        <v>0</v>
      </c>
      <c r="BK566" s="28" t="s">
        <v>1147</v>
      </c>
      <c r="BL566" s="45">
        <v>766</v>
      </c>
    </row>
    <row r="567" spans="1:64" x14ac:dyDescent="0.2">
      <c r="A567" s="6"/>
      <c r="C567" s="21" t="s">
        <v>310</v>
      </c>
      <c r="D567" s="245" t="s">
        <v>758</v>
      </c>
      <c r="E567" s="246"/>
      <c r="F567" s="246"/>
      <c r="G567" s="246"/>
      <c r="H567" s="246"/>
      <c r="I567" s="246"/>
      <c r="J567" s="246"/>
      <c r="K567" s="246"/>
      <c r="L567" s="246"/>
      <c r="M567" s="246"/>
      <c r="N567" s="246"/>
      <c r="O567" s="247"/>
      <c r="P567" s="6"/>
    </row>
    <row r="568" spans="1:64" x14ac:dyDescent="0.2">
      <c r="A568" s="7" t="s">
        <v>276</v>
      </c>
      <c r="B568" s="17" t="s">
        <v>306</v>
      </c>
      <c r="C568" s="17" t="s">
        <v>594</v>
      </c>
      <c r="D568" s="241" t="s">
        <v>1007</v>
      </c>
      <c r="E568" s="242"/>
      <c r="F568" s="242"/>
      <c r="G568" s="242"/>
      <c r="H568" s="17" t="s">
        <v>1045</v>
      </c>
      <c r="I568" s="28">
        <v>115.04</v>
      </c>
      <c r="J568" s="154"/>
      <c r="K568" s="28">
        <f>I568*AO568</f>
        <v>0</v>
      </c>
      <c r="L568" s="28">
        <f>I568*AP568</f>
        <v>0</v>
      </c>
      <c r="M568" s="28">
        <f>I568*J568</f>
        <v>0</v>
      </c>
      <c r="N568" s="57">
        <f>IF(M623=0,0,M568/M623)</f>
        <v>0</v>
      </c>
      <c r="O568" s="40" t="s">
        <v>1068</v>
      </c>
      <c r="P568" s="6"/>
      <c r="Z568" s="45">
        <f>IF(AQ568="5",BJ568,0)</f>
        <v>0</v>
      </c>
      <c r="AB568" s="45">
        <f>IF(AQ568="1",BH568,0)</f>
        <v>0</v>
      </c>
      <c r="AC568" s="45">
        <f>IF(AQ568="1",BI568,0)</f>
        <v>0</v>
      </c>
      <c r="AD568" s="45">
        <f>IF(AQ568="7",BH568,0)</f>
        <v>0</v>
      </c>
      <c r="AE568" s="45">
        <f>IF(AQ568="7",BI568,0)</f>
        <v>0</v>
      </c>
      <c r="AF568" s="45">
        <f>IF(AQ568="2",BH568,0)</f>
        <v>0</v>
      </c>
      <c r="AG568" s="45">
        <f>IF(AQ568="2",BI568,0)</f>
        <v>0</v>
      </c>
      <c r="AH568" s="45">
        <f>IF(AQ568="0",BJ568,0)</f>
        <v>0</v>
      </c>
      <c r="AI568" s="44" t="s">
        <v>306</v>
      </c>
      <c r="AJ568" s="28">
        <f>IF(AN568=0,M568,0)</f>
        <v>0</v>
      </c>
      <c r="AK568" s="28">
        <f>IF(AN568=15,M568,0)</f>
        <v>0</v>
      </c>
      <c r="AL568" s="28">
        <f>IF(AN568=21,M568,0)</f>
        <v>0</v>
      </c>
      <c r="AN568" s="45">
        <v>15</v>
      </c>
      <c r="AO568" s="45">
        <f>J568*1</f>
        <v>0</v>
      </c>
      <c r="AP568" s="45">
        <f>J568*(1-1)</f>
        <v>0</v>
      </c>
      <c r="AQ568" s="47" t="s">
        <v>13</v>
      </c>
      <c r="AV568" s="45">
        <f>AW568+AX568</f>
        <v>0</v>
      </c>
      <c r="AW568" s="45">
        <f>I568*AO568</f>
        <v>0</v>
      </c>
      <c r="AX568" s="45">
        <f>I568*AP568</f>
        <v>0</v>
      </c>
      <c r="AY568" s="48" t="s">
        <v>1099</v>
      </c>
      <c r="AZ568" s="48" t="s">
        <v>1131</v>
      </c>
      <c r="BA568" s="44" t="s">
        <v>1140</v>
      </c>
      <c r="BC568" s="45">
        <f>AW568+AX568</f>
        <v>0</v>
      </c>
      <c r="BD568" s="45">
        <f>J568/(100-BE568)*100</f>
        <v>0</v>
      </c>
      <c r="BE568" s="45">
        <v>0</v>
      </c>
      <c r="BF568" s="45">
        <f>568</f>
        <v>568</v>
      </c>
      <c r="BH568" s="28">
        <f>I568*AO568</f>
        <v>0</v>
      </c>
      <c r="BI568" s="28">
        <f>I568*AP568</f>
        <v>0</v>
      </c>
      <c r="BJ568" s="28">
        <f>I568*J568</f>
        <v>0</v>
      </c>
      <c r="BK568" s="28" t="s">
        <v>1147</v>
      </c>
      <c r="BL568" s="45">
        <v>766</v>
      </c>
    </row>
    <row r="569" spans="1:64" x14ac:dyDescent="0.2">
      <c r="A569" s="7" t="s">
        <v>277</v>
      </c>
      <c r="B569" s="17" t="s">
        <v>306</v>
      </c>
      <c r="C569" s="17" t="s">
        <v>595</v>
      </c>
      <c r="D569" s="241" t="s">
        <v>1008</v>
      </c>
      <c r="E569" s="242"/>
      <c r="F569" s="242"/>
      <c r="G569" s="242"/>
      <c r="H569" s="17" t="s">
        <v>1045</v>
      </c>
      <c r="I569" s="28">
        <v>115.04</v>
      </c>
      <c r="J569" s="154"/>
      <c r="K569" s="28">
        <f>I569*AO569</f>
        <v>0</v>
      </c>
      <c r="L569" s="28">
        <f>I569*AP569</f>
        <v>0</v>
      </c>
      <c r="M569" s="28">
        <f>I569*J569</f>
        <v>0</v>
      </c>
      <c r="N569" s="57">
        <f>IF(M623=0,0,M569/M623)</f>
        <v>0</v>
      </c>
      <c r="O569" s="40" t="s">
        <v>1068</v>
      </c>
      <c r="P569" s="6"/>
      <c r="Z569" s="45">
        <f>IF(AQ569="5",BJ569,0)</f>
        <v>0</v>
      </c>
      <c r="AB569" s="45">
        <f>IF(AQ569="1",BH569,0)</f>
        <v>0</v>
      </c>
      <c r="AC569" s="45">
        <f>IF(AQ569="1",BI569,0)</f>
        <v>0</v>
      </c>
      <c r="AD569" s="45">
        <f>IF(AQ569="7",BH569,0)</f>
        <v>0</v>
      </c>
      <c r="AE569" s="45">
        <f>IF(AQ569="7",BI569,0)</f>
        <v>0</v>
      </c>
      <c r="AF569" s="45">
        <f>IF(AQ569="2",BH569,0)</f>
        <v>0</v>
      </c>
      <c r="AG569" s="45">
        <f>IF(AQ569="2",BI569,0)</f>
        <v>0</v>
      </c>
      <c r="AH569" s="45">
        <f>IF(AQ569="0",BJ569,0)</f>
        <v>0</v>
      </c>
      <c r="AI569" s="44" t="s">
        <v>306</v>
      </c>
      <c r="AJ569" s="28">
        <f>IF(AN569=0,M569,0)</f>
        <v>0</v>
      </c>
      <c r="AK569" s="28">
        <f>IF(AN569=15,M569,0)</f>
        <v>0</v>
      </c>
      <c r="AL569" s="28">
        <f>IF(AN569=21,M569,0)</f>
        <v>0</v>
      </c>
      <c r="AN569" s="45">
        <v>15</v>
      </c>
      <c r="AO569" s="45">
        <f>J569*1</f>
        <v>0</v>
      </c>
      <c r="AP569" s="45">
        <f>J569*(1-1)</f>
        <v>0</v>
      </c>
      <c r="AQ569" s="47" t="s">
        <v>13</v>
      </c>
      <c r="AV569" s="45">
        <f>AW569+AX569</f>
        <v>0</v>
      </c>
      <c r="AW569" s="45">
        <f>I569*AO569</f>
        <v>0</v>
      </c>
      <c r="AX569" s="45">
        <f>I569*AP569</f>
        <v>0</v>
      </c>
      <c r="AY569" s="48" t="s">
        <v>1099</v>
      </c>
      <c r="AZ569" s="48" t="s">
        <v>1131</v>
      </c>
      <c r="BA569" s="44" t="s">
        <v>1140</v>
      </c>
      <c r="BC569" s="45">
        <f>AW569+AX569</f>
        <v>0</v>
      </c>
      <c r="BD569" s="45">
        <f>J569/(100-BE569)*100</f>
        <v>0</v>
      </c>
      <c r="BE569" s="45">
        <v>0</v>
      </c>
      <c r="BF569" s="45">
        <f>569</f>
        <v>569</v>
      </c>
      <c r="BH569" s="28">
        <f>I569*AO569</f>
        <v>0</v>
      </c>
      <c r="BI569" s="28">
        <f>I569*AP569</f>
        <v>0</v>
      </c>
      <c r="BJ569" s="28">
        <f>I569*J569</f>
        <v>0</v>
      </c>
      <c r="BK569" s="28" t="s">
        <v>1147</v>
      </c>
      <c r="BL569" s="45">
        <v>766</v>
      </c>
    </row>
    <row r="570" spans="1:64" x14ac:dyDescent="0.2">
      <c r="A570" s="4"/>
      <c r="B570" s="15" t="s">
        <v>306</v>
      </c>
      <c r="C570" s="15" t="s">
        <v>97</v>
      </c>
      <c r="D570" s="237" t="s">
        <v>1009</v>
      </c>
      <c r="E570" s="238"/>
      <c r="F570" s="238"/>
      <c r="G570" s="238"/>
      <c r="H570" s="24" t="s">
        <v>6</v>
      </c>
      <c r="I570" s="24" t="s">
        <v>6</v>
      </c>
      <c r="J570" s="24" t="s">
        <v>6</v>
      </c>
      <c r="K570" s="51">
        <f>SUM(K571:K571)</f>
        <v>0</v>
      </c>
      <c r="L570" s="51">
        <f>SUM(L571:L571)</f>
        <v>0</v>
      </c>
      <c r="M570" s="51">
        <f>SUM(M571:M571)</f>
        <v>0</v>
      </c>
      <c r="N570" s="55">
        <f>IF(M623=0,0,M570/M623)</f>
        <v>0</v>
      </c>
      <c r="O570" s="38"/>
      <c r="P570" s="6"/>
      <c r="AI570" s="44" t="s">
        <v>306</v>
      </c>
      <c r="AS570" s="51">
        <f>SUM(AJ571:AJ571)</f>
        <v>0</v>
      </c>
      <c r="AT570" s="51">
        <f>SUM(AK571:AK571)</f>
        <v>0</v>
      </c>
      <c r="AU570" s="51">
        <f>SUM(AL571:AL571)</f>
        <v>0</v>
      </c>
    </row>
    <row r="571" spans="1:64" x14ac:dyDescent="0.2">
      <c r="A571" s="5" t="s">
        <v>278</v>
      </c>
      <c r="B571" s="16" t="s">
        <v>306</v>
      </c>
      <c r="C571" s="16" t="s">
        <v>596</v>
      </c>
      <c r="D571" s="243" t="s">
        <v>1010</v>
      </c>
      <c r="E571" s="244"/>
      <c r="F571" s="244"/>
      <c r="G571" s="244"/>
      <c r="H571" s="16" t="s">
        <v>1044</v>
      </c>
      <c r="I571" s="27">
        <v>7.7</v>
      </c>
      <c r="J571" s="149"/>
      <c r="K571" s="27">
        <f>I571*AO571</f>
        <v>0</v>
      </c>
      <c r="L571" s="27">
        <f>I571*AP571</f>
        <v>0</v>
      </c>
      <c r="M571" s="27">
        <f>I571*J571</f>
        <v>0</v>
      </c>
      <c r="N571" s="56">
        <f>IF(M623=0,0,M571/M623)</f>
        <v>0</v>
      </c>
      <c r="O571" s="39" t="s">
        <v>1068</v>
      </c>
      <c r="P571" s="6"/>
      <c r="Z571" s="45">
        <f>IF(AQ571="5",BJ571,0)</f>
        <v>0</v>
      </c>
      <c r="AB571" s="45">
        <f>IF(AQ571="1",BH571,0)</f>
        <v>0</v>
      </c>
      <c r="AC571" s="45">
        <f>IF(AQ571="1",BI571,0)</f>
        <v>0</v>
      </c>
      <c r="AD571" s="45">
        <f>IF(AQ571="7",BH571,0)</f>
        <v>0</v>
      </c>
      <c r="AE571" s="45">
        <f>IF(AQ571="7",BI571,0)</f>
        <v>0</v>
      </c>
      <c r="AF571" s="45">
        <f>IF(AQ571="2",BH571,0)</f>
        <v>0</v>
      </c>
      <c r="AG571" s="45">
        <f>IF(AQ571="2",BI571,0)</f>
        <v>0</v>
      </c>
      <c r="AH571" s="45">
        <f>IF(AQ571="0",BJ571,0)</f>
        <v>0</v>
      </c>
      <c r="AI571" s="44" t="s">
        <v>306</v>
      </c>
      <c r="AJ571" s="27">
        <f>IF(AN571=0,M571,0)</f>
        <v>0</v>
      </c>
      <c r="AK571" s="27">
        <f>IF(AN571=15,M571,0)</f>
        <v>0</v>
      </c>
      <c r="AL571" s="27">
        <f>IF(AN571=21,M571,0)</f>
        <v>0</v>
      </c>
      <c r="AN571" s="45">
        <v>15</v>
      </c>
      <c r="AO571" s="45">
        <f>J571*0.690607101947308</f>
        <v>0</v>
      </c>
      <c r="AP571" s="45">
        <f>J571*(1-0.690607101947308)</f>
        <v>0</v>
      </c>
      <c r="AQ571" s="46" t="s">
        <v>7</v>
      </c>
      <c r="AV571" s="45">
        <f>AW571+AX571</f>
        <v>0</v>
      </c>
      <c r="AW571" s="45">
        <f>I571*AO571</f>
        <v>0</v>
      </c>
      <c r="AX571" s="45">
        <f>I571*AP571</f>
        <v>0</v>
      </c>
      <c r="AY571" s="48" t="s">
        <v>1114</v>
      </c>
      <c r="AZ571" s="48" t="s">
        <v>1132</v>
      </c>
      <c r="BA571" s="44" t="s">
        <v>1140</v>
      </c>
      <c r="BC571" s="45">
        <f>AW571+AX571</f>
        <v>0</v>
      </c>
      <c r="BD571" s="45">
        <f>J571/(100-BE571)*100</f>
        <v>0</v>
      </c>
      <c r="BE571" s="45">
        <v>0</v>
      </c>
      <c r="BF571" s="45">
        <f>571</f>
        <v>571</v>
      </c>
      <c r="BH571" s="27">
        <f>I571*AO571</f>
        <v>0</v>
      </c>
      <c r="BI571" s="27">
        <f>I571*AP571</f>
        <v>0</v>
      </c>
      <c r="BJ571" s="27">
        <f>I571*J571</f>
        <v>0</v>
      </c>
      <c r="BK571" s="27" t="s">
        <v>1146</v>
      </c>
      <c r="BL571" s="45">
        <v>91</v>
      </c>
    </row>
    <row r="572" spans="1:64" x14ac:dyDescent="0.2">
      <c r="A572" s="6"/>
      <c r="D572" s="251" t="s">
        <v>1011</v>
      </c>
      <c r="E572" s="252"/>
      <c r="F572" s="252"/>
      <c r="G572" s="252"/>
      <c r="H572" s="252"/>
      <c r="I572" s="252"/>
      <c r="J572" s="252"/>
      <c r="K572" s="252"/>
      <c r="L572" s="252"/>
      <c r="M572" s="252"/>
      <c r="N572" s="252"/>
      <c r="O572" s="253"/>
      <c r="P572" s="6"/>
    </row>
    <row r="573" spans="1:64" x14ac:dyDescent="0.2">
      <c r="A573" s="6"/>
      <c r="C573" s="21" t="s">
        <v>310</v>
      </c>
      <c r="D573" s="245" t="s">
        <v>758</v>
      </c>
      <c r="E573" s="246"/>
      <c r="F573" s="246"/>
      <c r="G573" s="246"/>
      <c r="H573" s="246"/>
      <c r="I573" s="246"/>
      <c r="J573" s="246"/>
      <c r="K573" s="246"/>
      <c r="L573" s="246"/>
      <c r="M573" s="246"/>
      <c r="N573" s="246"/>
      <c r="O573" s="247"/>
      <c r="P573" s="6"/>
    </row>
    <row r="574" spans="1:64" x14ac:dyDescent="0.2">
      <c r="A574" s="4"/>
      <c r="B574" s="15" t="s">
        <v>306</v>
      </c>
      <c r="C574" s="15" t="s">
        <v>597</v>
      </c>
      <c r="D574" s="237" t="s">
        <v>1012</v>
      </c>
      <c r="E574" s="238"/>
      <c r="F574" s="238"/>
      <c r="G574" s="238"/>
      <c r="H574" s="24" t="s">
        <v>6</v>
      </c>
      <c r="I574" s="24" t="s">
        <v>6</v>
      </c>
      <c r="J574" s="24" t="s">
        <v>6</v>
      </c>
      <c r="K574" s="51">
        <f>SUM(K575:K575)</f>
        <v>0</v>
      </c>
      <c r="L574" s="51">
        <f>SUM(L575:L575)</f>
        <v>0</v>
      </c>
      <c r="M574" s="51">
        <f>SUM(M575:M575)</f>
        <v>0</v>
      </c>
      <c r="N574" s="55">
        <f>IF(M623=0,0,M574/M623)</f>
        <v>0</v>
      </c>
      <c r="O574" s="38"/>
      <c r="P574" s="6"/>
      <c r="AI574" s="44" t="s">
        <v>306</v>
      </c>
      <c r="AS574" s="51">
        <f>SUM(AJ575:AJ575)</f>
        <v>0</v>
      </c>
      <c r="AT574" s="51">
        <f>SUM(AK575:AK575)</f>
        <v>0</v>
      </c>
      <c r="AU574" s="51">
        <f>SUM(AL575:AL575)</f>
        <v>0</v>
      </c>
    </row>
    <row r="575" spans="1:64" x14ac:dyDescent="0.2">
      <c r="A575" s="5" t="s">
        <v>279</v>
      </c>
      <c r="B575" s="16" t="s">
        <v>306</v>
      </c>
      <c r="C575" s="16" t="s">
        <v>598</v>
      </c>
      <c r="D575" s="243" t="s">
        <v>1013</v>
      </c>
      <c r="E575" s="244"/>
      <c r="F575" s="244"/>
      <c r="G575" s="244"/>
      <c r="H575" s="16" t="s">
        <v>1043</v>
      </c>
      <c r="I575" s="27">
        <v>69.58</v>
      </c>
      <c r="J575" s="149"/>
      <c r="K575" s="27">
        <f>I575*AO575</f>
        <v>0</v>
      </c>
      <c r="L575" s="27">
        <f>I575*AP575</f>
        <v>0</v>
      </c>
      <c r="M575" s="27">
        <f>I575*J575</f>
        <v>0</v>
      </c>
      <c r="N575" s="56">
        <f>IF(M623=0,0,M575/M623)</f>
        <v>0</v>
      </c>
      <c r="O575" s="39" t="s">
        <v>1068</v>
      </c>
      <c r="P575" s="6"/>
      <c r="Z575" s="45">
        <f>IF(AQ575="5",BJ575,0)</f>
        <v>0</v>
      </c>
      <c r="AB575" s="45">
        <f>IF(AQ575="1",BH575,0)</f>
        <v>0</v>
      </c>
      <c r="AC575" s="45">
        <f>IF(AQ575="1",BI575,0)</f>
        <v>0</v>
      </c>
      <c r="AD575" s="45">
        <f>IF(AQ575="7",BH575,0)</f>
        <v>0</v>
      </c>
      <c r="AE575" s="45">
        <f>IF(AQ575="7",BI575,0)</f>
        <v>0</v>
      </c>
      <c r="AF575" s="45">
        <f>IF(AQ575="2",BH575,0)</f>
        <v>0</v>
      </c>
      <c r="AG575" s="45">
        <f>IF(AQ575="2",BI575,0)</f>
        <v>0</v>
      </c>
      <c r="AH575" s="45">
        <f>IF(AQ575="0",BJ575,0)</f>
        <v>0</v>
      </c>
      <c r="AI575" s="44" t="s">
        <v>306</v>
      </c>
      <c r="AJ575" s="27">
        <f>IF(AN575=0,M575,0)</f>
        <v>0</v>
      </c>
      <c r="AK575" s="27">
        <f>IF(AN575=15,M575,0)</f>
        <v>0</v>
      </c>
      <c r="AL575" s="27">
        <f>IF(AN575=21,M575,0)</f>
        <v>0</v>
      </c>
      <c r="AN575" s="45">
        <v>15</v>
      </c>
      <c r="AO575" s="45">
        <f>J575*0</f>
        <v>0</v>
      </c>
      <c r="AP575" s="45">
        <f>J575*(1-0)</f>
        <v>0</v>
      </c>
      <c r="AQ575" s="46" t="s">
        <v>11</v>
      </c>
      <c r="AV575" s="45">
        <f>AW575+AX575</f>
        <v>0</v>
      </c>
      <c r="AW575" s="45">
        <f>I575*AO575</f>
        <v>0</v>
      </c>
      <c r="AX575" s="45">
        <f>I575*AP575</f>
        <v>0</v>
      </c>
      <c r="AY575" s="48" t="s">
        <v>1115</v>
      </c>
      <c r="AZ575" s="48" t="s">
        <v>1132</v>
      </c>
      <c r="BA575" s="44" t="s">
        <v>1140</v>
      </c>
      <c r="BC575" s="45">
        <f>AW575+AX575</f>
        <v>0</v>
      </c>
      <c r="BD575" s="45">
        <f>J575/(100-BE575)*100</f>
        <v>0</v>
      </c>
      <c r="BE575" s="45">
        <v>0</v>
      </c>
      <c r="BF575" s="45">
        <f>575</f>
        <v>575</v>
      </c>
      <c r="BH575" s="27">
        <f>I575*AO575</f>
        <v>0</v>
      </c>
      <c r="BI575" s="27">
        <f>I575*AP575</f>
        <v>0</v>
      </c>
      <c r="BJ575" s="27">
        <f>I575*J575</f>
        <v>0</v>
      </c>
      <c r="BK575" s="27" t="s">
        <v>1146</v>
      </c>
      <c r="BL575" s="45" t="s">
        <v>597</v>
      </c>
    </row>
    <row r="576" spans="1:64" x14ac:dyDescent="0.2">
      <c r="A576" s="4"/>
      <c r="B576" s="15" t="s">
        <v>306</v>
      </c>
      <c r="C576" s="15" t="s">
        <v>599</v>
      </c>
      <c r="D576" s="237" t="s">
        <v>1014</v>
      </c>
      <c r="E576" s="238"/>
      <c r="F576" s="238"/>
      <c r="G576" s="238"/>
      <c r="H576" s="24" t="s">
        <v>6</v>
      </c>
      <c r="I576" s="24" t="s">
        <v>6</v>
      </c>
      <c r="J576" s="24" t="s">
        <v>6</v>
      </c>
      <c r="K576" s="51">
        <f>SUM(K577:K581)</f>
        <v>0</v>
      </c>
      <c r="L576" s="51">
        <f>SUM(L577:L581)</f>
        <v>0</v>
      </c>
      <c r="M576" s="51">
        <f>SUM(M577:M581)</f>
        <v>0</v>
      </c>
      <c r="N576" s="55">
        <f>IF(M623=0,0,M576/M623)</f>
        <v>0</v>
      </c>
      <c r="O576" s="38"/>
      <c r="P576" s="6"/>
      <c r="AI576" s="44" t="s">
        <v>306</v>
      </c>
      <c r="AS576" s="51">
        <f>SUM(AJ577:AJ581)</f>
        <v>0</v>
      </c>
      <c r="AT576" s="51">
        <f>SUM(AK577:AK581)</f>
        <v>0</v>
      </c>
      <c r="AU576" s="51">
        <f>SUM(AL577:AL581)</f>
        <v>0</v>
      </c>
    </row>
    <row r="577" spans="1:64" x14ac:dyDescent="0.2">
      <c r="A577" s="5" t="s">
        <v>280</v>
      </c>
      <c r="B577" s="16" t="s">
        <v>306</v>
      </c>
      <c r="C577" s="16" t="s">
        <v>600</v>
      </c>
      <c r="D577" s="243" t="s">
        <v>1015</v>
      </c>
      <c r="E577" s="244"/>
      <c r="F577" s="244"/>
      <c r="G577" s="244"/>
      <c r="H577" s="16" t="s">
        <v>1043</v>
      </c>
      <c r="I577" s="27">
        <v>0.95</v>
      </c>
      <c r="J577" s="149"/>
      <c r="K577" s="27">
        <f>I577*AO577</f>
        <v>0</v>
      </c>
      <c r="L577" s="27">
        <f>I577*AP577</f>
        <v>0</v>
      </c>
      <c r="M577" s="27">
        <f>I577*J577</f>
        <v>0</v>
      </c>
      <c r="N577" s="56">
        <f>IF(M623=0,0,M577/M623)</f>
        <v>0</v>
      </c>
      <c r="O577" s="39" t="s">
        <v>1068</v>
      </c>
      <c r="P577" s="6"/>
      <c r="Z577" s="45">
        <f>IF(AQ577="5",BJ577,0)</f>
        <v>0</v>
      </c>
      <c r="AB577" s="45">
        <f>IF(AQ577="1",BH577,0)</f>
        <v>0</v>
      </c>
      <c r="AC577" s="45">
        <f>IF(AQ577="1",BI577,0)</f>
        <v>0</v>
      </c>
      <c r="AD577" s="45">
        <f>IF(AQ577="7",BH577,0)</f>
        <v>0</v>
      </c>
      <c r="AE577" s="45">
        <f>IF(AQ577="7",BI577,0)</f>
        <v>0</v>
      </c>
      <c r="AF577" s="45">
        <f>IF(AQ577="2",BH577,0)</f>
        <v>0</v>
      </c>
      <c r="AG577" s="45">
        <f>IF(AQ577="2",BI577,0)</f>
        <v>0</v>
      </c>
      <c r="AH577" s="45">
        <f>IF(AQ577="0",BJ577,0)</f>
        <v>0</v>
      </c>
      <c r="AI577" s="44" t="s">
        <v>306</v>
      </c>
      <c r="AJ577" s="27">
        <f>IF(AN577=0,M577,0)</f>
        <v>0</v>
      </c>
      <c r="AK577" s="27">
        <f>IF(AN577=15,M577,0)</f>
        <v>0</v>
      </c>
      <c r="AL577" s="27">
        <f>IF(AN577=21,M577,0)</f>
        <v>0</v>
      </c>
      <c r="AN577" s="45">
        <v>15</v>
      </c>
      <c r="AO577" s="45">
        <f>J577*0</f>
        <v>0</v>
      </c>
      <c r="AP577" s="45">
        <f>J577*(1-0)</f>
        <v>0</v>
      </c>
      <c r="AQ577" s="46" t="s">
        <v>11</v>
      </c>
      <c r="AV577" s="45">
        <f>AW577+AX577</f>
        <v>0</v>
      </c>
      <c r="AW577" s="45">
        <f>I577*AO577</f>
        <v>0</v>
      </c>
      <c r="AX577" s="45">
        <f>I577*AP577</f>
        <v>0</v>
      </c>
      <c r="AY577" s="48" t="s">
        <v>1116</v>
      </c>
      <c r="AZ577" s="48" t="s">
        <v>1132</v>
      </c>
      <c r="BA577" s="44" t="s">
        <v>1140</v>
      </c>
      <c r="BC577" s="45">
        <f>AW577+AX577</f>
        <v>0</v>
      </c>
      <c r="BD577" s="45">
        <f>J577/(100-BE577)*100</f>
        <v>0</v>
      </c>
      <c r="BE577" s="45">
        <v>0</v>
      </c>
      <c r="BF577" s="45">
        <f>577</f>
        <v>577</v>
      </c>
      <c r="BH577" s="27">
        <f>I577*AO577</f>
        <v>0</v>
      </c>
      <c r="BI577" s="27">
        <f>I577*AP577</f>
        <v>0</v>
      </c>
      <c r="BJ577" s="27">
        <f>I577*J577</f>
        <v>0</v>
      </c>
      <c r="BK577" s="27" t="s">
        <v>1146</v>
      </c>
      <c r="BL577" s="45" t="s">
        <v>599</v>
      </c>
    </row>
    <row r="578" spans="1:64" x14ac:dyDescent="0.2">
      <c r="A578" s="6"/>
      <c r="D578" s="251" t="s">
        <v>1016</v>
      </c>
      <c r="E578" s="252"/>
      <c r="F578" s="252"/>
      <c r="G578" s="252"/>
      <c r="H578" s="252"/>
      <c r="I578" s="252"/>
      <c r="J578" s="252"/>
      <c r="K578" s="252"/>
      <c r="L578" s="252"/>
      <c r="M578" s="252"/>
      <c r="N578" s="252"/>
      <c r="O578" s="253"/>
      <c r="P578" s="6"/>
    </row>
    <row r="579" spans="1:64" x14ac:dyDescent="0.2">
      <c r="A579" s="5" t="s">
        <v>281</v>
      </c>
      <c r="B579" s="16" t="s">
        <v>306</v>
      </c>
      <c r="C579" s="16" t="s">
        <v>601</v>
      </c>
      <c r="D579" s="243" t="s">
        <v>1017</v>
      </c>
      <c r="E579" s="244"/>
      <c r="F579" s="244"/>
      <c r="G579" s="244"/>
      <c r="H579" s="16" t="s">
        <v>1043</v>
      </c>
      <c r="I579" s="27">
        <v>28.5</v>
      </c>
      <c r="J579" s="149"/>
      <c r="K579" s="27">
        <f>I579*AO579</f>
        <v>0</v>
      </c>
      <c r="L579" s="27">
        <f>I579*AP579</f>
        <v>0</v>
      </c>
      <c r="M579" s="27">
        <f>I579*J579</f>
        <v>0</v>
      </c>
      <c r="N579" s="56">
        <f>IF(M623=0,0,M579/M623)</f>
        <v>0</v>
      </c>
      <c r="O579" s="39" t="s">
        <v>1068</v>
      </c>
      <c r="P579" s="6"/>
      <c r="Z579" s="45">
        <f>IF(AQ579="5",BJ579,0)</f>
        <v>0</v>
      </c>
      <c r="AB579" s="45">
        <f>IF(AQ579="1",BH579,0)</f>
        <v>0</v>
      </c>
      <c r="AC579" s="45">
        <f>IF(AQ579="1",BI579,0)</f>
        <v>0</v>
      </c>
      <c r="AD579" s="45">
        <f>IF(AQ579="7",BH579,0)</f>
        <v>0</v>
      </c>
      <c r="AE579" s="45">
        <f>IF(AQ579="7",BI579,0)</f>
        <v>0</v>
      </c>
      <c r="AF579" s="45">
        <f>IF(AQ579="2",BH579,0)</f>
        <v>0</v>
      </c>
      <c r="AG579" s="45">
        <f>IF(AQ579="2",BI579,0)</f>
        <v>0</v>
      </c>
      <c r="AH579" s="45">
        <f>IF(AQ579="0",BJ579,0)</f>
        <v>0</v>
      </c>
      <c r="AI579" s="44" t="s">
        <v>306</v>
      </c>
      <c r="AJ579" s="27">
        <f>IF(AN579=0,M579,0)</f>
        <v>0</v>
      </c>
      <c r="AK579" s="27">
        <f>IF(AN579=15,M579,0)</f>
        <v>0</v>
      </c>
      <c r="AL579" s="27">
        <f>IF(AN579=21,M579,0)</f>
        <v>0</v>
      </c>
      <c r="AN579" s="45">
        <v>15</v>
      </c>
      <c r="AO579" s="45">
        <f>J579*0</f>
        <v>0</v>
      </c>
      <c r="AP579" s="45">
        <f>J579*(1-0)</f>
        <v>0</v>
      </c>
      <c r="AQ579" s="46" t="s">
        <v>11</v>
      </c>
      <c r="AV579" s="45">
        <f>AW579+AX579</f>
        <v>0</v>
      </c>
      <c r="AW579" s="45">
        <f>I579*AO579</f>
        <v>0</v>
      </c>
      <c r="AX579" s="45">
        <f>I579*AP579</f>
        <v>0</v>
      </c>
      <c r="AY579" s="48" t="s">
        <v>1116</v>
      </c>
      <c r="AZ579" s="48" t="s">
        <v>1132</v>
      </c>
      <c r="BA579" s="44" t="s">
        <v>1140</v>
      </c>
      <c r="BC579" s="45">
        <f>AW579+AX579</f>
        <v>0</v>
      </c>
      <c r="BD579" s="45">
        <f>J579/(100-BE579)*100</f>
        <v>0</v>
      </c>
      <c r="BE579" s="45">
        <v>0</v>
      </c>
      <c r="BF579" s="45">
        <f>579</f>
        <v>579</v>
      </c>
      <c r="BH579" s="27">
        <f>I579*AO579</f>
        <v>0</v>
      </c>
      <c r="BI579" s="27">
        <f>I579*AP579</f>
        <v>0</v>
      </c>
      <c r="BJ579" s="27">
        <f>I579*J579</f>
        <v>0</v>
      </c>
      <c r="BK579" s="27" t="s">
        <v>1146</v>
      </c>
      <c r="BL579" s="45" t="s">
        <v>599</v>
      </c>
    </row>
    <row r="580" spans="1:64" x14ac:dyDescent="0.2">
      <c r="A580" s="6"/>
      <c r="D580" s="251" t="s">
        <v>1016</v>
      </c>
      <c r="E580" s="252"/>
      <c r="F580" s="252"/>
      <c r="G580" s="252"/>
      <c r="H580" s="252"/>
      <c r="I580" s="252"/>
      <c r="J580" s="252"/>
      <c r="K580" s="252"/>
      <c r="L580" s="252"/>
      <c r="M580" s="252"/>
      <c r="N580" s="252"/>
      <c r="O580" s="253"/>
      <c r="P580" s="6"/>
    </row>
    <row r="581" spans="1:64" x14ac:dyDescent="0.2">
      <c r="A581" s="5" t="s">
        <v>282</v>
      </c>
      <c r="B581" s="16" t="s">
        <v>306</v>
      </c>
      <c r="C581" s="16" t="s">
        <v>602</v>
      </c>
      <c r="D581" s="243" t="s">
        <v>1018</v>
      </c>
      <c r="E581" s="244"/>
      <c r="F581" s="244"/>
      <c r="G581" s="244"/>
      <c r="H581" s="16" t="s">
        <v>1043</v>
      </c>
      <c r="I581" s="27">
        <v>0.95</v>
      </c>
      <c r="J581" s="149"/>
      <c r="K581" s="27">
        <f>I581*AO581</f>
        <v>0</v>
      </c>
      <c r="L581" s="27">
        <f>I581*AP581</f>
        <v>0</v>
      </c>
      <c r="M581" s="27">
        <f>I581*J581</f>
        <v>0</v>
      </c>
      <c r="N581" s="56">
        <f>IF(M623=0,0,M581/M623)</f>
        <v>0</v>
      </c>
      <c r="O581" s="39" t="s">
        <v>1068</v>
      </c>
      <c r="P581" s="6"/>
      <c r="Z581" s="45">
        <f>IF(AQ581="5",BJ581,0)</f>
        <v>0</v>
      </c>
      <c r="AB581" s="45">
        <f>IF(AQ581="1",BH581,0)</f>
        <v>0</v>
      </c>
      <c r="AC581" s="45">
        <f>IF(AQ581="1",BI581,0)</f>
        <v>0</v>
      </c>
      <c r="AD581" s="45">
        <f>IF(AQ581="7",BH581,0)</f>
        <v>0</v>
      </c>
      <c r="AE581" s="45">
        <f>IF(AQ581="7",BI581,0)</f>
        <v>0</v>
      </c>
      <c r="AF581" s="45">
        <f>IF(AQ581="2",BH581,0)</f>
        <v>0</v>
      </c>
      <c r="AG581" s="45">
        <f>IF(AQ581="2",BI581,0)</f>
        <v>0</v>
      </c>
      <c r="AH581" s="45">
        <f>IF(AQ581="0",BJ581,0)</f>
        <v>0</v>
      </c>
      <c r="AI581" s="44" t="s">
        <v>306</v>
      </c>
      <c r="AJ581" s="27">
        <f>IF(AN581=0,M581,0)</f>
        <v>0</v>
      </c>
      <c r="AK581" s="27">
        <f>IF(AN581=15,M581,0)</f>
        <v>0</v>
      </c>
      <c r="AL581" s="27">
        <f>IF(AN581=21,M581,0)</f>
        <v>0</v>
      </c>
      <c r="AN581" s="45">
        <v>15</v>
      </c>
      <c r="AO581" s="45">
        <f>J581*0</f>
        <v>0</v>
      </c>
      <c r="AP581" s="45">
        <f>J581*(1-0)</f>
        <v>0</v>
      </c>
      <c r="AQ581" s="46" t="s">
        <v>11</v>
      </c>
      <c r="AV581" s="45">
        <f>AW581+AX581</f>
        <v>0</v>
      </c>
      <c r="AW581" s="45">
        <f>I581*AO581</f>
        <v>0</v>
      </c>
      <c r="AX581" s="45">
        <f>I581*AP581</f>
        <v>0</v>
      </c>
      <c r="AY581" s="48" t="s">
        <v>1116</v>
      </c>
      <c r="AZ581" s="48" t="s">
        <v>1132</v>
      </c>
      <c r="BA581" s="44" t="s">
        <v>1140</v>
      </c>
      <c r="BC581" s="45">
        <f>AW581+AX581</f>
        <v>0</v>
      </c>
      <c r="BD581" s="45">
        <f>J581/(100-BE581)*100</f>
        <v>0</v>
      </c>
      <c r="BE581" s="45">
        <v>0</v>
      </c>
      <c r="BF581" s="45">
        <f>581</f>
        <v>581</v>
      </c>
      <c r="BH581" s="27">
        <f>I581*AO581</f>
        <v>0</v>
      </c>
      <c r="BI581" s="27">
        <f>I581*AP581</f>
        <v>0</v>
      </c>
      <c r="BJ581" s="27">
        <f>I581*J581</f>
        <v>0</v>
      </c>
      <c r="BK581" s="27" t="s">
        <v>1146</v>
      </c>
      <c r="BL581" s="45" t="s">
        <v>599</v>
      </c>
    </row>
    <row r="582" spans="1:64" x14ac:dyDescent="0.2">
      <c r="A582" s="6"/>
      <c r="C582" s="21" t="s">
        <v>310</v>
      </c>
      <c r="D582" s="245" t="s">
        <v>622</v>
      </c>
      <c r="E582" s="246"/>
      <c r="F582" s="246"/>
      <c r="G582" s="246"/>
      <c r="H582" s="246"/>
      <c r="I582" s="246"/>
      <c r="J582" s="246"/>
      <c r="K582" s="246"/>
      <c r="L582" s="246"/>
      <c r="M582" s="246"/>
      <c r="N582" s="246"/>
      <c r="O582" s="247"/>
      <c r="P582" s="6"/>
    </row>
    <row r="583" spans="1:64" x14ac:dyDescent="0.2">
      <c r="A583" s="8"/>
      <c r="B583" s="18" t="s">
        <v>307</v>
      </c>
      <c r="C583" s="18"/>
      <c r="D583" s="254" t="s">
        <v>1019</v>
      </c>
      <c r="E583" s="255"/>
      <c r="F583" s="255"/>
      <c r="G583" s="255"/>
      <c r="H583" s="25" t="s">
        <v>6</v>
      </c>
      <c r="I583" s="25" t="s">
        <v>6</v>
      </c>
      <c r="J583" s="25" t="s">
        <v>6</v>
      </c>
      <c r="K583" s="52">
        <f>K584+K587+K590+K593+K604+K611+K621</f>
        <v>0</v>
      </c>
      <c r="L583" s="52">
        <f>L584+L587+L590+L593+L604+L611+L621</f>
        <v>0</v>
      </c>
      <c r="M583" s="52">
        <f>M584+M587+M590+M593+M604+M611+M621</f>
        <v>0</v>
      </c>
      <c r="N583" s="58">
        <f>IF(M623=0,0,M583/M623)</f>
        <v>0</v>
      </c>
      <c r="O583" s="41"/>
      <c r="P583" s="6"/>
    </row>
    <row r="584" spans="1:64" x14ac:dyDescent="0.2">
      <c r="A584" s="4"/>
      <c r="B584" s="15" t="s">
        <v>307</v>
      </c>
      <c r="C584" s="15" t="s">
        <v>19</v>
      </c>
      <c r="D584" s="237" t="s">
        <v>626</v>
      </c>
      <c r="E584" s="238"/>
      <c r="F584" s="238"/>
      <c r="G584" s="238"/>
      <c r="H584" s="24" t="s">
        <v>6</v>
      </c>
      <c r="I584" s="24" t="s">
        <v>6</v>
      </c>
      <c r="J584" s="24" t="s">
        <v>6</v>
      </c>
      <c r="K584" s="51">
        <f>SUM(K585:K585)</f>
        <v>0</v>
      </c>
      <c r="L584" s="51">
        <f>SUM(L585:L585)</f>
        <v>0</v>
      </c>
      <c r="M584" s="51">
        <f>SUM(M585:M585)</f>
        <v>0</v>
      </c>
      <c r="N584" s="55">
        <f>IF(M623=0,0,M584/M623)</f>
        <v>0</v>
      </c>
      <c r="O584" s="38"/>
      <c r="P584" s="6"/>
      <c r="AI584" s="44" t="s">
        <v>307</v>
      </c>
      <c r="AS584" s="51">
        <f>SUM(AJ585:AJ585)</f>
        <v>0</v>
      </c>
      <c r="AT584" s="51">
        <f>SUM(AK585:AK585)</f>
        <v>0</v>
      </c>
      <c r="AU584" s="51">
        <f>SUM(AL585:AL585)</f>
        <v>0</v>
      </c>
    </row>
    <row r="585" spans="1:64" x14ac:dyDescent="0.2">
      <c r="A585" s="5" t="s">
        <v>283</v>
      </c>
      <c r="B585" s="16" t="s">
        <v>307</v>
      </c>
      <c r="C585" s="16" t="s">
        <v>603</v>
      </c>
      <c r="D585" s="243" t="s">
        <v>1020</v>
      </c>
      <c r="E585" s="244"/>
      <c r="F585" s="244"/>
      <c r="G585" s="244"/>
      <c r="H585" s="16" t="s">
        <v>1041</v>
      </c>
      <c r="I585" s="27">
        <v>6.4</v>
      </c>
      <c r="J585" s="149"/>
      <c r="K585" s="27">
        <f>I585*AO585</f>
        <v>0</v>
      </c>
      <c r="L585" s="27">
        <f>I585*AP585</f>
        <v>0</v>
      </c>
      <c r="M585" s="27">
        <f>I585*J585</f>
        <v>0</v>
      </c>
      <c r="N585" s="56">
        <f>IF(M623=0,0,M585/M623)</f>
        <v>0</v>
      </c>
      <c r="O585" s="39" t="s">
        <v>1068</v>
      </c>
      <c r="P585" s="6"/>
      <c r="Z585" s="45">
        <f>IF(AQ585="5",BJ585,0)</f>
        <v>0</v>
      </c>
      <c r="AB585" s="45">
        <f>IF(AQ585="1",BH585,0)</f>
        <v>0</v>
      </c>
      <c r="AC585" s="45">
        <f>IF(AQ585="1",BI585,0)</f>
        <v>0</v>
      </c>
      <c r="AD585" s="45">
        <f>IF(AQ585="7",BH585,0)</f>
        <v>0</v>
      </c>
      <c r="AE585" s="45">
        <f>IF(AQ585="7",BI585,0)</f>
        <v>0</v>
      </c>
      <c r="AF585" s="45">
        <f>IF(AQ585="2",BH585,0)</f>
        <v>0</v>
      </c>
      <c r="AG585" s="45">
        <f>IF(AQ585="2",BI585,0)</f>
        <v>0</v>
      </c>
      <c r="AH585" s="45">
        <f>IF(AQ585="0",BJ585,0)</f>
        <v>0</v>
      </c>
      <c r="AI585" s="44" t="s">
        <v>307</v>
      </c>
      <c r="AJ585" s="27">
        <f>IF(AN585=0,M585,0)</f>
        <v>0</v>
      </c>
      <c r="AK585" s="27">
        <f>IF(AN585=15,M585,0)</f>
        <v>0</v>
      </c>
      <c r="AL585" s="27">
        <f>IF(AN585=21,M585,0)</f>
        <v>0</v>
      </c>
      <c r="AN585" s="45">
        <v>15</v>
      </c>
      <c r="AO585" s="45">
        <f>J585*0</f>
        <v>0</v>
      </c>
      <c r="AP585" s="45">
        <f>J585*(1-0)</f>
        <v>0</v>
      </c>
      <c r="AQ585" s="46" t="s">
        <v>7</v>
      </c>
      <c r="AV585" s="45">
        <f>AW585+AX585</f>
        <v>0</v>
      </c>
      <c r="AW585" s="45">
        <f>I585*AO585</f>
        <v>0</v>
      </c>
      <c r="AX585" s="45">
        <f>I585*AP585</f>
        <v>0</v>
      </c>
      <c r="AY585" s="48" t="s">
        <v>1081</v>
      </c>
      <c r="AZ585" s="48" t="s">
        <v>1133</v>
      </c>
      <c r="BA585" s="44" t="s">
        <v>1141</v>
      </c>
      <c r="BC585" s="45">
        <f>AW585+AX585</f>
        <v>0</v>
      </c>
      <c r="BD585" s="45">
        <f>J585/(100-BE585)*100</f>
        <v>0</v>
      </c>
      <c r="BE585" s="45">
        <v>0</v>
      </c>
      <c r="BF585" s="45">
        <f>585</f>
        <v>585</v>
      </c>
      <c r="BH585" s="27">
        <f>I585*AO585</f>
        <v>0</v>
      </c>
      <c r="BI585" s="27">
        <f>I585*AP585</f>
        <v>0</v>
      </c>
      <c r="BJ585" s="27">
        <f>I585*J585</f>
        <v>0</v>
      </c>
      <c r="BK585" s="27" t="s">
        <v>1146</v>
      </c>
      <c r="BL585" s="45">
        <v>13</v>
      </c>
    </row>
    <row r="586" spans="1:64" x14ac:dyDescent="0.2">
      <c r="A586" s="6"/>
      <c r="C586" s="21" t="s">
        <v>310</v>
      </c>
      <c r="D586" s="245" t="s">
        <v>1021</v>
      </c>
      <c r="E586" s="246"/>
      <c r="F586" s="246"/>
      <c r="G586" s="246"/>
      <c r="H586" s="246"/>
      <c r="I586" s="246"/>
      <c r="J586" s="246"/>
      <c r="K586" s="246"/>
      <c r="L586" s="246"/>
      <c r="M586" s="246"/>
      <c r="N586" s="246"/>
      <c r="O586" s="247"/>
      <c r="P586" s="6"/>
    </row>
    <row r="587" spans="1:64" x14ac:dyDescent="0.2">
      <c r="A587" s="4"/>
      <c r="B587" s="15" t="s">
        <v>307</v>
      </c>
      <c r="C587" s="15" t="s">
        <v>22</v>
      </c>
      <c r="D587" s="237" t="s">
        <v>635</v>
      </c>
      <c r="E587" s="238"/>
      <c r="F587" s="238"/>
      <c r="G587" s="238"/>
      <c r="H587" s="24" t="s">
        <v>6</v>
      </c>
      <c r="I587" s="24" t="s">
        <v>6</v>
      </c>
      <c r="J587" s="24" t="s">
        <v>6</v>
      </c>
      <c r="K587" s="51">
        <f>SUM(K588:K588)</f>
        <v>0</v>
      </c>
      <c r="L587" s="51">
        <f>SUM(L588:L588)</f>
        <v>0</v>
      </c>
      <c r="M587" s="51">
        <f>SUM(M588:M588)</f>
        <v>0</v>
      </c>
      <c r="N587" s="55">
        <f>IF(M623=0,0,M587/M623)</f>
        <v>0</v>
      </c>
      <c r="O587" s="38"/>
      <c r="P587" s="6"/>
      <c r="AI587" s="44" t="s">
        <v>307</v>
      </c>
      <c r="AS587" s="51">
        <f>SUM(AJ588:AJ588)</f>
        <v>0</v>
      </c>
      <c r="AT587" s="51">
        <f>SUM(AK588:AK588)</f>
        <v>0</v>
      </c>
      <c r="AU587" s="51">
        <f>SUM(AL588:AL588)</f>
        <v>0</v>
      </c>
    </row>
    <row r="588" spans="1:64" x14ac:dyDescent="0.2">
      <c r="A588" s="5" t="s">
        <v>284</v>
      </c>
      <c r="B588" s="16" t="s">
        <v>307</v>
      </c>
      <c r="C588" s="16" t="s">
        <v>321</v>
      </c>
      <c r="D588" s="243" t="s">
        <v>636</v>
      </c>
      <c r="E588" s="244"/>
      <c r="F588" s="244"/>
      <c r="G588" s="244"/>
      <c r="H588" s="16" t="s">
        <v>1041</v>
      </c>
      <c r="I588" s="27">
        <v>6.4</v>
      </c>
      <c r="J588" s="149"/>
      <c r="K588" s="27">
        <f>I588*AO588</f>
        <v>0</v>
      </c>
      <c r="L588" s="27">
        <f>I588*AP588</f>
        <v>0</v>
      </c>
      <c r="M588" s="27">
        <f>I588*J588</f>
        <v>0</v>
      </c>
      <c r="N588" s="56">
        <f>IF(M623=0,0,M588/M623)</f>
        <v>0</v>
      </c>
      <c r="O588" s="39" t="s">
        <v>1068</v>
      </c>
      <c r="P588" s="6"/>
      <c r="Z588" s="45">
        <f>IF(AQ588="5",BJ588,0)</f>
        <v>0</v>
      </c>
      <c r="AB588" s="45">
        <f>IF(AQ588="1",BH588,0)</f>
        <v>0</v>
      </c>
      <c r="AC588" s="45">
        <f>IF(AQ588="1",BI588,0)</f>
        <v>0</v>
      </c>
      <c r="AD588" s="45">
        <f>IF(AQ588="7",BH588,0)</f>
        <v>0</v>
      </c>
      <c r="AE588" s="45">
        <f>IF(AQ588="7",BI588,0)</f>
        <v>0</v>
      </c>
      <c r="AF588" s="45">
        <f>IF(AQ588="2",BH588,0)</f>
        <v>0</v>
      </c>
      <c r="AG588" s="45">
        <f>IF(AQ588="2",BI588,0)</f>
        <v>0</v>
      </c>
      <c r="AH588" s="45">
        <f>IF(AQ588="0",BJ588,0)</f>
        <v>0</v>
      </c>
      <c r="AI588" s="44" t="s">
        <v>307</v>
      </c>
      <c r="AJ588" s="27">
        <f>IF(AN588=0,M588,0)</f>
        <v>0</v>
      </c>
      <c r="AK588" s="27">
        <f>IF(AN588=15,M588,0)</f>
        <v>0</v>
      </c>
      <c r="AL588" s="27">
        <f>IF(AN588=21,M588,0)</f>
        <v>0</v>
      </c>
      <c r="AN588" s="45">
        <v>15</v>
      </c>
      <c r="AO588" s="45">
        <f>J588*0</f>
        <v>0</v>
      </c>
      <c r="AP588" s="45">
        <f>J588*(1-0)</f>
        <v>0</v>
      </c>
      <c r="AQ588" s="46" t="s">
        <v>7</v>
      </c>
      <c r="AV588" s="45">
        <f>AW588+AX588</f>
        <v>0</v>
      </c>
      <c r="AW588" s="45">
        <f>I588*AO588</f>
        <v>0</v>
      </c>
      <c r="AX588" s="45">
        <f>I588*AP588</f>
        <v>0</v>
      </c>
      <c r="AY588" s="48" t="s">
        <v>1082</v>
      </c>
      <c r="AZ588" s="48" t="s">
        <v>1133</v>
      </c>
      <c r="BA588" s="44" t="s">
        <v>1141</v>
      </c>
      <c r="BC588" s="45">
        <f>AW588+AX588</f>
        <v>0</v>
      </c>
      <c r="BD588" s="45">
        <f>J588/(100-BE588)*100</f>
        <v>0</v>
      </c>
      <c r="BE588" s="45">
        <v>0</v>
      </c>
      <c r="BF588" s="45">
        <f>588</f>
        <v>588</v>
      </c>
      <c r="BH588" s="27">
        <f>I588*AO588</f>
        <v>0</v>
      </c>
      <c r="BI588" s="27">
        <f>I588*AP588</f>
        <v>0</v>
      </c>
      <c r="BJ588" s="27">
        <f>I588*J588</f>
        <v>0</v>
      </c>
      <c r="BK588" s="27" t="s">
        <v>1146</v>
      </c>
      <c r="BL588" s="45">
        <v>16</v>
      </c>
    </row>
    <row r="589" spans="1:64" x14ac:dyDescent="0.2">
      <c r="A589" s="6"/>
      <c r="C589" s="21" t="s">
        <v>310</v>
      </c>
      <c r="D589" s="245" t="s">
        <v>1021</v>
      </c>
      <c r="E589" s="246"/>
      <c r="F589" s="246"/>
      <c r="G589" s="246"/>
      <c r="H589" s="246"/>
      <c r="I589" s="246"/>
      <c r="J589" s="246"/>
      <c r="K589" s="246"/>
      <c r="L589" s="246"/>
      <c r="M589" s="246"/>
      <c r="N589" s="246"/>
      <c r="O589" s="247"/>
      <c r="P589" s="6"/>
    </row>
    <row r="590" spans="1:64" x14ac:dyDescent="0.2">
      <c r="A590" s="4"/>
      <c r="B590" s="15" t="s">
        <v>307</v>
      </c>
      <c r="C590" s="15" t="s">
        <v>33</v>
      </c>
      <c r="D590" s="237" t="s">
        <v>645</v>
      </c>
      <c r="E590" s="238"/>
      <c r="F590" s="238"/>
      <c r="G590" s="238"/>
      <c r="H590" s="24" t="s">
        <v>6</v>
      </c>
      <c r="I590" s="24" t="s">
        <v>6</v>
      </c>
      <c r="J590" s="24" t="s">
        <v>6</v>
      </c>
      <c r="K590" s="51">
        <f>SUM(K591:K591)</f>
        <v>0</v>
      </c>
      <c r="L590" s="51">
        <f>SUM(L591:L591)</f>
        <v>0</v>
      </c>
      <c r="M590" s="51">
        <f>SUM(M591:M591)</f>
        <v>0</v>
      </c>
      <c r="N590" s="55">
        <f>IF(M623=0,0,M590/M623)</f>
        <v>0</v>
      </c>
      <c r="O590" s="38"/>
      <c r="P590" s="6"/>
      <c r="AI590" s="44" t="s">
        <v>307</v>
      </c>
      <c r="AS590" s="51">
        <f>SUM(AJ591:AJ591)</f>
        <v>0</v>
      </c>
      <c r="AT590" s="51">
        <f>SUM(AK591:AK591)</f>
        <v>0</v>
      </c>
      <c r="AU590" s="51">
        <f>SUM(AL591:AL591)</f>
        <v>0</v>
      </c>
    </row>
    <row r="591" spans="1:64" x14ac:dyDescent="0.2">
      <c r="A591" s="5" t="s">
        <v>285</v>
      </c>
      <c r="B591" s="16" t="s">
        <v>307</v>
      </c>
      <c r="C591" s="16" t="s">
        <v>327</v>
      </c>
      <c r="D591" s="243" t="s">
        <v>649</v>
      </c>
      <c r="E591" s="244"/>
      <c r="F591" s="244"/>
      <c r="G591" s="244"/>
      <c r="H591" s="16" t="s">
        <v>1041</v>
      </c>
      <c r="I591" s="27">
        <v>6.4</v>
      </c>
      <c r="J591" s="149"/>
      <c r="K591" s="27">
        <f>I591*AO591</f>
        <v>0</v>
      </c>
      <c r="L591" s="27">
        <f>I591*AP591</f>
        <v>0</v>
      </c>
      <c r="M591" s="27">
        <f>I591*J591</f>
        <v>0</v>
      </c>
      <c r="N591" s="56">
        <f>IF(M623=0,0,M591/M623)</f>
        <v>0</v>
      </c>
      <c r="O591" s="39" t="s">
        <v>1068</v>
      </c>
      <c r="P591" s="6"/>
      <c r="Z591" s="45">
        <f>IF(AQ591="5",BJ591,0)</f>
        <v>0</v>
      </c>
      <c r="AB591" s="45">
        <f>IF(AQ591="1",BH591,0)</f>
        <v>0</v>
      </c>
      <c r="AC591" s="45">
        <f>IF(AQ591="1",BI591,0)</f>
        <v>0</v>
      </c>
      <c r="AD591" s="45">
        <f>IF(AQ591="7",BH591,0)</f>
        <v>0</v>
      </c>
      <c r="AE591" s="45">
        <f>IF(AQ591="7",BI591,0)</f>
        <v>0</v>
      </c>
      <c r="AF591" s="45">
        <f>IF(AQ591="2",BH591,0)</f>
        <v>0</v>
      </c>
      <c r="AG591" s="45">
        <f>IF(AQ591="2",BI591,0)</f>
        <v>0</v>
      </c>
      <c r="AH591" s="45">
        <f>IF(AQ591="0",BJ591,0)</f>
        <v>0</v>
      </c>
      <c r="AI591" s="44" t="s">
        <v>307</v>
      </c>
      <c r="AJ591" s="27">
        <f>IF(AN591=0,M591,0)</f>
        <v>0</v>
      </c>
      <c r="AK591" s="27">
        <f>IF(AN591=15,M591,0)</f>
        <v>0</v>
      </c>
      <c r="AL591" s="27">
        <f>IF(AN591=21,M591,0)</f>
        <v>0</v>
      </c>
      <c r="AN591" s="45">
        <v>15</v>
      </c>
      <c r="AO591" s="45">
        <f>J591*0.888124763705104</f>
        <v>0</v>
      </c>
      <c r="AP591" s="45">
        <f>J591*(1-0.888124763705104)</f>
        <v>0</v>
      </c>
      <c r="AQ591" s="46" t="s">
        <v>7</v>
      </c>
      <c r="AV591" s="45">
        <f>AW591+AX591</f>
        <v>0</v>
      </c>
      <c r="AW591" s="45">
        <f>I591*AO591</f>
        <v>0</v>
      </c>
      <c r="AX591" s="45">
        <f>I591*AP591</f>
        <v>0</v>
      </c>
      <c r="AY591" s="48" t="s">
        <v>1084</v>
      </c>
      <c r="AZ591" s="48" t="s">
        <v>1134</v>
      </c>
      <c r="BA591" s="44" t="s">
        <v>1141</v>
      </c>
      <c r="BC591" s="45">
        <f>AW591+AX591</f>
        <v>0</v>
      </c>
      <c r="BD591" s="45">
        <f>J591/(100-BE591)*100</f>
        <v>0</v>
      </c>
      <c r="BE591" s="45">
        <v>0</v>
      </c>
      <c r="BF591" s="45">
        <f>591</f>
        <v>591</v>
      </c>
      <c r="BH591" s="27">
        <f>I591*AO591</f>
        <v>0</v>
      </c>
      <c r="BI591" s="27">
        <f>I591*AP591</f>
        <v>0</v>
      </c>
      <c r="BJ591" s="27">
        <f>I591*J591</f>
        <v>0</v>
      </c>
      <c r="BK591" s="27" t="s">
        <v>1146</v>
      </c>
      <c r="BL591" s="45">
        <v>27</v>
      </c>
    </row>
    <row r="592" spans="1:64" x14ac:dyDescent="0.2">
      <c r="A592" s="6"/>
      <c r="C592" s="21" t="s">
        <v>310</v>
      </c>
      <c r="D592" s="245" t="s">
        <v>1021</v>
      </c>
      <c r="E592" s="246"/>
      <c r="F592" s="246"/>
      <c r="G592" s="246"/>
      <c r="H592" s="246"/>
      <c r="I592" s="246"/>
      <c r="J592" s="246"/>
      <c r="K592" s="246"/>
      <c r="L592" s="246"/>
      <c r="M592" s="246"/>
      <c r="N592" s="246"/>
      <c r="O592" s="247"/>
      <c r="P592" s="6"/>
    </row>
    <row r="593" spans="1:64" x14ac:dyDescent="0.2">
      <c r="A593" s="4"/>
      <c r="B593" s="15" t="s">
        <v>307</v>
      </c>
      <c r="C593" s="15" t="s">
        <v>37</v>
      </c>
      <c r="D593" s="237" t="s">
        <v>670</v>
      </c>
      <c r="E593" s="238"/>
      <c r="F593" s="238"/>
      <c r="G593" s="238"/>
      <c r="H593" s="24" t="s">
        <v>6</v>
      </c>
      <c r="I593" s="24" t="s">
        <v>6</v>
      </c>
      <c r="J593" s="24" t="s">
        <v>6</v>
      </c>
      <c r="K593" s="51">
        <f>SUM(K594:K601)</f>
        <v>0</v>
      </c>
      <c r="L593" s="51">
        <f>SUM(L594:L601)</f>
        <v>0</v>
      </c>
      <c r="M593" s="51">
        <f>SUM(M594:M601)</f>
        <v>0</v>
      </c>
      <c r="N593" s="55">
        <f>IF(M623=0,0,M593/M623)</f>
        <v>0</v>
      </c>
      <c r="O593" s="38"/>
      <c r="P593" s="6"/>
      <c r="AI593" s="44" t="s">
        <v>307</v>
      </c>
      <c r="AS593" s="51">
        <f>SUM(AJ594:AJ601)</f>
        <v>0</v>
      </c>
      <c r="AT593" s="51">
        <f>SUM(AK594:AK601)</f>
        <v>0</v>
      </c>
      <c r="AU593" s="51">
        <f>SUM(AL594:AL601)</f>
        <v>0</v>
      </c>
    </row>
    <row r="594" spans="1:64" x14ac:dyDescent="0.2">
      <c r="A594" s="5" t="s">
        <v>286</v>
      </c>
      <c r="B594" s="16" t="s">
        <v>307</v>
      </c>
      <c r="C594" s="16" t="s">
        <v>345</v>
      </c>
      <c r="D594" s="243" t="s">
        <v>677</v>
      </c>
      <c r="E594" s="244"/>
      <c r="F594" s="244"/>
      <c r="G594" s="244"/>
      <c r="H594" s="16" t="s">
        <v>1042</v>
      </c>
      <c r="I594" s="27">
        <v>9.11</v>
      </c>
      <c r="J594" s="149"/>
      <c r="K594" s="27">
        <f>I594*AO594</f>
        <v>0</v>
      </c>
      <c r="L594" s="27">
        <f>I594*AP594</f>
        <v>0</v>
      </c>
      <c r="M594" s="27">
        <f>I594*J594</f>
        <v>0</v>
      </c>
      <c r="N594" s="56">
        <f>IF(M623=0,0,M594/M623)</f>
        <v>0</v>
      </c>
      <c r="O594" s="39" t="s">
        <v>1068</v>
      </c>
      <c r="P594" s="6"/>
      <c r="Z594" s="45">
        <f>IF(AQ594="5",BJ594,0)</f>
        <v>0</v>
      </c>
      <c r="AB594" s="45">
        <f>IF(AQ594="1",BH594,0)</f>
        <v>0</v>
      </c>
      <c r="AC594" s="45">
        <f>IF(AQ594="1",BI594,0)</f>
        <v>0</v>
      </c>
      <c r="AD594" s="45">
        <f>IF(AQ594="7",BH594,0)</f>
        <v>0</v>
      </c>
      <c r="AE594" s="45">
        <f>IF(AQ594="7",BI594,0)</f>
        <v>0</v>
      </c>
      <c r="AF594" s="45">
        <f>IF(AQ594="2",BH594,0)</f>
        <v>0</v>
      </c>
      <c r="AG594" s="45">
        <f>IF(AQ594="2",BI594,0)</f>
        <v>0</v>
      </c>
      <c r="AH594" s="45">
        <f>IF(AQ594="0",BJ594,0)</f>
        <v>0</v>
      </c>
      <c r="AI594" s="44" t="s">
        <v>307</v>
      </c>
      <c r="AJ594" s="27">
        <f>IF(AN594=0,M594,0)</f>
        <v>0</v>
      </c>
      <c r="AK594" s="27">
        <f>IF(AN594=15,M594,0)</f>
        <v>0</v>
      </c>
      <c r="AL594" s="27">
        <f>IF(AN594=21,M594,0)</f>
        <v>0</v>
      </c>
      <c r="AN594" s="45">
        <v>15</v>
      </c>
      <c r="AO594" s="45">
        <f>J594*0.69032135825339</f>
        <v>0</v>
      </c>
      <c r="AP594" s="45">
        <f>J594*(1-0.69032135825339)</f>
        <v>0</v>
      </c>
      <c r="AQ594" s="46" t="s">
        <v>7</v>
      </c>
      <c r="AV594" s="45">
        <f>AW594+AX594</f>
        <v>0</v>
      </c>
      <c r="AW594" s="45">
        <f>I594*AO594</f>
        <v>0</v>
      </c>
      <c r="AX594" s="45">
        <f>I594*AP594</f>
        <v>0</v>
      </c>
      <c r="AY594" s="48" t="s">
        <v>1085</v>
      </c>
      <c r="AZ594" s="48" t="s">
        <v>1135</v>
      </c>
      <c r="BA594" s="44" t="s">
        <v>1141</v>
      </c>
      <c r="BC594" s="45">
        <f>AW594+AX594</f>
        <v>0</v>
      </c>
      <c r="BD594" s="45">
        <f>J594/(100-BE594)*100</f>
        <v>0</v>
      </c>
      <c r="BE594" s="45">
        <v>0</v>
      </c>
      <c r="BF594" s="45">
        <f>594</f>
        <v>594</v>
      </c>
      <c r="BH594" s="27">
        <f>I594*AO594</f>
        <v>0</v>
      </c>
      <c r="BI594" s="27">
        <f>I594*AP594</f>
        <v>0</v>
      </c>
      <c r="BJ594" s="27">
        <f>I594*J594</f>
        <v>0</v>
      </c>
      <c r="BK594" s="27" t="s">
        <v>1146</v>
      </c>
      <c r="BL594" s="45">
        <v>31</v>
      </c>
    </row>
    <row r="595" spans="1:64" x14ac:dyDescent="0.2">
      <c r="A595" s="6"/>
      <c r="D595" s="251" t="s">
        <v>675</v>
      </c>
      <c r="E595" s="252"/>
      <c r="F595" s="252"/>
      <c r="G595" s="252"/>
      <c r="H595" s="252"/>
      <c r="I595" s="252"/>
      <c r="J595" s="252"/>
      <c r="K595" s="252"/>
      <c r="L595" s="252"/>
      <c r="M595" s="252"/>
      <c r="N595" s="252"/>
      <c r="O595" s="253"/>
      <c r="P595" s="6"/>
    </row>
    <row r="596" spans="1:64" x14ac:dyDescent="0.2">
      <c r="A596" s="6"/>
      <c r="C596" s="21" t="s">
        <v>310</v>
      </c>
      <c r="D596" s="245" t="s">
        <v>1021</v>
      </c>
      <c r="E596" s="246"/>
      <c r="F596" s="246"/>
      <c r="G596" s="246"/>
      <c r="H596" s="246"/>
      <c r="I596" s="246"/>
      <c r="J596" s="246"/>
      <c r="K596" s="246"/>
      <c r="L596" s="246"/>
      <c r="M596" s="246"/>
      <c r="N596" s="246"/>
      <c r="O596" s="247"/>
      <c r="P596" s="6"/>
    </row>
    <row r="597" spans="1:64" x14ac:dyDescent="0.2">
      <c r="A597" s="5" t="s">
        <v>287</v>
      </c>
      <c r="B597" s="16" t="s">
        <v>307</v>
      </c>
      <c r="C597" s="16" t="s">
        <v>347</v>
      </c>
      <c r="D597" s="243" t="s">
        <v>679</v>
      </c>
      <c r="E597" s="244"/>
      <c r="F597" s="244"/>
      <c r="G597" s="244"/>
      <c r="H597" s="16" t="s">
        <v>1043</v>
      </c>
      <c r="I597" s="27">
        <v>0.11</v>
      </c>
      <c r="J597" s="149"/>
      <c r="K597" s="27">
        <f>I597*AO597</f>
        <v>0</v>
      </c>
      <c r="L597" s="27">
        <f>I597*AP597</f>
        <v>0</v>
      </c>
      <c r="M597" s="27">
        <f>I597*J597</f>
        <v>0</v>
      </c>
      <c r="N597" s="56">
        <f>IF(M623=0,0,M597/M623)</f>
        <v>0</v>
      </c>
      <c r="O597" s="39" t="s">
        <v>1068</v>
      </c>
      <c r="P597" s="6"/>
      <c r="Z597" s="45">
        <f>IF(AQ597="5",BJ597,0)</f>
        <v>0</v>
      </c>
      <c r="AB597" s="45">
        <f>IF(AQ597="1",BH597,0)</f>
        <v>0</v>
      </c>
      <c r="AC597" s="45">
        <f>IF(AQ597="1",BI597,0)</f>
        <v>0</v>
      </c>
      <c r="AD597" s="45">
        <f>IF(AQ597="7",BH597,0)</f>
        <v>0</v>
      </c>
      <c r="AE597" s="45">
        <f>IF(AQ597="7",BI597,0)</f>
        <v>0</v>
      </c>
      <c r="AF597" s="45">
        <f>IF(AQ597="2",BH597,0)</f>
        <v>0</v>
      </c>
      <c r="AG597" s="45">
        <f>IF(AQ597="2",BI597,0)</f>
        <v>0</v>
      </c>
      <c r="AH597" s="45">
        <f>IF(AQ597="0",BJ597,0)</f>
        <v>0</v>
      </c>
      <c r="AI597" s="44" t="s">
        <v>307</v>
      </c>
      <c r="AJ597" s="27">
        <f>IF(AN597=0,M597,0)</f>
        <v>0</v>
      </c>
      <c r="AK597" s="27">
        <f>IF(AN597=15,M597,0)</f>
        <v>0</v>
      </c>
      <c r="AL597" s="27">
        <f>IF(AN597=21,M597,0)</f>
        <v>0</v>
      </c>
      <c r="AN597" s="45">
        <v>15</v>
      </c>
      <c r="AO597" s="45">
        <f>J597*0.748583831792641</f>
        <v>0</v>
      </c>
      <c r="AP597" s="45">
        <f>J597*(1-0.748583831792641)</f>
        <v>0</v>
      </c>
      <c r="AQ597" s="46" t="s">
        <v>7</v>
      </c>
      <c r="AV597" s="45">
        <f>AW597+AX597</f>
        <v>0</v>
      </c>
      <c r="AW597" s="45">
        <f>I597*AO597</f>
        <v>0</v>
      </c>
      <c r="AX597" s="45">
        <f>I597*AP597</f>
        <v>0</v>
      </c>
      <c r="AY597" s="48" t="s">
        <v>1085</v>
      </c>
      <c r="AZ597" s="48" t="s">
        <v>1135</v>
      </c>
      <c r="BA597" s="44" t="s">
        <v>1141</v>
      </c>
      <c r="BC597" s="45">
        <f>AW597+AX597</f>
        <v>0</v>
      </c>
      <c r="BD597" s="45">
        <f>J597/(100-BE597)*100</f>
        <v>0</v>
      </c>
      <c r="BE597" s="45">
        <v>0</v>
      </c>
      <c r="BF597" s="45">
        <f>597</f>
        <v>597</v>
      </c>
      <c r="BH597" s="27">
        <f>I597*AO597</f>
        <v>0</v>
      </c>
      <c r="BI597" s="27">
        <f>I597*AP597</f>
        <v>0</v>
      </c>
      <c r="BJ597" s="27">
        <f>I597*J597</f>
        <v>0</v>
      </c>
      <c r="BK597" s="27" t="s">
        <v>1146</v>
      </c>
      <c r="BL597" s="45">
        <v>31</v>
      </c>
    </row>
    <row r="598" spans="1:64" x14ac:dyDescent="0.2">
      <c r="A598" s="6"/>
      <c r="C598" s="20" t="s">
        <v>302</v>
      </c>
      <c r="D598" s="248" t="s">
        <v>669</v>
      </c>
      <c r="E598" s="249"/>
      <c r="F598" s="249"/>
      <c r="G598" s="249"/>
      <c r="H598" s="249"/>
      <c r="I598" s="249"/>
      <c r="J598" s="249"/>
      <c r="K598" s="249"/>
      <c r="L598" s="249"/>
      <c r="M598" s="249"/>
      <c r="N598" s="249"/>
      <c r="O598" s="250"/>
      <c r="P598" s="6"/>
    </row>
    <row r="599" spans="1:64" x14ac:dyDescent="0.2">
      <c r="A599" s="7" t="s">
        <v>288</v>
      </c>
      <c r="B599" s="17" t="s">
        <v>307</v>
      </c>
      <c r="C599" s="17" t="s">
        <v>604</v>
      </c>
      <c r="D599" s="241" t="s">
        <v>1022</v>
      </c>
      <c r="E599" s="242"/>
      <c r="F599" s="242"/>
      <c r="G599" s="242"/>
      <c r="H599" s="17" t="s">
        <v>1045</v>
      </c>
      <c r="I599" s="28">
        <v>1</v>
      </c>
      <c r="J599" s="154"/>
      <c r="K599" s="28">
        <f>I599*AO599</f>
        <v>0</v>
      </c>
      <c r="L599" s="28">
        <f>I599*AP599</f>
        <v>0</v>
      </c>
      <c r="M599" s="28">
        <f>I599*J599</f>
        <v>0</v>
      </c>
      <c r="N599" s="57">
        <f>IF(M623=0,0,M599/M623)</f>
        <v>0</v>
      </c>
      <c r="O599" s="40" t="s">
        <v>1068</v>
      </c>
      <c r="P599" s="6"/>
      <c r="Z599" s="45">
        <f>IF(AQ599="5",BJ599,0)</f>
        <v>0</v>
      </c>
      <c r="AB599" s="45">
        <f>IF(AQ599="1",BH599,0)</f>
        <v>0</v>
      </c>
      <c r="AC599" s="45">
        <f>IF(AQ599="1",BI599,0)</f>
        <v>0</v>
      </c>
      <c r="AD599" s="45">
        <f>IF(AQ599="7",BH599,0)</f>
        <v>0</v>
      </c>
      <c r="AE599" s="45">
        <f>IF(AQ599="7",BI599,0)</f>
        <v>0</v>
      </c>
      <c r="AF599" s="45">
        <f>IF(AQ599="2",BH599,0)</f>
        <v>0</v>
      </c>
      <c r="AG599" s="45">
        <f>IF(AQ599="2",BI599,0)</f>
        <v>0</v>
      </c>
      <c r="AH599" s="45">
        <f>IF(AQ599="0",BJ599,0)</f>
        <v>0</v>
      </c>
      <c r="AI599" s="44" t="s">
        <v>307</v>
      </c>
      <c r="AJ599" s="28">
        <f>IF(AN599=0,M599,0)</f>
        <v>0</v>
      </c>
      <c r="AK599" s="28">
        <f>IF(AN599=15,M599,0)</f>
        <v>0</v>
      </c>
      <c r="AL599" s="28">
        <f>IF(AN599=21,M599,0)</f>
        <v>0</v>
      </c>
      <c r="AN599" s="45">
        <v>15</v>
      </c>
      <c r="AO599" s="45">
        <f>J599*1</f>
        <v>0</v>
      </c>
      <c r="AP599" s="45">
        <f>J599*(1-1)</f>
        <v>0</v>
      </c>
      <c r="AQ599" s="47" t="s">
        <v>7</v>
      </c>
      <c r="AV599" s="45">
        <f>AW599+AX599</f>
        <v>0</v>
      </c>
      <c r="AW599" s="45">
        <f>I599*AO599</f>
        <v>0</v>
      </c>
      <c r="AX599" s="45">
        <f>I599*AP599</f>
        <v>0</v>
      </c>
      <c r="AY599" s="48" t="s">
        <v>1085</v>
      </c>
      <c r="AZ599" s="48" t="s">
        <v>1135</v>
      </c>
      <c r="BA599" s="44" t="s">
        <v>1141</v>
      </c>
      <c r="BC599" s="45">
        <f>AW599+AX599</f>
        <v>0</v>
      </c>
      <c r="BD599" s="45">
        <f>J599/(100-BE599)*100</f>
        <v>0</v>
      </c>
      <c r="BE599" s="45">
        <v>0</v>
      </c>
      <c r="BF599" s="45">
        <f>599</f>
        <v>599</v>
      </c>
      <c r="BH599" s="28">
        <f>I599*AO599</f>
        <v>0</v>
      </c>
      <c r="BI599" s="28">
        <f>I599*AP599</f>
        <v>0</v>
      </c>
      <c r="BJ599" s="28">
        <f>I599*J599</f>
        <v>0</v>
      </c>
      <c r="BK599" s="28" t="s">
        <v>1147</v>
      </c>
      <c r="BL599" s="45">
        <v>31</v>
      </c>
    </row>
    <row r="600" spans="1:64" x14ac:dyDescent="0.2">
      <c r="A600" s="6"/>
      <c r="C600" s="21" t="s">
        <v>310</v>
      </c>
      <c r="D600" s="245" t="s">
        <v>1021</v>
      </c>
      <c r="E600" s="246"/>
      <c r="F600" s="246"/>
      <c r="G600" s="246"/>
      <c r="H600" s="246"/>
      <c r="I600" s="246"/>
      <c r="J600" s="246"/>
      <c r="K600" s="246"/>
      <c r="L600" s="246"/>
      <c r="M600" s="246"/>
      <c r="N600" s="246"/>
      <c r="O600" s="247"/>
      <c r="P600" s="6"/>
    </row>
    <row r="601" spans="1:64" x14ac:dyDescent="0.2">
      <c r="A601" s="5" t="s">
        <v>289</v>
      </c>
      <c r="B601" s="16" t="s">
        <v>307</v>
      </c>
      <c r="C601" s="16" t="s">
        <v>605</v>
      </c>
      <c r="D601" s="243" t="s">
        <v>1023</v>
      </c>
      <c r="E601" s="244"/>
      <c r="F601" s="244"/>
      <c r="G601" s="244"/>
      <c r="H601" s="16" t="s">
        <v>1044</v>
      </c>
      <c r="I601" s="27">
        <v>2.5499999999999998</v>
      </c>
      <c r="J601" s="149"/>
      <c r="K601" s="27">
        <f>I601*AO601</f>
        <v>0</v>
      </c>
      <c r="L601" s="27">
        <f>I601*AP601</f>
        <v>0</v>
      </c>
      <c r="M601" s="27">
        <f>I601*J601</f>
        <v>0</v>
      </c>
      <c r="N601" s="56">
        <f>IF(M623=0,0,M601/M623)</f>
        <v>0</v>
      </c>
      <c r="O601" s="39" t="s">
        <v>1068</v>
      </c>
      <c r="P601" s="6"/>
      <c r="Z601" s="45">
        <f>IF(AQ601="5",BJ601,0)</f>
        <v>0</v>
      </c>
      <c r="AB601" s="45">
        <f>IF(AQ601="1",BH601,0)</f>
        <v>0</v>
      </c>
      <c r="AC601" s="45">
        <f>IF(AQ601="1",BI601,0)</f>
        <v>0</v>
      </c>
      <c r="AD601" s="45">
        <f>IF(AQ601="7",BH601,0)</f>
        <v>0</v>
      </c>
      <c r="AE601" s="45">
        <f>IF(AQ601="7",BI601,0)</f>
        <v>0</v>
      </c>
      <c r="AF601" s="45">
        <f>IF(AQ601="2",BH601,0)</f>
        <v>0</v>
      </c>
      <c r="AG601" s="45">
        <f>IF(AQ601="2",BI601,0)</f>
        <v>0</v>
      </c>
      <c r="AH601" s="45">
        <f>IF(AQ601="0",BJ601,0)</f>
        <v>0</v>
      </c>
      <c r="AI601" s="44" t="s">
        <v>307</v>
      </c>
      <c r="AJ601" s="27">
        <f>IF(AN601=0,M601,0)</f>
        <v>0</v>
      </c>
      <c r="AK601" s="27">
        <f>IF(AN601=15,M601,0)</f>
        <v>0</v>
      </c>
      <c r="AL601" s="27">
        <f>IF(AN601=21,M601,0)</f>
        <v>0</v>
      </c>
      <c r="AN601" s="45">
        <v>15</v>
      </c>
      <c r="AO601" s="45">
        <f>J601*0.842906555396947</f>
        <v>0</v>
      </c>
      <c r="AP601" s="45">
        <f>J601*(1-0.842906555396947)</f>
        <v>0</v>
      </c>
      <c r="AQ601" s="46" t="s">
        <v>7</v>
      </c>
      <c r="AV601" s="45">
        <f>AW601+AX601</f>
        <v>0</v>
      </c>
      <c r="AW601" s="45">
        <f>I601*AO601</f>
        <v>0</v>
      </c>
      <c r="AX601" s="45">
        <f>I601*AP601</f>
        <v>0</v>
      </c>
      <c r="AY601" s="48" t="s">
        <v>1085</v>
      </c>
      <c r="AZ601" s="48" t="s">
        <v>1135</v>
      </c>
      <c r="BA601" s="44" t="s">
        <v>1141</v>
      </c>
      <c r="BC601" s="45">
        <f>AW601+AX601</f>
        <v>0</v>
      </c>
      <c r="BD601" s="45">
        <f>J601/(100-BE601)*100</f>
        <v>0</v>
      </c>
      <c r="BE601" s="45">
        <v>0</v>
      </c>
      <c r="BF601" s="45">
        <f>601</f>
        <v>601</v>
      </c>
      <c r="BH601" s="27">
        <f>I601*AO601</f>
        <v>0</v>
      </c>
      <c r="BI601" s="27">
        <f>I601*AP601</f>
        <v>0</v>
      </c>
      <c r="BJ601" s="27">
        <f>I601*J601</f>
        <v>0</v>
      </c>
      <c r="BK601" s="27" t="s">
        <v>1146</v>
      </c>
      <c r="BL601" s="45">
        <v>31</v>
      </c>
    </row>
    <row r="602" spans="1:64" x14ac:dyDescent="0.2">
      <c r="A602" s="6"/>
      <c r="D602" s="251" t="s">
        <v>1024</v>
      </c>
      <c r="E602" s="252"/>
      <c r="F602" s="252"/>
      <c r="G602" s="252"/>
      <c r="H602" s="252"/>
      <c r="I602" s="252"/>
      <c r="J602" s="252"/>
      <c r="K602" s="252"/>
      <c r="L602" s="252"/>
      <c r="M602" s="252"/>
      <c r="N602" s="252"/>
      <c r="O602" s="253"/>
      <c r="P602" s="6"/>
    </row>
    <row r="603" spans="1:64" x14ac:dyDescent="0.2">
      <c r="A603" s="6"/>
      <c r="C603" s="21" t="s">
        <v>310</v>
      </c>
      <c r="D603" s="245" t="s">
        <v>1021</v>
      </c>
      <c r="E603" s="246"/>
      <c r="F603" s="246"/>
      <c r="G603" s="246"/>
      <c r="H603" s="246"/>
      <c r="I603" s="246"/>
      <c r="J603" s="246"/>
      <c r="K603" s="246"/>
      <c r="L603" s="246"/>
      <c r="M603" s="246"/>
      <c r="N603" s="246"/>
      <c r="O603" s="247"/>
      <c r="P603" s="6"/>
    </row>
    <row r="604" spans="1:64" x14ac:dyDescent="0.2">
      <c r="A604" s="4"/>
      <c r="B604" s="15" t="s">
        <v>307</v>
      </c>
      <c r="C604" s="15" t="s">
        <v>68</v>
      </c>
      <c r="D604" s="237" t="s">
        <v>755</v>
      </c>
      <c r="E604" s="238"/>
      <c r="F604" s="238"/>
      <c r="G604" s="238"/>
      <c r="H604" s="24" t="s">
        <v>6</v>
      </c>
      <c r="I604" s="24" t="s">
        <v>6</v>
      </c>
      <c r="J604" s="24" t="s">
        <v>6</v>
      </c>
      <c r="K604" s="51">
        <f>SUM(K605:K610)</f>
        <v>0</v>
      </c>
      <c r="L604" s="51">
        <f>SUM(L605:L610)</f>
        <v>0</v>
      </c>
      <c r="M604" s="51">
        <f>SUM(M605:M610)</f>
        <v>0</v>
      </c>
      <c r="N604" s="55">
        <f>IF(M623=0,0,M604/M623)</f>
        <v>0</v>
      </c>
      <c r="O604" s="38"/>
      <c r="P604" s="6"/>
      <c r="AI604" s="44" t="s">
        <v>307</v>
      </c>
      <c r="AS604" s="51">
        <f>SUM(AJ605:AJ610)</f>
        <v>0</v>
      </c>
      <c r="AT604" s="51">
        <f>SUM(AK605:AK610)</f>
        <v>0</v>
      </c>
      <c r="AU604" s="51">
        <f>SUM(AL605:AL610)</f>
        <v>0</v>
      </c>
    </row>
    <row r="605" spans="1:64" x14ac:dyDescent="0.2">
      <c r="A605" s="5" t="s">
        <v>290</v>
      </c>
      <c r="B605" s="16" t="s">
        <v>307</v>
      </c>
      <c r="C605" s="16" t="s">
        <v>404</v>
      </c>
      <c r="D605" s="243" t="s">
        <v>761</v>
      </c>
      <c r="E605" s="244"/>
      <c r="F605" s="244"/>
      <c r="G605" s="244"/>
      <c r="H605" s="16" t="s">
        <v>1042</v>
      </c>
      <c r="I605" s="27">
        <v>22.9</v>
      </c>
      <c r="J605" s="149"/>
      <c r="K605" s="27">
        <f>I605*AO605</f>
        <v>0</v>
      </c>
      <c r="L605" s="27">
        <f>I605*AP605</f>
        <v>0</v>
      </c>
      <c r="M605" s="27">
        <f>I605*J605</f>
        <v>0</v>
      </c>
      <c r="N605" s="56">
        <f>IF(M623=0,0,M605/M623)</f>
        <v>0</v>
      </c>
      <c r="O605" s="39" t="s">
        <v>1068</v>
      </c>
      <c r="P605" s="6"/>
      <c r="Z605" s="45">
        <f>IF(AQ605="5",BJ605,0)</f>
        <v>0</v>
      </c>
      <c r="AB605" s="45">
        <f>IF(AQ605="1",BH605,0)</f>
        <v>0</v>
      </c>
      <c r="AC605" s="45">
        <f>IF(AQ605="1",BI605,0)</f>
        <v>0</v>
      </c>
      <c r="AD605" s="45">
        <f>IF(AQ605="7",BH605,0)</f>
        <v>0</v>
      </c>
      <c r="AE605" s="45">
        <f>IF(AQ605="7",BI605,0)</f>
        <v>0</v>
      </c>
      <c r="AF605" s="45">
        <f>IF(AQ605="2",BH605,0)</f>
        <v>0</v>
      </c>
      <c r="AG605" s="45">
        <f>IF(AQ605="2",BI605,0)</f>
        <v>0</v>
      </c>
      <c r="AH605" s="45">
        <f>IF(AQ605="0",BJ605,0)</f>
        <v>0</v>
      </c>
      <c r="AI605" s="44" t="s">
        <v>307</v>
      </c>
      <c r="AJ605" s="27">
        <f>IF(AN605=0,M605,0)</f>
        <v>0</v>
      </c>
      <c r="AK605" s="27">
        <f>IF(AN605=15,M605,0)</f>
        <v>0</v>
      </c>
      <c r="AL605" s="27">
        <f>IF(AN605=21,M605,0)</f>
        <v>0</v>
      </c>
      <c r="AN605" s="45">
        <v>15</v>
      </c>
      <c r="AO605" s="45">
        <f>J605*0.547882882882883</f>
        <v>0</v>
      </c>
      <c r="AP605" s="45">
        <f>J605*(1-0.547882882882883)</f>
        <v>0</v>
      </c>
      <c r="AQ605" s="46" t="s">
        <v>7</v>
      </c>
      <c r="AV605" s="45">
        <f>AW605+AX605</f>
        <v>0</v>
      </c>
      <c r="AW605" s="45">
        <f>I605*AO605</f>
        <v>0</v>
      </c>
      <c r="AX605" s="45">
        <f>I605*AP605</f>
        <v>0</v>
      </c>
      <c r="AY605" s="48" t="s">
        <v>1091</v>
      </c>
      <c r="AZ605" s="48" t="s">
        <v>1136</v>
      </c>
      <c r="BA605" s="44" t="s">
        <v>1141</v>
      </c>
      <c r="BC605" s="45">
        <f>AW605+AX605</f>
        <v>0</v>
      </c>
      <c r="BD605" s="45">
        <f>J605/(100-BE605)*100</f>
        <v>0</v>
      </c>
      <c r="BE605" s="45">
        <v>0</v>
      </c>
      <c r="BF605" s="45">
        <f>605</f>
        <v>605</v>
      </c>
      <c r="BH605" s="27">
        <f>I605*AO605</f>
        <v>0</v>
      </c>
      <c r="BI605" s="27">
        <f>I605*AP605</f>
        <v>0</v>
      </c>
      <c r="BJ605" s="27">
        <f>I605*J605</f>
        <v>0</v>
      </c>
      <c r="BK605" s="27" t="s">
        <v>1146</v>
      </c>
      <c r="BL605" s="45">
        <v>62</v>
      </c>
    </row>
    <row r="606" spans="1:64" x14ac:dyDescent="0.2">
      <c r="A606" s="6"/>
      <c r="C606" s="21" t="s">
        <v>310</v>
      </c>
      <c r="D606" s="245" t="s">
        <v>1021</v>
      </c>
      <c r="E606" s="246"/>
      <c r="F606" s="246"/>
      <c r="G606" s="246"/>
      <c r="H606" s="246"/>
      <c r="I606" s="246"/>
      <c r="J606" s="246"/>
      <c r="K606" s="246"/>
      <c r="L606" s="246"/>
      <c r="M606" s="246"/>
      <c r="N606" s="246"/>
      <c r="O606" s="247"/>
      <c r="P606" s="6"/>
    </row>
    <row r="607" spans="1:64" x14ac:dyDescent="0.2">
      <c r="A607" s="5" t="s">
        <v>291</v>
      </c>
      <c r="B607" s="16" t="s">
        <v>307</v>
      </c>
      <c r="C607" s="16" t="s">
        <v>405</v>
      </c>
      <c r="D607" s="243" t="s">
        <v>762</v>
      </c>
      <c r="E607" s="244"/>
      <c r="F607" s="244"/>
      <c r="G607" s="244"/>
      <c r="H607" s="16" t="s">
        <v>1042</v>
      </c>
      <c r="I607" s="27">
        <v>22.9</v>
      </c>
      <c r="J607" s="149"/>
      <c r="K607" s="27">
        <f>I607*AO607</f>
        <v>0</v>
      </c>
      <c r="L607" s="27">
        <f>I607*AP607</f>
        <v>0</v>
      </c>
      <c r="M607" s="27">
        <f>I607*J607</f>
        <v>0</v>
      </c>
      <c r="N607" s="56">
        <f>IF(M623=0,0,M607/M623)</f>
        <v>0</v>
      </c>
      <c r="O607" s="39" t="s">
        <v>1068</v>
      </c>
      <c r="P607" s="6"/>
      <c r="Z607" s="45">
        <f>IF(AQ607="5",BJ607,0)</f>
        <v>0</v>
      </c>
      <c r="AB607" s="45">
        <f>IF(AQ607="1",BH607,0)</f>
        <v>0</v>
      </c>
      <c r="AC607" s="45">
        <f>IF(AQ607="1",BI607,0)</f>
        <v>0</v>
      </c>
      <c r="AD607" s="45">
        <f>IF(AQ607="7",BH607,0)</f>
        <v>0</v>
      </c>
      <c r="AE607" s="45">
        <f>IF(AQ607="7",BI607,0)</f>
        <v>0</v>
      </c>
      <c r="AF607" s="45">
        <f>IF(AQ607="2",BH607,0)</f>
        <v>0</v>
      </c>
      <c r="AG607" s="45">
        <f>IF(AQ607="2",BI607,0)</f>
        <v>0</v>
      </c>
      <c r="AH607" s="45">
        <f>IF(AQ607="0",BJ607,0)</f>
        <v>0</v>
      </c>
      <c r="AI607" s="44" t="s">
        <v>307</v>
      </c>
      <c r="AJ607" s="27">
        <f>IF(AN607=0,M607,0)</f>
        <v>0</v>
      </c>
      <c r="AK607" s="27">
        <f>IF(AN607=15,M607,0)</f>
        <v>0</v>
      </c>
      <c r="AL607" s="27">
        <f>IF(AN607=21,M607,0)</f>
        <v>0</v>
      </c>
      <c r="AN607" s="45">
        <v>15</v>
      </c>
      <c r="AO607" s="45">
        <f>J607*0.594917407878018</f>
        <v>0</v>
      </c>
      <c r="AP607" s="45">
        <f>J607*(1-0.594917407878018)</f>
        <v>0</v>
      </c>
      <c r="AQ607" s="46" t="s">
        <v>7</v>
      </c>
      <c r="AV607" s="45">
        <f>AW607+AX607</f>
        <v>0</v>
      </c>
      <c r="AW607" s="45">
        <f>I607*AO607</f>
        <v>0</v>
      </c>
      <c r="AX607" s="45">
        <f>I607*AP607</f>
        <v>0</v>
      </c>
      <c r="AY607" s="48" t="s">
        <v>1091</v>
      </c>
      <c r="AZ607" s="48" t="s">
        <v>1136</v>
      </c>
      <c r="BA607" s="44" t="s">
        <v>1141</v>
      </c>
      <c r="BC607" s="45">
        <f>AW607+AX607</f>
        <v>0</v>
      </c>
      <c r="BD607" s="45">
        <f>J607/(100-BE607)*100</f>
        <v>0</v>
      </c>
      <c r="BE607" s="45">
        <v>0</v>
      </c>
      <c r="BF607" s="45">
        <f>607</f>
        <v>607</v>
      </c>
      <c r="BH607" s="27">
        <f>I607*AO607</f>
        <v>0</v>
      </c>
      <c r="BI607" s="27">
        <f>I607*AP607</f>
        <v>0</v>
      </c>
      <c r="BJ607" s="27">
        <f>I607*J607</f>
        <v>0</v>
      </c>
      <c r="BK607" s="27" t="s">
        <v>1146</v>
      </c>
      <c r="BL607" s="45">
        <v>62</v>
      </c>
    </row>
    <row r="608" spans="1:64" x14ac:dyDescent="0.2">
      <c r="A608" s="5" t="s">
        <v>292</v>
      </c>
      <c r="B608" s="16" t="s">
        <v>307</v>
      </c>
      <c r="C608" s="16" t="s">
        <v>408</v>
      </c>
      <c r="D608" s="243" t="s">
        <v>766</v>
      </c>
      <c r="E608" s="244"/>
      <c r="F608" s="244"/>
      <c r="G608" s="244"/>
      <c r="H608" s="16" t="s">
        <v>1044</v>
      </c>
      <c r="I608" s="27">
        <v>32</v>
      </c>
      <c r="J608" s="149"/>
      <c r="K608" s="27">
        <f>I608*AO608</f>
        <v>0</v>
      </c>
      <c r="L608" s="27">
        <f>I608*AP608</f>
        <v>0</v>
      </c>
      <c r="M608" s="27">
        <f>I608*J608</f>
        <v>0</v>
      </c>
      <c r="N608" s="56">
        <f>IF(M623=0,0,M608/M623)</f>
        <v>0</v>
      </c>
      <c r="O608" s="39" t="s">
        <v>1068</v>
      </c>
      <c r="P608" s="6"/>
      <c r="Z608" s="45">
        <f>IF(AQ608="5",BJ608,0)</f>
        <v>0</v>
      </c>
      <c r="AB608" s="45">
        <f>IF(AQ608="1",BH608,0)</f>
        <v>0</v>
      </c>
      <c r="AC608" s="45">
        <f>IF(AQ608="1",BI608,0)</f>
        <v>0</v>
      </c>
      <c r="AD608" s="45">
        <f>IF(AQ608="7",BH608,0)</f>
        <v>0</v>
      </c>
      <c r="AE608" s="45">
        <f>IF(AQ608="7",BI608,0)</f>
        <v>0</v>
      </c>
      <c r="AF608" s="45">
        <f>IF(AQ608="2",BH608,0)</f>
        <v>0</v>
      </c>
      <c r="AG608" s="45">
        <f>IF(AQ608="2",BI608,0)</f>
        <v>0</v>
      </c>
      <c r="AH608" s="45">
        <f>IF(AQ608="0",BJ608,0)</f>
        <v>0</v>
      </c>
      <c r="AI608" s="44" t="s">
        <v>307</v>
      </c>
      <c r="AJ608" s="27">
        <f>IF(AN608=0,M608,0)</f>
        <v>0</v>
      </c>
      <c r="AK608" s="27">
        <f>IF(AN608=15,M608,0)</f>
        <v>0</v>
      </c>
      <c r="AL608" s="27">
        <f>IF(AN608=21,M608,0)</f>
        <v>0</v>
      </c>
      <c r="AN608" s="45">
        <v>15</v>
      </c>
      <c r="AO608" s="45">
        <f>J608*1</f>
        <v>0</v>
      </c>
      <c r="AP608" s="45">
        <f>J608*(1-1)</f>
        <v>0</v>
      </c>
      <c r="AQ608" s="46" t="s">
        <v>7</v>
      </c>
      <c r="AV608" s="45">
        <f>AW608+AX608</f>
        <v>0</v>
      </c>
      <c r="AW608" s="45">
        <f>I608*AO608</f>
        <v>0</v>
      </c>
      <c r="AX608" s="45">
        <f>I608*AP608</f>
        <v>0</v>
      </c>
      <c r="AY608" s="48" t="s">
        <v>1091</v>
      </c>
      <c r="AZ608" s="48" t="s">
        <v>1136</v>
      </c>
      <c r="BA608" s="44" t="s">
        <v>1141</v>
      </c>
      <c r="BC608" s="45">
        <f>AW608+AX608</f>
        <v>0</v>
      </c>
      <c r="BD608" s="45">
        <f>J608/(100-BE608)*100</f>
        <v>0</v>
      </c>
      <c r="BE608" s="45">
        <v>0</v>
      </c>
      <c r="BF608" s="45">
        <f>608</f>
        <v>608</v>
      </c>
      <c r="BH608" s="27">
        <f>I608*AO608</f>
        <v>0</v>
      </c>
      <c r="BI608" s="27">
        <f>I608*AP608</f>
        <v>0</v>
      </c>
      <c r="BJ608" s="27">
        <f>I608*J608</f>
        <v>0</v>
      </c>
      <c r="BK608" s="27" t="s">
        <v>1146</v>
      </c>
      <c r="BL608" s="45">
        <v>62</v>
      </c>
    </row>
    <row r="609" spans="1:64" x14ac:dyDescent="0.2">
      <c r="A609" s="6"/>
      <c r="C609" s="21" t="s">
        <v>310</v>
      </c>
      <c r="D609" s="245" t="s">
        <v>1021</v>
      </c>
      <c r="E609" s="246"/>
      <c r="F609" s="246"/>
      <c r="G609" s="246"/>
      <c r="H609" s="246"/>
      <c r="I609" s="246"/>
      <c r="J609" s="246"/>
      <c r="K609" s="246"/>
      <c r="L609" s="246"/>
      <c r="M609" s="246"/>
      <c r="N609" s="246"/>
      <c r="O609" s="247"/>
      <c r="P609" s="6"/>
    </row>
    <row r="610" spans="1:64" x14ac:dyDescent="0.2">
      <c r="A610" s="7" t="s">
        <v>293</v>
      </c>
      <c r="B610" s="17" t="s">
        <v>307</v>
      </c>
      <c r="C610" s="17" t="s">
        <v>409</v>
      </c>
      <c r="D610" s="241" t="s">
        <v>767</v>
      </c>
      <c r="E610" s="242"/>
      <c r="F610" s="242"/>
      <c r="G610" s="242"/>
      <c r="H610" s="17" t="s">
        <v>1044</v>
      </c>
      <c r="I610" s="28">
        <v>32.64</v>
      </c>
      <c r="J610" s="154"/>
      <c r="K610" s="28">
        <f>I610*AO610</f>
        <v>0</v>
      </c>
      <c r="L610" s="28">
        <f>I610*AP610</f>
        <v>0</v>
      </c>
      <c r="M610" s="28">
        <f>I610*J610</f>
        <v>0</v>
      </c>
      <c r="N610" s="57">
        <f>IF(M623=0,0,M610/M623)</f>
        <v>0</v>
      </c>
      <c r="O610" s="40" t="s">
        <v>1068</v>
      </c>
      <c r="P610" s="6"/>
      <c r="Z610" s="45">
        <f>IF(AQ610="5",BJ610,0)</f>
        <v>0</v>
      </c>
      <c r="AB610" s="45">
        <f>IF(AQ610="1",BH610,0)</f>
        <v>0</v>
      </c>
      <c r="AC610" s="45">
        <f>IF(AQ610="1",BI610,0)</f>
        <v>0</v>
      </c>
      <c r="AD610" s="45">
        <f>IF(AQ610="7",BH610,0)</f>
        <v>0</v>
      </c>
      <c r="AE610" s="45">
        <f>IF(AQ610="7",BI610,0)</f>
        <v>0</v>
      </c>
      <c r="AF610" s="45">
        <f>IF(AQ610="2",BH610,0)</f>
        <v>0</v>
      </c>
      <c r="AG610" s="45">
        <f>IF(AQ610="2",BI610,0)</f>
        <v>0</v>
      </c>
      <c r="AH610" s="45">
        <f>IF(AQ610="0",BJ610,0)</f>
        <v>0</v>
      </c>
      <c r="AI610" s="44" t="s">
        <v>307</v>
      </c>
      <c r="AJ610" s="28">
        <f>IF(AN610=0,M610,0)</f>
        <v>0</v>
      </c>
      <c r="AK610" s="28">
        <f>IF(AN610=15,M610,0)</f>
        <v>0</v>
      </c>
      <c r="AL610" s="28">
        <f>IF(AN610=21,M610,0)</f>
        <v>0</v>
      </c>
      <c r="AN610" s="45">
        <v>15</v>
      </c>
      <c r="AO610" s="45">
        <f>J610*1</f>
        <v>0</v>
      </c>
      <c r="AP610" s="45">
        <f>J610*(1-1)</f>
        <v>0</v>
      </c>
      <c r="AQ610" s="47" t="s">
        <v>7</v>
      </c>
      <c r="AV610" s="45">
        <f>AW610+AX610</f>
        <v>0</v>
      </c>
      <c r="AW610" s="45">
        <f>I610*AO610</f>
        <v>0</v>
      </c>
      <c r="AX610" s="45">
        <f>I610*AP610</f>
        <v>0</v>
      </c>
      <c r="AY610" s="48" t="s">
        <v>1091</v>
      </c>
      <c r="AZ610" s="48" t="s">
        <v>1136</v>
      </c>
      <c r="BA610" s="44" t="s">
        <v>1141</v>
      </c>
      <c r="BC610" s="45">
        <f>AW610+AX610</f>
        <v>0</v>
      </c>
      <c r="BD610" s="45">
        <f>J610/(100-BE610)*100</f>
        <v>0</v>
      </c>
      <c r="BE610" s="45">
        <v>0</v>
      </c>
      <c r="BF610" s="45">
        <f>610</f>
        <v>610</v>
      </c>
      <c r="BH610" s="28">
        <f>I610*AO610</f>
        <v>0</v>
      </c>
      <c r="BI610" s="28">
        <f>I610*AP610</f>
        <v>0</v>
      </c>
      <c r="BJ610" s="28">
        <f>I610*J610</f>
        <v>0</v>
      </c>
      <c r="BK610" s="28" t="s">
        <v>1147</v>
      </c>
      <c r="BL610" s="45">
        <v>62</v>
      </c>
    </row>
    <row r="611" spans="1:64" x14ac:dyDescent="0.2">
      <c r="A611" s="4"/>
      <c r="B611" s="15" t="s">
        <v>307</v>
      </c>
      <c r="C611" s="15" t="s">
        <v>508</v>
      </c>
      <c r="D611" s="237" t="s">
        <v>897</v>
      </c>
      <c r="E611" s="238"/>
      <c r="F611" s="238"/>
      <c r="G611" s="238"/>
      <c r="H611" s="24" t="s">
        <v>6</v>
      </c>
      <c r="I611" s="24" t="s">
        <v>6</v>
      </c>
      <c r="J611" s="24" t="s">
        <v>6</v>
      </c>
      <c r="K611" s="51">
        <f>SUM(K612:K620)</f>
        <v>0</v>
      </c>
      <c r="L611" s="51">
        <f>SUM(L612:L620)</f>
        <v>0</v>
      </c>
      <c r="M611" s="51">
        <f>SUM(M612:M620)</f>
        <v>0</v>
      </c>
      <c r="N611" s="55">
        <f>IF(M623=0,0,M611/M623)</f>
        <v>0</v>
      </c>
      <c r="O611" s="38"/>
      <c r="P611" s="6"/>
      <c r="AI611" s="44" t="s">
        <v>307</v>
      </c>
      <c r="AS611" s="51">
        <f>SUM(AJ612:AJ620)</f>
        <v>0</v>
      </c>
      <c r="AT611" s="51">
        <f>SUM(AK612:AK620)</f>
        <v>0</v>
      </c>
      <c r="AU611" s="51">
        <f>SUM(AL612:AL620)</f>
        <v>0</v>
      </c>
    </row>
    <row r="612" spans="1:64" x14ac:dyDescent="0.2">
      <c r="A612" s="5" t="s">
        <v>294</v>
      </c>
      <c r="B612" s="16" t="s">
        <v>307</v>
      </c>
      <c r="C612" s="16" t="s">
        <v>526</v>
      </c>
      <c r="D612" s="243" t="s">
        <v>919</v>
      </c>
      <c r="E612" s="244"/>
      <c r="F612" s="244"/>
      <c r="G612" s="244"/>
      <c r="H612" s="16" t="s">
        <v>1047</v>
      </c>
      <c r="I612" s="27">
        <v>643.19000000000005</v>
      </c>
      <c r="J612" s="154"/>
      <c r="K612" s="27">
        <f>I612*AO612</f>
        <v>0</v>
      </c>
      <c r="L612" s="27">
        <f>I612*AP612</f>
        <v>0</v>
      </c>
      <c r="M612" s="27">
        <f>I612*J612</f>
        <v>0</v>
      </c>
      <c r="N612" s="56">
        <f>IF(M623=0,0,M612/M623)</f>
        <v>0</v>
      </c>
      <c r="O612" s="39" t="s">
        <v>1069</v>
      </c>
      <c r="P612" s="6"/>
      <c r="Z612" s="45">
        <f>IF(AQ612="5",BJ612,0)</f>
        <v>0</v>
      </c>
      <c r="AB612" s="45">
        <f>IF(AQ612="1",BH612,0)</f>
        <v>0</v>
      </c>
      <c r="AC612" s="45">
        <f>IF(AQ612="1",BI612,0)</f>
        <v>0</v>
      </c>
      <c r="AD612" s="45">
        <f>IF(AQ612="7",BH612,0)</f>
        <v>0</v>
      </c>
      <c r="AE612" s="45">
        <f>IF(AQ612="7",BI612,0)</f>
        <v>0</v>
      </c>
      <c r="AF612" s="45">
        <f>IF(AQ612="2",BH612,0)</f>
        <v>0</v>
      </c>
      <c r="AG612" s="45">
        <f>IF(AQ612="2",BI612,0)</f>
        <v>0</v>
      </c>
      <c r="AH612" s="45">
        <f>IF(AQ612="0",BJ612,0)</f>
        <v>0</v>
      </c>
      <c r="AI612" s="44" t="s">
        <v>307</v>
      </c>
      <c r="AJ612" s="27">
        <f>IF(AN612=0,M612,0)</f>
        <v>0</v>
      </c>
      <c r="AK612" s="27">
        <f>IF(AN612=15,M612,0)</f>
        <v>0</v>
      </c>
      <c r="AL612" s="27">
        <f>IF(AN612=21,M612,0)</f>
        <v>0</v>
      </c>
      <c r="AN612" s="45">
        <v>15</v>
      </c>
      <c r="AO612" s="45">
        <f>J612*0.075286344348971</f>
        <v>0</v>
      </c>
      <c r="AP612" s="45">
        <f>J612*(1-0.075286344348971)</f>
        <v>0</v>
      </c>
      <c r="AQ612" s="46" t="s">
        <v>13</v>
      </c>
      <c r="AV612" s="45">
        <f>AW612+AX612</f>
        <v>0</v>
      </c>
      <c r="AW612" s="45">
        <f>I612*AO612</f>
        <v>0</v>
      </c>
      <c r="AX612" s="45">
        <f>I612*AP612</f>
        <v>0</v>
      </c>
      <c r="AY612" s="48" t="s">
        <v>1100</v>
      </c>
      <c r="AZ612" s="48" t="s">
        <v>1137</v>
      </c>
      <c r="BA612" s="44" t="s">
        <v>1141</v>
      </c>
      <c r="BC612" s="45">
        <f>AW612+AX612</f>
        <v>0</v>
      </c>
      <c r="BD612" s="45">
        <f>J612/(100-BE612)*100</f>
        <v>0</v>
      </c>
      <c r="BE612" s="45">
        <v>0</v>
      </c>
      <c r="BF612" s="45">
        <f>612</f>
        <v>612</v>
      </c>
      <c r="BH612" s="27">
        <f>I612*AO612</f>
        <v>0</v>
      </c>
      <c r="BI612" s="27">
        <f>I612*AP612</f>
        <v>0</v>
      </c>
      <c r="BJ612" s="27">
        <f>I612*J612</f>
        <v>0</v>
      </c>
      <c r="BK612" s="27" t="s">
        <v>1146</v>
      </c>
      <c r="BL612" s="45">
        <v>767</v>
      </c>
    </row>
    <row r="613" spans="1:64" x14ac:dyDescent="0.2">
      <c r="A613" s="6"/>
      <c r="C613" s="20" t="s">
        <v>302</v>
      </c>
      <c r="D613" s="248" t="s">
        <v>920</v>
      </c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50"/>
      <c r="P613" s="6"/>
    </row>
    <row r="614" spans="1:64" x14ac:dyDescent="0.2">
      <c r="A614" s="6"/>
      <c r="C614" s="21" t="s">
        <v>310</v>
      </c>
      <c r="D614" s="245" t="s">
        <v>1021</v>
      </c>
      <c r="E614" s="246"/>
      <c r="F614" s="246"/>
      <c r="G614" s="246"/>
      <c r="H614" s="246"/>
      <c r="I614" s="246"/>
      <c r="J614" s="246"/>
      <c r="K614" s="246"/>
      <c r="L614" s="246"/>
      <c r="M614" s="246"/>
      <c r="N614" s="246"/>
      <c r="O614" s="247"/>
      <c r="P614" s="6"/>
    </row>
    <row r="615" spans="1:64" x14ac:dyDescent="0.2">
      <c r="A615" s="7" t="s">
        <v>295</v>
      </c>
      <c r="B615" s="17" t="s">
        <v>307</v>
      </c>
      <c r="C615" s="17" t="s">
        <v>606</v>
      </c>
      <c r="D615" s="241" t="s">
        <v>1025</v>
      </c>
      <c r="E615" s="242"/>
      <c r="F615" s="242"/>
      <c r="G615" s="242"/>
      <c r="H615" s="17" t="s">
        <v>1048</v>
      </c>
      <c r="I615" s="28">
        <v>2</v>
      </c>
      <c r="J615" s="154"/>
      <c r="K615" s="28">
        <f t="shared" ref="K615:K620" si="0">I615*AO615</f>
        <v>0</v>
      </c>
      <c r="L615" s="28">
        <f t="shared" ref="L615:L620" si="1">I615*AP615</f>
        <v>0</v>
      </c>
      <c r="M615" s="28">
        <f t="shared" ref="M615:M620" si="2">I615*J615</f>
        <v>0</v>
      </c>
      <c r="N615" s="57">
        <f>IF(M623=0,0,M615/M623)</f>
        <v>0</v>
      </c>
      <c r="O615" s="40"/>
      <c r="P615" s="6"/>
      <c r="Z615" s="45">
        <f t="shared" ref="Z615:Z620" si="3">IF(AQ615="5",BJ615,0)</f>
        <v>0</v>
      </c>
      <c r="AB615" s="45">
        <f t="shared" ref="AB615:AB620" si="4">IF(AQ615="1",BH615,0)</f>
        <v>0</v>
      </c>
      <c r="AC615" s="45">
        <f t="shared" ref="AC615:AC620" si="5">IF(AQ615="1",BI615,0)</f>
        <v>0</v>
      </c>
      <c r="AD615" s="45">
        <f t="shared" ref="AD615:AD620" si="6">IF(AQ615="7",BH615,0)</f>
        <v>0</v>
      </c>
      <c r="AE615" s="45">
        <f t="shared" ref="AE615:AE620" si="7">IF(AQ615="7",BI615,0)</f>
        <v>0</v>
      </c>
      <c r="AF615" s="45">
        <f t="shared" ref="AF615:AF620" si="8">IF(AQ615="2",BH615,0)</f>
        <v>0</v>
      </c>
      <c r="AG615" s="45">
        <f t="shared" ref="AG615:AG620" si="9">IF(AQ615="2",BI615,0)</f>
        <v>0</v>
      </c>
      <c r="AH615" s="45">
        <f t="shared" ref="AH615:AH620" si="10">IF(AQ615="0",BJ615,0)</f>
        <v>0</v>
      </c>
      <c r="AI615" s="44" t="s">
        <v>307</v>
      </c>
      <c r="AJ615" s="28">
        <f t="shared" ref="AJ615:AJ620" si="11">IF(AN615=0,M615,0)</f>
        <v>0</v>
      </c>
      <c r="AK615" s="28">
        <f t="shared" ref="AK615:AK620" si="12">IF(AN615=15,M615,0)</f>
        <v>0</v>
      </c>
      <c r="AL615" s="28">
        <f t="shared" ref="AL615:AL620" si="13">IF(AN615=21,M615,0)</f>
        <v>0</v>
      </c>
      <c r="AN615" s="45">
        <v>15</v>
      </c>
      <c r="AO615" s="45">
        <f>J615*1</f>
        <v>0</v>
      </c>
      <c r="AP615" s="45">
        <f>J615*(1-1)</f>
        <v>0</v>
      </c>
      <c r="AQ615" s="47" t="s">
        <v>13</v>
      </c>
      <c r="AV615" s="45">
        <f t="shared" ref="AV615:AV620" si="14">AW615+AX615</f>
        <v>0</v>
      </c>
      <c r="AW615" s="45">
        <f t="shared" ref="AW615:AW620" si="15">I615*AO615</f>
        <v>0</v>
      </c>
      <c r="AX615" s="45">
        <f t="shared" ref="AX615:AX620" si="16">I615*AP615</f>
        <v>0</v>
      </c>
      <c r="AY615" s="48" t="s">
        <v>1100</v>
      </c>
      <c r="AZ615" s="48" t="s">
        <v>1137</v>
      </c>
      <c r="BA615" s="44" t="s">
        <v>1141</v>
      </c>
      <c r="BC615" s="45">
        <f t="shared" ref="BC615:BC620" si="17">AW615+AX615</f>
        <v>0</v>
      </c>
      <c r="BD615" s="45">
        <f t="shared" ref="BD615:BD620" si="18">J615/(100-BE615)*100</f>
        <v>0</v>
      </c>
      <c r="BE615" s="45">
        <v>0</v>
      </c>
      <c r="BF615" s="45">
        <f>615</f>
        <v>615</v>
      </c>
      <c r="BH615" s="28">
        <f t="shared" ref="BH615:BH620" si="19">I615*AO615</f>
        <v>0</v>
      </c>
      <c r="BI615" s="28">
        <f t="shared" ref="BI615:BI620" si="20">I615*AP615</f>
        <v>0</v>
      </c>
      <c r="BJ615" s="28">
        <f t="shared" ref="BJ615:BJ620" si="21">I615*J615</f>
        <v>0</v>
      </c>
      <c r="BK615" s="28" t="s">
        <v>1147</v>
      </c>
      <c r="BL615" s="45">
        <v>767</v>
      </c>
    </row>
    <row r="616" spans="1:64" x14ac:dyDescent="0.2">
      <c r="A616" s="7" t="s">
        <v>296</v>
      </c>
      <c r="B616" s="17" t="s">
        <v>307</v>
      </c>
      <c r="C616" s="17" t="s">
        <v>607</v>
      </c>
      <c r="D616" s="241" t="s">
        <v>1026</v>
      </c>
      <c r="E616" s="242"/>
      <c r="F616" s="242"/>
      <c r="G616" s="242"/>
      <c r="H616" s="17" t="s">
        <v>1048</v>
      </c>
      <c r="I616" s="28">
        <v>2</v>
      </c>
      <c r="J616" s="154"/>
      <c r="K616" s="28">
        <f t="shared" si="0"/>
        <v>0</v>
      </c>
      <c r="L616" s="28">
        <f t="shared" si="1"/>
        <v>0</v>
      </c>
      <c r="M616" s="28">
        <f t="shared" si="2"/>
        <v>0</v>
      </c>
      <c r="N616" s="57">
        <f>IF(M623=0,0,M616/M623)</f>
        <v>0</v>
      </c>
      <c r="O616" s="40"/>
      <c r="P616" s="6"/>
      <c r="Z616" s="45">
        <f t="shared" si="3"/>
        <v>0</v>
      </c>
      <c r="AB616" s="45">
        <f t="shared" si="4"/>
        <v>0</v>
      </c>
      <c r="AC616" s="45">
        <f t="shared" si="5"/>
        <v>0</v>
      </c>
      <c r="AD616" s="45">
        <f t="shared" si="6"/>
        <v>0</v>
      </c>
      <c r="AE616" s="45">
        <f t="shared" si="7"/>
        <v>0</v>
      </c>
      <c r="AF616" s="45">
        <f t="shared" si="8"/>
        <v>0</v>
      </c>
      <c r="AG616" s="45">
        <f t="shared" si="9"/>
        <v>0</v>
      </c>
      <c r="AH616" s="45">
        <f t="shared" si="10"/>
        <v>0</v>
      </c>
      <c r="AI616" s="44" t="s">
        <v>307</v>
      </c>
      <c r="AJ616" s="28">
        <f t="shared" si="11"/>
        <v>0</v>
      </c>
      <c r="AK616" s="28">
        <f t="shared" si="12"/>
        <v>0</v>
      </c>
      <c r="AL616" s="28">
        <f t="shared" si="13"/>
        <v>0</v>
      </c>
      <c r="AN616" s="45">
        <v>15</v>
      </c>
      <c r="AO616" s="45">
        <f>J616*1</f>
        <v>0</v>
      </c>
      <c r="AP616" s="45">
        <f>J616*(1-1)</f>
        <v>0</v>
      </c>
      <c r="AQ616" s="47" t="s">
        <v>13</v>
      </c>
      <c r="AV616" s="45">
        <f t="shared" si="14"/>
        <v>0</v>
      </c>
      <c r="AW616" s="45">
        <f t="shared" si="15"/>
        <v>0</v>
      </c>
      <c r="AX616" s="45">
        <f t="shared" si="16"/>
        <v>0</v>
      </c>
      <c r="AY616" s="48" t="s">
        <v>1100</v>
      </c>
      <c r="AZ616" s="48" t="s">
        <v>1137</v>
      </c>
      <c r="BA616" s="44" t="s">
        <v>1141</v>
      </c>
      <c r="BC616" s="45">
        <f t="shared" si="17"/>
        <v>0</v>
      </c>
      <c r="BD616" s="45">
        <f t="shared" si="18"/>
        <v>0</v>
      </c>
      <c r="BE616" s="45">
        <v>0</v>
      </c>
      <c r="BF616" s="45">
        <f>616</f>
        <v>616</v>
      </c>
      <c r="BH616" s="28">
        <f t="shared" si="19"/>
        <v>0</v>
      </c>
      <c r="BI616" s="28">
        <f t="shared" si="20"/>
        <v>0</v>
      </c>
      <c r="BJ616" s="28">
        <f t="shared" si="21"/>
        <v>0</v>
      </c>
      <c r="BK616" s="28" t="s">
        <v>1147</v>
      </c>
      <c r="BL616" s="45">
        <v>767</v>
      </c>
    </row>
    <row r="617" spans="1:64" x14ac:dyDescent="0.2">
      <c r="A617" s="7" t="s">
        <v>297</v>
      </c>
      <c r="B617" s="17" t="s">
        <v>307</v>
      </c>
      <c r="C617" s="17" t="s">
        <v>608</v>
      </c>
      <c r="D617" s="241" t="s">
        <v>1027</v>
      </c>
      <c r="E617" s="242"/>
      <c r="F617" s="242"/>
      <c r="G617" s="242"/>
      <c r="H617" s="17" t="s">
        <v>1048</v>
      </c>
      <c r="I617" s="28">
        <v>2</v>
      </c>
      <c r="J617" s="154"/>
      <c r="K617" s="28">
        <f t="shared" si="0"/>
        <v>0</v>
      </c>
      <c r="L617" s="28">
        <f t="shared" si="1"/>
        <v>0</v>
      </c>
      <c r="M617" s="28">
        <f t="shared" si="2"/>
        <v>0</v>
      </c>
      <c r="N617" s="57">
        <f>IF(M623=0,0,M617/M623)</f>
        <v>0</v>
      </c>
      <c r="O617" s="40"/>
      <c r="P617" s="6"/>
      <c r="Z617" s="45">
        <f t="shared" si="3"/>
        <v>0</v>
      </c>
      <c r="AB617" s="45">
        <f t="shared" si="4"/>
        <v>0</v>
      </c>
      <c r="AC617" s="45">
        <f t="shared" si="5"/>
        <v>0</v>
      </c>
      <c r="AD617" s="45">
        <f t="shared" si="6"/>
        <v>0</v>
      </c>
      <c r="AE617" s="45">
        <f t="shared" si="7"/>
        <v>0</v>
      </c>
      <c r="AF617" s="45">
        <f t="shared" si="8"/>
        <v>0</v>
      </c>
      <c r="AG617" s="45">
        <f t="shared" si="9"/>
        <v>0</v>
      </c>
      <c r="AH617" s="45">
        <f t="shared" si="10"/>
        <v>0</v>
      </c>
      <c r="AI617" s="44" t="s">
        <v>307</v>
      </c>
      <c r="AJ617" s="28">
        <f t="shared" si="11"/>
        <v>0</v>
      </c>
      <c r="AK617" s="28">
        <f t="shared" si="12"/>
        <v>0</v>
      </c>
      <c r="AL617" s="28">
        <f t="shared" si="13"/>
        <v>0</v>
      </c>
      <c r="AN617" s="45">
        <v>15</v>
      </c>
      <c r="AO617" s="45">
        <f>J617*1</f>
        <v>0</v>
      </c>
      <c r="AP617" s="45">
        <f>J617*(1-1)</f>
        <v>0</v>
      </c>
      <c r="AQ617" s="47" t="s">
        <v>13</v>
      </c>
      <c r="AV617" s="45">
        <f t="shared" si="14"/>
        <v>0</v>
      </c>
      <c r="AW617" s="45">
        <f t="shared" si="15"/>
        <v>0</v>
      </c>
      <c r="AX617" s="45">
        <f t="shared" si="16"/>
        <v>0</v>
      </c>
      <c r="AY617" s="48" t="s">
        <v>1100</v>
      </c>
      <c r="AZ617" s="48" t="s">
        <v>1137</v>
      </c>
      <c r="BA617" s="44" t="s">
        <v>1141</v>
      </c>
      <c r="BC617" s="45">
        <f t="shared" si="17"/>
        <v>0</v>
      </c>
      <c r="BD617" s="45">
        <f t="shared" si="18"/>
        <v>0</v>
      </c>
      <c r="BE617" s="45">
        <v>0</v>
      </c>
      <c r="BF617" s="45">
        <f>617</f>
        <v>617</v>
      </c>
      <c r="BH617" s="28">
        <f t="shared" si="19"/>
        <v>0</v>
      </c>
      <c r="BI617" s="28">
        <f t="shared" si="20"/>
        <v>0</v>
      </c>
      <c r="BJ617" s="28">
        <f t="shared" si="21"/>
        <v>0</v>
      </c>
      <c r="BK617" s="28" t="s">
        <v>1147</v>
      </c>
      <c r="BL617" s="45">
        <v>767</v>
      </c>
    </row>
    <row r="618" spans="1:64" x14ac:dyDescent="0.2">
      <c r="A618" s="7" t="s">
        <v>298</v>
      </c>
      <c r="B618" s="17" t="s">
        <v>307</v>
      </c>
      <c r="C618" s="17" t="s">
        <v>609</v>
      </c>
      <c r="D618" s="241" t="s">
        <v>1028</v>
      </c>
      <c r="E618" s="242"/>
      <c r="F618" s="242"/>
      <c r="G618" s="242"/>
      <c r="H618" s="17" t="s">
        <v>1049</v>
      </c>
      <c r="I618" s="28">
        <v>6</v>
      </c>
      <c r="J618" s="154"/>
      <c r="K618" s="28">
        <f t="shared" si="0"/>
        <v>0</v>
      </c>
      <c r="L618" s="28">
        <f t="shared" si="1"/>
        <v>0</v>
      </c>
      <c r="M618" s="28">
        <f t="shared" si="2"/>
        <v>0</v>
      </c>
      <c r="N618" s="57">
        <f>IF(M623=0,0,M618/M623)</f>
        <v>0</v>
      </c>
      <c r="O618" s="40"/>
      <c r="P618" s="6"/>
      <c r="Z618" s="45">
        <f t="shared" si="3"/>
        <v>0</v>
      </c>
      <c r="AB618" s="45">
        <f t="shared" si="4"/>
        <v>0</v>
      </c>
      <c r="AC618" s="45">
        <f t="shared" si="5"/>
        <v>0</v>
      </c>
      <c r="AD618" s="45">
        <f t="shared" si="6"/>
        <v>0</v>
      </c>
      <c r="AE618" s="45">
        <f t="shared" si="7"/>
        <v>0</v>
      </c>
      <c r="AF618" s="45">
        <f t="shared" si="8"/>
        <v>0</v>
      </c>
      <c r="AG618" s="45">
        <f t="shared" si="9"/>
        <v>0</v>
      </c>
      <c r="AH618" s="45">
        <f t="shared" si="10"/>
        <v>0</v>
      </c>
      <c r="AI618" s="44" t="s">
        <v>307</v>
      </c>
      <c r="AJ618" s="28">
        <f t="shared" si="11"/>
        <v>0</v>
      </c>
      <c r="AK618" s="28">
        <f t="shared" si="12"/>
        <v>0</v>
      </c>
      <c r="AL618" s="28">
        <f t="shared" si="13"/>
        <v>0</v>
      </c>
      <c r="AN618" s="45">
        <v>15</v>
      </c>
      <c r="AO618" s="45">
        <f>J618*1</f>
        <v>0</v>
      </c>
      <c r="AP618" s="45">
        <f>J618*(1-1)</f>
        <v>0</v>
      </c>
      <c r="AQ618" s="47" t="s">
        <v>13</v>
      </c>
      <c r="AV618" s="45">
        <f t="shared" si="14"/>
        <v>0</v>
      </c>
      <c r="AW618" s="45">
        <f t="shared" si="15"/>
        <v>0</v>
      </c>
      <c r="AX618" s="45">
        <f t="shared" si="16"/>
        <v>0</v>
      </c>
      <c r="AY618" s="48" t="s">
        <v>1100</v>
      </c>
      <c r="AZ618" s="48" t="s">
        <v>1137</v>
      </c>
      <c r="BA618" s="44" t="s">
        <v>1141</v>
      </c>
      <c r="BC618" s="45">
        <f t="shared" si="17"/>
        <v>0</v>
      </c>
      <c r="BD618" s="45">
        <f t="shared" si="18"/>
        <v>0</v>
      </c>
      <c r="BE618" s="45">
        <v>0</v>
      </c>
      <c r="BF618" s="45">
        <f>618</f>
        <v>618</v>
      </c>
      <c r="BH618" s="28">
        <f t="shared" si="19"/>
        <v>0</v>
      </c>
      <c r="BI618" s="28">
        <f t="shared" si="20"/>
        <v>0</v>
      </c>
      <c r="BJ618" s="28">
        <f t="shared" si="21"/>
        <v>0</v>
      </c>
      <c r="BK618" s="28" t="s">
        <v>1147</v>
      </c>
      <c r="BL618" s="45">
        <v>767</v>
      </c>
    </row>
    <row r="619" spans="1:64" x14ac:dyDescent="0.2">
      <c r="A619" s="7" t="s">
        <v>299</v>
      </c>
      <c r="B619" s="17" t="s">
        <v>307</v>
      </c>
      <c r="C619" s="17" t="s">
        <v>610</v>
      </c>
      <c r="D619" s="241" t="s">
        <v>1029</v>
      </c>
      <c r="E619" s="242"/>
      <c r="F619" s="242"/>
      <c r="G619" s="242"/>
      <c r="H619" s="17" t="s">
        <v>1048</v>
      </c>
      <c r="I619" s="28">
        <v>2</v>
      </c>
      <c r="J619" s="154"/>
      <c r="K619" s="28">
        <f t="shared" si="0"/>
        <v>0</v>
      </c>
      <c r="L619" s="28">
        <f t="shared" si="1"/>
        <v>0</v>
      </c>
      <c r="M619" s="28">
        <f t="shared" si="2"/>
        <v>0</v>
      </c>
      <c r="N619" s="57">
        <f>IF(M623=0,0,M619/M623)</f>
        <v>0</v>
      </c>
      <c r="O619" s="40"/>
      <c r="P619" s="6"/>
      <c r="Z619" s="45">
        <f t="shared" si="3"/>
        <v>0</v>
      </c>
      <c r="AB619" s="45">
        <f t="shared" si="4"/>
        <v>0</v>
      </c>
      <c r="AC619" s="45">
        <f t="shared" si="5"/>
        <v>0</v>
      </c>
      <c r="AD619" s="45">
        <f t="shared" si="6"/>
        <v>0</v>
      </c>
      <c r="AE619" s="45">
        <f t="shared" si="7"/>
        <v>0</v>
      </c>
      <c r="AF619" s="45">
        <f t="shared" si="8"/>
        <v>0</v>
      </c>
      <c r="AG619" s="45">
        <f t="shared" si="9"/>
        <v>0</v>
      </c>
      <c r="AH619" s="45">
        <f t="shared" si="10"/>
        <v>0</v>
      </c>
      <c r="AI619" s="44" t="s">
        <v>307</v>
      </c>
      <c r="AJ619" s="28">
        <f t="shared" si="11"/>
        <v>0</v>
      </c>
      <c r="AK619" s="28">
        <f t="shared" si="12"/>
        <v>0</v>
      </c>
      <c r="AL619" s="28">
        <f t="shared" si="13"/>
        <v>0</v>
      </c>
      <c r="AN619" s="45">
        <v>15</v>
      </c>
      <c r="AO619" s="45">
        <f>J619*1</f>
        <v>0</v>
      </c>
      <c r="AP619" s="45">
        <f>J619*(1-1)</f>
        <v>0</v>
      </c>
      <c r="AQ619" s="47" t="s">
        <v>13</v>
      </c>
      <c r="AV619" s="45">
        <f t="shared" si="14"/>
        <v>0</v>
      </c>
      <c r="AW619" s="45">
        <f t="shared" si="15"/>
        <v>0</v>
      </c>
      <c r="AX619" s="45">
        <f t="shared" si="16"/>
        <v>0</v>
      </c>
      <c r="AY619" s="48" t="s">
        <v>1100</v>
      </c>
      <c r="AZ619" s="48" t="s">
        <v>1137</v>
      </c>
      <c r="BA619" s="44" t="s">
        <v>1141</v>
      </c>
      <c r="BC619" s="45">
        <f t="shared" si="17"/>
        <v>0</v>
      </c>
      <c r="BD619" s="45">
        <f t="shared" si="18"/>
        <v>0</v>
      </c>
      <c r="BE619" s="45">
        <v>0</v>
      </c>
      <c r="BF619" s="45">
        <f>619</f>
        <v>619</v>
      </c>
      <c r="BH619" s="28">
        <f t="shared" si="19"/>
        <v>0</v>
      </c>
      <c r="BI619" s="28">
        <f t="shared" si="20"/>
        <v>0</v>
      </c>
      <c r="BJ619" s="28">
        <f t="shared" si="21"/>
        <v>0</v>
      </c>
      <c r="BK619" s="28" t="s">
        <v>1147</v>
      </c>
      <c r="BL619" s="45">
        <v>767</v>
      </c>
    </row>
    <row r="620" spans="1:64" x14ac:dyDescent="0.2">
      <c r="A620" s="5" t="s">
        <v>300</v>
      </c>
      <c r="B620" s="16" t="s">
        <v>307</v>
      </c>
      <c r="C620" s="16" t="s">
        <v>611</v>
      </c>
      <c r="D620" s="243" t="s">
        <v>1030</v>
      </c>
      <c r="E620" s="244"/>
      <c r="F620" s="244"/>
      <c r="G620" s="244"/>
      <c r="H620" s="16" t="s">
        <v>1043</v>
      </c>
      <c r="I620" s="27">
        <v>0.11</v>
      </c>
      <c r="J620" s="154"/>
      <c r="K620" s="27">
        <f t="shared" si="0"/>
        <v>0</v>
      </c>
      <c r="L620" s="27">
        <f t="shared" si="1"/>
        <v>0</v>
      </c>
      <c r="M620" s="27">
        <f t="shared" si="2"/>
        <v>0</v>
      </c>
      <c r="N620" s="56">
        <f>IF(M623=0,0,M620/M623)</f>
        <v>0</v>
      </c>
      <c r="O620" s="39" t="s">
        <v>1068</v>
      </c>
      <c r="P620" s="6"/>
      <c r="Z620" s="45">
        <f t="shared" si="3"/>
        <v>0</v>
      </c>
      <c r="AB620" s="45">
        <f t="shared" si="4"/>
        <v>0</v>
      </c>
      <c r="AC620" s="45">
        <f t="shared" si="5"/>
        <v>0</v>
      </c>
      <c r="AD620" s="45">
        <f t="shared" si="6"/>
        <v>0</v>
      </c>
      <c r="AE620" s="45">
        <f t="shared" si="7"/>
        <v>0</v>
      </c>
      <c r="AF620" s="45">
        <f t="shared" si="8"/>
        <v>0</v>
      </c>
      <c r="AG620" s="45">
        <f t="shared" si="9"/>
        <v>0</v>
      </c>
      <c r="AH620" s="45">
        <f t="shared" si="10"/>
        <v>0</v>
      </c>
      <c r="AI620" s="44" t="s">
        <v>307</v>
      </c>
      <c r="AJ620" s="27">
        <f t="shared" si="11"/>
        <v>0</v>
      </c>
      <c r="AK620" s="27">
        <f t="shared" si="12"/>
        <v>0</v>
      </c>
      <c r="AL620" s="27">
        <f t="shared" si="13"/>
        <v>0</v>
      </c>
      <c r="AN620" s="45">
        <v>15</v>
      </c>
      <c r="AO620" s="45">
        <f>J620*0</f>
        <v>0</v>
      </c>
      <c r="AP620" s="45">
        <f>J620*(1-0)</f>
        <v>0</v>
      </c>
      <c r="AQ620" s="46" t="s">
        <v>11</v>
      </c>
      <c r="AV620" s="45">
        <f t="shared" si="14"/>
        <v>0</v>
      </c>
      <c r="AW620" s="45">
        <f t="shared" si="15"/>
        <v>0</v>
      </c>
      <c r="AX620" s="45">
        <f t="shared" si="16"/>
        <v>0</v>
      </c>
      <c r="AY620" s="48" t="s">
        <v>1100</v>
      </c>
      <c r="AZ620" s="48" t="s">
        <v>1137</v>
      </c>
      <c r="BA620" s="44" t="s">
        <v>1141</v>
      </c>
      <c r="BC620" s="45">
        <f t="shared" si="17"/>
        <v>0</v>
      </c>
      <c r="BD620" s="45">
        <f t="shared" si="18"/>
        <v>0</v>
      </c>
      <c r="BE620" s="45">
        <v>0</v>
      </c>
      <c r="BF620" s="45">
        <f>620</f>
        <v>620</v>
      </c>
      <c r="BH620" s="27">
        <f t="shared" si="19"/>
        <v>0</v>
      </c>
      <c r="BI620" s="27">
        <f t="shared" si="20"/>
        <v>0</v>
      </c>
      <c r="BJ620" s="27">
        <f t="shared" si="21"/>
        <v>0</v>
      </c>
      <c r="BK620" s="27" t="s">
        <v>1146</v>
      </c>
      <c r="BL620" s="45">
        <v>767</v>
      </c>
    </row>
    <row r="621" spans="1:64" x14ac:dyDescent="0.2">
      <c r="A621" s="4"/>
      <c r="B621" s="15" t="s">
        <v>307</v>
      </c>
      <c r="C621" s="15" t="s">
        <v>612</v>
      </c>
      <c r="D621" s="237" t="s">
        <v>1031</v>
      </c>
      <c r="E621" s="238"/>
      <c r="F621" s="238"/>
      <c r="G621" s="238"/>
      <c r="H621" s="24" t="s">
        <v>6</v>
      </c>
      <c r="I621" s="24" t="s">
        <v>6</v>
      </c>
      <c r="J621" s="24" t="s">
        <v>6</v>
      </c>
      <c r="K621" s="51">
        <f>SUM(K622:K622)</f>
        <v>0</v>
      </c>
      <c r="L621" s="51">
        <f>SUM(L622:L622)</f>
        <v>0</v>
      </c>
      <c r="M621" s="51">
        <f>SUM(M622:M622)</f>
        <v>0</v>
      </c>
      <c r="N621" s="55">
        <f>IF(M623=0,0,M621/M623)</f>
        <v>0</v>
      </c>
      <c r="O621" s="38"/>
      <c r="P621" s="6"/>
      <c r="AI621" s="44" t="s">
        <v>307</v>
      </c>
      <c r="AS621" s="51">
        <f>SUM(AJ622:AJ622)</f>
        <v>0</v>
      </c>
      <c r="AT621" s="51">
        <f>SUM(AK622:AK622)</f>
        <v>0</v>
      </c>
      <c r="AU621" s="51">
        <f>SUM(AL622:AL622)</f>
        <v>0</v>
      </c>
    </row>
    <row r="622" spans="1:64" x14ac:dyDescent="0.2">
      <c r="A622" s="9" t="s">
        <v>301</v>
      </c>
      <c r="B622" s="19" t="s">
        <v>307</v>
      </c>
      <c r="C622" s="19" t="s">
        <v>613</v>
      </c>
      <c r="D622" s="239" t="s">
        <v>1032</v>
      </c>
      <c r="E622" s="240"/>
      <c r="F622" s="240"/>
      <c r="G622" s="240"/>
      <c r="H622" s="19" t="s">
        <v>1043</v>
      </c>
      <c r="I622" s="29">
        <v>24.48</v>
      </c>
      <c r="J622" s="154"/>
      <c r="K622" s="29">
        <f>I622*AO622</f>
        <v>0</v>
      </c>
      <c r="L622" s="29">
        <f>I622*AP622</f>
        <v>0</v>
      </c>
      <c r="M622" s="29">
        <f>I622*J622</f>
        <v>0</v>
      </c>
      <c r="N622" s="59">
        <f>IF(M623=0,0,M622/M623)</f>
        <v>0</v>
      </c>
      <c r="O622" s="42" t="s">
        <v>1068</v>
      </c>
      <c r="P622" s="6"/>
      <c r="Z622" s="45">
        <f>IF(AQ622="5",BJ622,0)</f>
        <v>0</v>
      </c>
      <c r="AB622" s="45">
        <f>IF(AQ622="1",BH622,0)</f>
        <v>0</v>
      </c>
      <c r="AC622" s="45">
        <f>IF(AQ622="1",BI622,0)</f>
        <v>0</v>
      </c>
      <c r="AD622" s="45">
        <f>IF(AQ622="7",BH622,0)</f>
        <v>0</v>
      </c>
      <c r="AE622" s="45">
        <f>IF(AQ622="7",BI622,0)</f>
        <v>0</v>
      </c>
      <c r="AF622" s="45">
        <f>IF(AQ622="2",BH622,0)</f>
        <v>0</v>
      </c>
      <c r="AG622" s="45">
        <f>IF(AQ622="2",BI622,0)</f>
        <v>0</v>
      </c>
      <c r="AH622" s="45">
        <f>IF(AQ622="0",BJ622,0)</f>
        <v>0</v>
      </c>
      <c r="AI622" s="44" t="s">
        <v>307</v>
      </c>
      <c r="AJ622" s="27">
        <f>IF(AN622=0,M622,0)</f>
        <v>0</v>
      </c>
      <c r="AK622" s="27">
        <f>IF(AN622=15,M622,0)</f>
        <v>0</v>
      </c>
      <c r="AL622" s="27">
        <f>IF(AN622=21,M622,0)</f>
        <v>0</v>
      </c>
      <c r="AN622" s="45">
        <v>15</v>
      </c>
      <c r="AO622" s="45">
        <f>J622*0</f>
        <v>0</v>
      </c>
      <c r="AP622" s="45">
        <f>J622*(1-0)</f>
        <v>0</v>
      </c>
      <c r="AQ622" s="46" t="s">
        <v>11</v>
      </c>
      <c r="AV622" s="45">
        <f>AW622+AX622</f>
        <v>0</v>
      </c>
      <c r="AW622" s="45">
        <f>I622*AO622</f>
        <v>0</v>
      </c>
      <c r="AX622" s="45">
        <f>I622*AP622</f>
        <v>0</v>
      </c>
      <c r="AY622" s="48" t="s">
        <v>1117</v>
      </c>
      <c r="AZ622" s="48" t="s">
        <v>1138</v>
      </c>
      <c r="BA622" s="44" t="s">
        <v>1141</v>
      </c>
      <c r="BC622" s="45">
        <f>AW622+AX622</f>
        <v>0</v>
      </c>
      <c r="BD622" s="45">
        <f>J622/(100-BE622)*100</f>
        <v>0</v>
      </c>
      <c r="BE622" s="45">
        <v>0</v>
      </c>
      <c r="BF622" s="45">
        <f>622</f>
        <v>622</v>
      </c>
      <c r="BH622" s="27">
        <f>I622*AO622</f>
        <v>0</v>
      </c>
      <c r="BI622" s="27">
        <f>I622*AP622</f>
        <v>0</v>
      </c>
      <c r="BJ622" s="27">
        <f>I622*J622</f>
        <v>0</v>
      </c>
      <c r="BK622" s="27" t="s">
        <v>1146</v>
      </c>
      <c r="BL622" s="45" t="s">
        <v>612</v>
      </c>
    </row>
    <row r="623" spans="1:64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218" t="s">
        <v>1062</v>
      </c>
      <c r="L623" s="190"/>
      <c r="M623" s="53">
        <f>M13+M20+M33+M38+M43+M73+M123+M135+M179+M190+M192+M197+M217+M229+M255+M296+M329+M334+M342+M358+M406+M443+M458+M472+M482+M490+M494+M499+M508+M515+M517+M525+M530+M533+M535+M548+M562+M570+M574+M576+M584+M587+M590+M593+M604+M611+M621</f>
        <v>0</v>
      </c>
      <c r="N623" s="10"/>
      <c r="O623" s="10"/>
    </row>
    <row r="624" spans="1:64" ht="11.25" customHeight="1" x14ac:dyDescent="0.2">
      <c r="A624" s="11" t="s">
        <v>302</v>
      </c>
    </row>
    <row r="625" spans="1:15" ht="64.150000000000006" customHeight="1" x14ac:dyDescent="0.2">
      <c r="A625" s="155" t="s">
        <v>303</v>
      </c>
      <c r="B625" s="156"/>
      <c r="C625" s="156"/>
      <c r="D625" s="156"/>
      <c r="E625" s="156"/>
      <c r="F625" s="156"/>
      <c r="G625" s="156"/>
      <c r="H625" s="156"/>
      <c r="I625" s="156"/>
      <c r="J625" s="156"/>
      <c r="K625" s="156"/>
      <c r="L625" s="156"/>
      <c r="M625" s="156"/>
      <c r="N625" s="156"/>
      <c r="O625" s="156"/>
    </row>
  </sheetData>
  <mergeCells count="641">
    <mergeCell ref="A1:O1"/>
    <mergeCell ref="A2:C3"/>
    <mergeCell ref="D2:E3"/>
    <mergeCell ref="F2:G3"/>
    <mergeCell ref="H2:I3"/>
    <mergeCell ref="J2:J3"/>
    <mergeCell ref="K2:O3"/>
    <mergeCell ref="A4:C5"/>
    <mergeCell ref="D4:E5"/>
    <mergeCell ref="F4:G5"/>
    <mergeCell ref="H4:I5"/>
    <mergeCell ref="J4:J5"/>
    <mergeCell ref="K4:O5"/>
    <mergeCell ref="A6:C7"/>
    <mergeCell ref="D6:E7"/>
    <mergeCell ref="F6:G7"/>
    <mergeCell ref="H6:I7"/>
    <mergeCell ref="J6:J7"/>
    <mergeCell ref="K6:O7"/>
    <mergeCell ref="A8:C9"/>
    <mergeCell ref="D8:E9"/>
    <mergeCell ref="F8:G9"/>
    <mergeCell ref="H8:I9"/>
    <mergeCell ref="J8:J9"/>
    <mergeCell ref="K8:O9"/>
    <mergeCell ref="D10:G10"/>
    <mergeCell ref="K10:M10"/>
    <mergeCell ref="D11:G11"/>
    <mergeCell ref="D12:G12"/>
    <mergeCell ref="D13:G13"/>
    <mergeCell ref="D14:G14"/>
    <mergeCell ref="D15:O15"/>
    <mergeCell ref="D16:O16"/>
    <mergeCell ref="D17:G17"/>
    <mergeCell ref="D18:O18"/>
    <mergeCell ref="D19:G19"/>
    <mergeCell ref="D20:G20"/>
    <mergeCell ref="D21:G21"/>
    <mergeCell ref="D22:O22"/>
    <mergeCell ref="D23:G23"/>
    <mergeCell ref="D24:G24"/>
    <mergeCell ref="D25:O25"/>
    <mergeCell ref="D26:G26"/>
    <mergeCell ref="D27:G27"/>
    <mergeCell ref="D28:O28"/>
    <mergeCell ref="D29:G29"/>
    <mergeCell ref="D30:G30"/>
    <mergeCell ref="D31:O31"/>
    <mergeCell ref="D32:G32"/>
    <mergeCell ref="D33:G33"/>
    <mergeCell ref="D34:G34"/>
    <mergeCell ref="D35:O35"/>
    <mergeCell ref="D36:O36"/>
    <mergeCell ref="D37:G37"/>
    <mergeCell ref="D38:G38"/>
    <mergeCell ref="D39:G39"/>
    <mergeCell ref="D40:O40"/>
    <mergeCell ref="D41:G41"/>
    <mergeCell ref="D42:O42"/>
    <mergeCell ref="D43:G43"/>
    <mergeCell ref="D44:G44"/>
    <mergeCell ref="D45:O45"/>
    <mergeCell ref="D46:G46"/>
    <mergeCell ref="D47:O47"/>
    <mergeCell ref="D48:G48"/>
    <mergeCell ref="D49:O49"/>
    <mergeCell ref="D50:G50"/>
    <mergeCell ref="D51:G51"/>
    <mergeCell ref="D52:G52"/>
    <mergeCell ref="D53:O53"/>
    <mergeCell ref="D54:G54"/>
    <mergeCell ref="D55:G55"/>
    <mergeCell ref="D56:G56"/>
    <mergeCell ref="D57:O57"/>
    <mergeCell ref="D58:G58"/>
    <mergeCell ref="D59:O59"/>
    <mergeCell ref="D60:O60"/>
    <mergeCell ref="D61:G61"/>
    <mergeCell ref="D62:G62"/>
    <mergeCell ref="D63:G63"/>
    <mergeCell ref="D64:O64"/>
    <mergeCell ref="D65:O65"/>
    <mergeCell ref="D66:G66"/>
    <mergeCell ref="D67:O67"/>
    <mergeCell ref="D68:O68"/>
    <mergeCell ref="D69:G69"/>
    <mergeCell ref="D70:G70"/>
    <mergeCell ref="D71:G71"/>
    <mergeCell ref="D72:O72"/>
    <mergeCell ref="D73:G73"/>
    <mergeCell ref="D74:G74"/>
    <mergeCell ref="D75:O75"/>
    <mergeCell ref="D76:G76"/>
    <mergeCell ref="D77:O77"/>
    <mergeCell ref="D78:G78"/>
    <mergeCell ref="D79:O79"/>
    <mergeCell ref="D80:O80"/>
    <mergeCell ref="D81:G81"/>
    <mergeCell ref="D82:O82"/>
    <mergeCell ref="D83:O83"/>
    <mergeCell ref="D84:G84"/>
    <mergeCell ref="D85:O85"/>
    <mergeCell ref="D86:O86"/>
    <mergeCell ref="D87:G87"/>
    <mergeCell ref="D88:O88"/>
    <mergeCell ref="D89:G89"/>
    <mergeCell ref="D90:O90"/>
    <mergeCell ref="D91:G91"/>
    <mergeCell ref="D92:O92"/>
    <mergeCell ref="D93:G93"/>
    <mergeCell ref="D94:O94"/>
    <mergeCell ref="D95:G95"/>
    <mergeCell ref="D96:O96"/>
    <mergeCell ref="D97:G97"/>
    <mergeCell ref="D98:O98"/>
    <mergeCell ref="D99:G99"/>
    <mergeCell ref="D100:O100"/>
    <mergeCell ref="D101:G101"/>
    <mergeCell ref="D102:O102"/>
    <mergeCell ref="D103:G103"/>
    <mergeCell ref="D104:O104"/>
    <mergeCell ref="D105:G105"/>
    <mergeCell ref="D106:O106"/>
    <mergeCell ref="D107:G107"/>
    <mergeCell ref="D108:O108"/>
    <mergeCell ref="D109:G109"/>
    <mergeCell ref="D110:G110"/>
    <mergeCell ref="D111:G111"/>
    <mergeCell ref="D112:O112"/>
    <mergeCell ref="D113:G113"/>
    <mergeCell ref="D114:O114"/>
    <mergeCell ref="D115:G115"/>
    <mergeCell ref="D116:O116"/>
    <mergeCell ref="D117:G117"/>
    <mergeCell ref="D118:O118"/>
    <mergeCell ref="D119:O119"/>
    <mergeCell ref="D120:G120"/>
    <mergeCell ref="D121:O121"/>
    <mergeCell ref="D122:O122"/>
    <mergeCell ref="D123:G123"/>
    <mergeCell ref="D124:G124"/>
    <mergeCell ref="D125:O125"/>
    <mergeCell ref="D126:O126"/>
    <mergeCell ref="D127:G127"/>
    <mergeCell ref="D128:O128"/>
    <mergeCell ref="D129:O129"/>
    <mergeCell ref="D130:G130"/>
    <mergeCell ref="D131:O131"/>
    <mergeCell ref="D132:O132"/>
    <mergeCell ref="D133:G133"/>
    <mergeCell ref="D134:O134"/>
    <mergeCell ref="D135:G135"/>
    <mergeCell ref="D136:G136"/>
    <mergeCell ref="D137:O137"/>
    <mergeCell ref="D138:G138"/>
    <mergeCell ref="D139:O139"/>
    <mergeCell ref="D140:O140"/>
    <mergeCell ref="D141:O141"/>
    <mergeCell ref="D142:G142"/>
    <mergeCell ref="D143:G143"/>
    <mergeCell ref="D144:G144"/>
    <mergeCell ref="D145:G145"/>
    <mergeCell ref="D146:O146"/>
    <mergeCell ref="D147:G147"/>
    <mergeCell ref="D148:O148"/>
    <mergeCell ref="D149:G149"/>
    <mergeCell ref="D150:O150"/>
    <mergeCell ref="D151:G151"/>
    <mergeCell ref="D152:O152"/>
    <mergeCell ref="D153:G153"/>
    <mergeCell ref="D154:G154"/>
    <mergeCell ref="D155:O155"/>
    <mergeCell ref="D156:G156"/>
    <mergeCell ref="D157:G157"/>
    <mergeCell ref="D158:O158"/>
    <mergeCell ref="D159:G159"/>
    <mergeCell ref="D160:O160"/>
    <mergeCell ref="D161:G161"/>
    <mergeCell ref="D162:O162"/>
    <mergeCell ref="D163:G163"/>
    <mergeCell ref="D164:G164"/>
    <mergeCell ref="D165:O165"/>
    <mergeCell ref="D166:G166"/>
    <mergeCell ref="D167:O167"/>
    <mergeCell ref="D168:G168"/>
    <mergeCell ref="D169:O169"/>
    <mergeCell ref="D170:G170"/>
    <mergeCell ref="D171:G171"/>
    <mergeCell ref="D172:O172"/>
    <mergeCell ref="D173:G173"/>
    <mergeCell ref="D174:O174"/>
    <mergeCell ref="D175:G175"/>
    <mergeCell ref="D176:O176"/>
    <mergeCell ref="D177:G177"/>
    <mergeCell ref="D178:O178"/>
    <mergeCell ref="D179:G179"/>
    <mergeCell ref="D180:G180"/>
    <mergeCell ref="D181:O181"/>
    <mergeCell ref="D182:G182"/>
    <mergeCell ref="D183:O183"/>
    <mergeCell ref="D184:G184"/>
    <mergeCell ref="D185:O185"/>
    <mergeCell ref="D186:G186"/>
    <mergeCell ref="D187:G187"/>
    <mergeCell ref="D188:O188"/>
    <mergeCell ref="D189:O189"/>
    <mergeCell ref="D190:G190"/>
    <mergeCell ref="D191:G191"/>
    <mergeCell ref="D192:G192"/>
    <mergeCell ref="D193:G193"/>
    <mergeCell ref="D194:O194"/>
    <mergeCell ref="D195:G195"/>
    <mergeCell ref="D196:O196"/>
    <mergeCell ref="D197:G197"/>
    <mergeCell ref="D198:G198"/>
    <mergeCell ref="D199:O199"/>
    <mergeCell ref="D200:O200"/>
    <mergeCell ref="D201:G201"/>
    <mergeCell ref="D202:O202"/>
    <mergeCell ref="D203:G203"/>
    <mergeCell ref="D204:O204"/>
    <mergeCell ref="D205:G205"/>
    <mergeCell ref="D206:O206"/>
    <mergeCell ref="D207:G207"/>
    <mergeCell ref="D208:G208"/>
    <mergeCell ref="D209:G209"/>
    <mergeCell ref="D210:O210"/>
    <mergeCell ref="D211:O211"/>
    <mergeCell ref="D212:G212"/>
    <mergeCell ref="D213:O213"/>
    <mergeCell ref="D214:G214"/>
    <mergeCell ref="D215:G215"/>
    <mergeCell ref="D216:O216"/>
    <mergeCell ref="D217:G217"/>
    <mergeCell ref="D218:G218"/>
    <mergeCell ref="D219:O219"/>
    <mergeCell ref="D220:G220"/>
    <mergeCell ref="D221:O221"/>
    <mergeCell ref="D222:O222"/>
    <mergeCell ref="D223:G223"/>
    <mergeCell ref="D224:O224"/>
    <mergeCell ref="D225:O225"/>
    <mergeCell ref="D226:O226"/>
    <mergeCell ref="D227:G227"/>
    <mergeCell ref="D228:O228"/>
    <mergeCell ref="D229:G229"/>
    <mergeCell ref="D230:G230"/>
    <mergeCell ref="D231:O231"/>
    <mergeCell ref="D232:O232"/>
    <mergeCell ref="D233:G233"/>
    <mergeCell ref="D234:O234"/>
    <mergeCell ref="D235:O235"/>
    <mergeCell ref="D236:G236"/>
    <mergeCell ref="D237:O237"/>
    <mergeCell ref="D238:O238"/>
    <mergeCell ref="D239:G239"/>
    <mergeCell ref="D240:O240"/>
    <mergeCell ref="D241:O241"/>
    <mergeCell ref="D242:G242"/>
    <mergeCell ref="D243:O243"/>
    <mergeCell ref="D244:O244"/>
    <mergeCell ref="D245:G245"/>
    <mergeCell ref="D246:O246"/>
    <mergeCell ref="D247:O247"/>
    <mergeCell ref="D248:G248"/>
    <mergeCell ref="D249:O249"/>
    <mergeCell ref="D250:G250"/>
    <mergeCell ref="D251:G251"/>
    <mergeCell ref="D252:O252"/>
    <mergeCell ref="D253:O253"/>
    <mergeCell ref="D254:G254"/>
    <mergeCell ref="D255:G255"/>
    <mergeCell ref="D256:G256"/>
    <mergeCell ref="D257:O257"/>
    <mergeCell ref="D258:O258"/>
    <mergeCell ref="D259:G259"/>
    <mergeCell ref="D260:O260"/>
    <mergeCell ref="D261:O261"/>
    <mergeCell ref="D262:G262"/>
    <mergeCell ref="D263:O263"/>
    <mergeCell ref="D264:O264"/>
    <mergeCell ref="D265:G265"/>
    <mergeCell ref="D266:O266"/>
    <mergeCell ref="D267:G267"/>
    <mergeCell ref="D268:G268"/>
    <mergeCell ref="D269:O269"/>
    <mergeCell ref="D270:O270"/>
    <mergeCell ref="D271:G271"/>
    <mergeCell ref="D272:O272"/>
    <mergeCell ref="D273:O273"/>
    <mergeCell ref="D274:G274"/>
    <mergeCell ref="D275:G275"/>
    <mergeCell ref="D276:G276"/>
    <mergeCell ref="D277:O277"/>
    <mergeCell ref="D278:O278"/>
    <mergeCell ref="D279:G279"/>
    <mergeCell ref="D280:G280"/>
    <mergeCell ref="D281:O281"/>
    <mergeCell ref="D282:G282"/>
    <mergeCell ref="D283:O283"/>
    <mergeCell ref="D284:O284"/>
    <mergeCell ref="D285:G285"/>
    <mergeCell ref="D286:O286"/>
    <mergeCell ref="D287:O287"/>
    <mergeCell ref="D288:G288"/>
    <mergeCell ref="D289:O289"/>
    <mergeCell ref="D290:G290"/>
    <mergeCell ref="D291:G291"/>
    <mergeCell ref="D292:G292"/>
    <mergeCell ref="D293:O293"/>
    <mergeCell ref="D294:O294"/>
    <mergeCell ref="D295:G295"/>
    <mergeCell ref="D296:G296"/>
    <mergeCell ref="D297:G297"/>
    <mergeCell ref="D298:O298"/>
    <mergeCell ref="D299:O299"/>
    <mergeCell ref="D300:G300"/>
    <mergeCell ref="D301:G301"/>
    <mergeCell ref="D302:O302"/>
    <mergeCell ref="D303:G303"/>
    <mergeCell ref="D304:O304"/>
    <mergeCell ref="D305:G305"/>
    <mergeCell ref="D306:O306"/>
    <mergeCell ref="D307:G307"/>
    <mergeCell ref="D308:G308"/>
    <mergeCell ref="D309:O309"/>
    <mergeCell ref="D310:G310"/>
    <mergeCell ref="D311:O311"/>
    <mergeCell ref="D312:G312"/>
    <mergeCell ref="D313:O313"/>
    <mergeCell ref="D314:G314"/>
    <mergeCell ref="D315:O315"/>
    <mergeCell ref="D316:O316"/>
    <mergeCell ref="D317:G317"/>
    <mergeCell ref="D318:G318"/>
    <mergeCell ref="D319:O319"/>
    <mergeCell ref="D320:O320"/>
    <mergeCell ref="D321:G321"/>
    <mergeCell ref="D322:G322"/>
    <mergeCell ref="D323:G323"/>
    <mergeCell ref="D324:G324"/>
    <mergeCell ref="D325:O325"/>
    <mergeCell ref="D326:G326"/>
    <mergeCell ref="D327:O327"/>
    <mergeCell ref="D328:G328"/>
    <mergeCell ref="D329:G329"/>
    <mergeCell ref="D330:G330"/>
    <mergeCell ref="D331:O331"/>
    <mergeCell ref="D332:O332"/>
    <mergeCell ref="D333:G333"/>
    <mergeCell ref="D334:G334"/>
    <mergeCell ref="D335:G335"/>
    <mergeCell ref="D336:O336"/>
    <mergeCell ref="D337:G337"/>
    <mergeCell ref="D338:G338"/>
    <mergeCell ref="D339:O339"/>
    <mergeCell ref="D340:O340"/>
    <mergeCell ref="D341:G341"/>
    <mergeCell ref="D342:G342"/>
    <mergeCell ref="D343:G343"/>
    <mergeCell ref="D344:O344"/>
    <mergeCell ref="D345:O345"/>
    <mergeCell ref="D346:G346"/>
    <mergeCell ref="D347:O347"/>
    <mergeCell ref="D348:O348"/>
    <mergeCell ref="D349:G349"/>
    <mergeCell ref="D350:O350"/>
    <mergeCell ref="D351:G351"/>
    <mergeCell ref="D352:O352"/>
    <mergeCell ref="D353:G353"/>
    <mergeCell ref="D354:O354"/>
    <mergeCell ref="D355:G355"/>
    <mergeCell ref="D356:O356"/>
    <mergeCell ref="D357:G357"/>
    <mergeCell ref="D358:G358"/>
    <mergeCell ref="D359:G359"/>
    <mergeCell ref="D360:O360"/>
    <mergeCell ref="D361:O361"/>
    <mergeCell ref="D362:G362"/>
    <mergeCell ref="D363:O363"/>
    <mergeCell ref="D364:O364"/>
    <mergeCell ref="D365:G365"/>
    <mergeCell ref="D366:O366"/>
    <mergeCell ref="D367:G367"/>
    <mergeCell ref="D368:O368"/>
    <mergeCell ref="D369:G369"/>
    <mergeCell ref="D370:O370"/>
    <mergeCell ref="D371:G371"/>
    <mergeCell ref="D372:O372"/>
    <mergeCell ref="D373:G373"/>
    <mergeCell ref="D374:O374"/>
    <mergeCell ref="D375:G375"/>
    <mergeCell ref="D376:O376"/>
    <mergeCell ref="D377:G377"/>
    <mergeCell ref="D378:O378"/>
    <mergeCell ref="D379:G379"/>
    <mergeCell ref="D380:O380"/>
    <mergeCell ref="D381:G381"/>
    <mergeCell ref="D382:O382"/>
    <mergeCell ref="D383:G383"/>
    <mergeCell ref="D384:O384"/>
    <mergeCell ref="D385:G385"/>
    <mergeCell ref="D386:O386"/>
    <mergeCell ref="D387:G387"/>
    <mergeCell ref="D388:O388"/>
    <mergeCell ref="D389:G389"/>
    <mergeCell ref="D390:G390"/>
    <mergeCell ref="D391:O391"/>
    <mergeCell ref="D392:G392"/>
    <mergeCell ref="D393:O393"/>
    <mergeCell ref="D394:G394"/>
    <mergeCell ref="D395:O395"/>
    <mergeCell ref="D396:G396"/>
    <mergeCell ref="D397:O397"/>
    <mergeCell ref="D398:G398"/>
    <mergeCell ref="D399:G399"/>
    <mergeCell ref="D400:G400"/>
    <mergeCell ref="D401:G401"/>
    <mergeCell ref="D402:G402"/>
    <mergeCell ref="D403:O403"/>
    <mergeCell ref="D404:G404"/>
    <mergeCell ref="D405:G405"/>
    <mergeCell ref="D406:G406"/>
    <mergeCell ref="D407:G407"/>
    <mergeCell ref="D408:O408"/>
    <mergeCell ref="D409:G409"/>
    <mergeCell ref="D410:O410"/>
    <mergeCell ref="D411:G411"/>
    <mergeCell ref="D412:O412"/>
    <mergeCell ref="D413:O413"/>
    <mergeCell ref="D414:G414"/>
    <mergeCell ref="D415:O415"/>
    <mergeCell ref="D416:G416"/>
    <mergeCell ref="D417:O417"/>
    <mergeCell ref="D418:G418"/>
    <mergeCell ref="D419:G419"/>
    <mergeCell ref="D420:O420"/>
    <mergeCell ref="D421:G421"/>
    <mergeCell ref="D422:O422"/>
    <mergeCell ref="D423:G423"/>
    <mergeCell ref="D424:O424"/>
    <mergeCell ref="D425:G425"/>
    <mergeCell ref="D426:G426"/>
    <mergeCell ref="D427:O427"/>
    <mergeCell ref="D428:G428"/>
    <mergeCell ref="D429:O429"/>
    <mergeCell ref="D430:G430"/>
    <mergeCell ref="D431:O431"/>
    <mergeCell ref="D432:G432"/>
    <mergeCell ref="D433:G433"/>
    <mergeCell ref="D434:O434"/>
    <mergeCell ref="D435:G435"/>
    <mergeCell ref="D436:O436"/>
    <mergeCell ref="D437:G437"/>
    <mergeCell ref="D438:O438"/>
    <mergeCell ref="D439:G439"/>
    <mergeCell ref="D440:O440"/>
    <mergeCell ref="D441:O441"/>
    <mergeCell ref="D442:G442"/>
    <mergeCell ref="D443:G443"/>
    <mergeCell ref="D444:G444"/>
    <mergeCell ref="D445:O445"/>
    <mergeCell ref="D446:G446"/>
    <mergeCell ref="D447:O447"/>
    <mergeCell ref="D448:O448"/>
    <mergeCell ref="D449:G449"/>
    <mergeCell ref="D450:O450"/>
    <mergeCell ref="D451:G451"/>
    <mergeCell ref="D452:G452"/>
    <mergeCell ref="D453:G453"/>
    <mergeCell ref="D454:G454"/>
    <mergeCell ref="D455:O455"/>
    <mergeCell ref="D456:O456"/>
    <mergeCell ref="D457:G457"/>
    <mergeCell ref="D458:G458"/>
    <mergeCell ref="D459:G459"/>
    <mergeCell ref="D460:O460"/>
    <mergeCell ref="D461:G461"/>
    <mergeCell ref="D462:O462"/>
    <mergeCell ref="D463:G463"/>
    <mergeCell ref="D464:O464"/>
    <mergeCell ref="D465:G465"/>
    <mergeCell ref="D466:G466"/>
    <mergeCell ref="D467:O467"/>
    <mergeCell ref="D468:G468"/>
    <mergeCell ref="D469:G469"/>
    <mergeCell ref="D470:O470"/>
    <mergeCell ref="D471:G471"/>
    <mergeCell ref="D472:G472"/>
    <mergeCell ref="D473:G473"/>
    <mergeCell ref="D474:O474"/>
    <mergeCell ref="D475:O475"/>
    <mergeCell ref="D476:G476"/>
    <mergeCell ref="D477:O477"/>
    <mergeCell ref="D478:G478"/>
    <mergeCell ref="D479:G479"/>
    <mergeCell ref="D480:O480"/>
    <mergeCell ref="D481:G481"/>
    <mergeCell ref="D482:G482"/>
    <mergeCell ref="D483:G483"/>
    <mergeCell ref="D484:O484"/>
    <mergeCell ref="D485:G485"/>
    <mergeCell ref="D486:O486"/>
    <mergeCell ref="D487:G487"/>
    <mergeCell ref="D488:O488"/>
    <mergeCell ref="D489:G489"/>
    <mergeCell ref="D490:G490"/>
    <mergeCell ref="D491:G491"/>
    <mergeCell ref="D492:O492"/>
    <mergeCell ref="D493:G493"/>
    <mergeCell ref="D494:G494"/>
    <mergeCell ref="D495:G495"/>
    <mergeCell ref="D496:O496"/>
    <mergeCell ref="D497:O497"/>
    <mergeCell ref="D498:G498"/>
    <mergeCell ref="D499:G499"/>
    <mergeCell ref="D500:G500"/>
    <mergeCell ref="D501:O501"/>
    <mergeCell ref="D502:O502"/>
    <mergeCell ref="D503:G503"/>
    <mergeCell ref="D504:O504"/>
    <mergeCell ref="D505:G505"/>
    <mergeCell ref="D506:O506"/>
    <mergeCell ref="D507:G507"/>
    <mergeCell ref="D508:G508"/>
    <mergeCell ref="D509:G509"/>
    <mergeCell ref="D510:O510"/>
    <mergeCell ref="D511:G511"/>
    <mergeCell ref="D512:G512"/>
    <mergeCell ref="D513:O513"/>
    <mergeCell ref="D514:G514"/>
    <mergeCell ref="D515:G515"/>
    <mergeCell ref="D516:G516"/>
    <mergeCell ref="D517:G517"/>
    <mergeCell ref="D518:G518"/>
    <mergeCell ref="D519:O519"/>
    <mergeCell ref="D520:G520"/>
    <mergeCell ref="D521:G521"/>
    <mergeCell ref="D522:G522"/>
    <mergeCell ref="D523:O523"/>
    <mergeCell ref="D524:G524"/>
    <mergeCell ref="D525:G525"/>
    <mergeCell ref="D526:G526"/>
    <mergeCell ref="D527:O527"/>
    <mergeCell ref="D528:G528"/>
    <mergeCell ref="D529:O529"/>
    <mergeCell ref="D530:G530"/>
    <mergeCell ref="D531:G531"/>
    <mergeCell ref="D532:O532"/>
    <mergeCell ref="D533:G533"/>
    <mergeCell ref="D534:G534"/>
    <mergeCell ref="D535:G535"/>
    <mergeCell ref="D536:G536"/>
    <mergeCell ref="D537:O537"/>
    <mergeCell ref="D538:O538"/>
    <mergeCell ref="D539:G539"/>
    <mergeCell ref="D540:O540"/>
    <mergeCell ref="D541:O541"/>
    <mergeCell ref="D542:G542"/>
    <mergeCell ref="D543:O543"/>
    <mergeCell ref="D544:O544"/>
    <mergeCell ref="D545:G545"/>
    <mergeCell ref="D546:O546"/>
    <mergeCell ref="D547:O547"/>
    <mergeCell ref="D548:G548"/>
    <mergeCell ref="D549:G549"/>
    <mergeCell ref="D550:O550"/>
    <mergeCell ref="D551:G551"/>
    <mergeCell ref="D552:G552"/>
    <mergeCell ref="D553:O553"/>
    <mergeCell ref="D554:O554"/>
    <mergeCell ref="D555:G555"/>
    <mergeCell ref="D556:O556"/>
    <mergeCell ref="D557:O557"/>
    <mergeCell ref="D558:G558"/>
    <mergeCell ref="D559:O559"/>
    <mergeCell ref="D560:O560"/>
    <mergeCell ref="D561:G561"/>
    <mergeCell ref="D562:G562"/>
    <mergeCell ref="D563:G563"/>
    <mergeCell ref="D564:O564"/>
    <mergeCell ref="D565:G565"/>
    <mergeCell ref="D566:G566"/>
    <mergeCell ref="D567:O567"/>
    <mergeCell ref="D568:G568"/>
    <mergeCell ref="D569:G569"/>
    <mergeCell ref="D570:G570"/>
    <mergeCell ref="D571:G571"/>
    <mergeCell ref="D572:O572"/>
    <mergeCell ref="D573:O573"/>
    <mergeCell ref="D574:G574"/>
    <mergeCell ref="D575:G575"/>
    <mergeCell ref="D576:G576"/>
    <mergeCell ref="D577:G577"/>
    <mergeCell ref="D578:O578"/>
    <mergeCell ref="D579:G579"/>
    <mergeCell ref="D580:O580"/>
    <mergeCell ref="D581:G581"/>
    <mergeCell ref="D582:O582"/>
    <mergeCell ref="D583:G583"/>
    <mergeCell ref="D584:G584"/>
    <mergeCell ref="D585:G585"/>
    <mergeCell ref="D586:O586"/>
    <mergeCell ref="D587:G587"/>
    <mergeCell ref="D588:G588"/>
    <mergeCell ref="D589:O589"/>
    <mergeCell ref="D590:G590"/>
    <mergeCell ref="D591:G591"/>
    <mergeCell ref="D592:O592"/>
    <mergeCell ref="D593:G593"/>
    <mergeCell ref="D594:G594"/>
    <mergeCell ref="D595:O595"/>
    <mergeCell ref="D596:O596"/>
    <mergeCell ref="D597:G597"/>
    <mergeCell ref="D598:O598"/>
    <mergeCell ref="D599:G599"/>
    <mergeCell ref="D600:O600"/>
    <mergeCell ref="D601:G601"/>
    <mergeCell ref="D602:O602"/>
    <mergeCell ref="D603:O603"/>
    <mergeCell ref="D604:G604"/>
    <mergeCell ref="D605:G605"/>
    <mergeCell ref="D606:O606"/>
    <mergeCell ref="D607:G607"/>
    <mergeCell ref="D608:G608"/>
    <mergeCell ref="D609:O609"/>
    <mergeCell ref="D610:G610"/>
    <mergeCell ref="D611:G611"/>
    <mergeCell ref="D612:G612"/>
    <mergeCell ref="D613:O613"/>
    <mergeCell ref="D614:O614"/>
    <mergeCell ref="D621:G621"/>
    <mergeCell ref="D622:G622"/>
    <mergeCell ref="K623:L623"/>
    <mergeCell ref="A625:O625"/>
    <mergeCell ref="D615:G615"/>
    <mergeCell ref="D616:G616"/>
    <mergeCell ref="D617:G617"/>
    <mergeCell ref="D618:G618"/>
    <mergeCell ref="D619:G619"/>
    <mergeCell ref="D620:G620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33"/>
  <sheetViews>
    <sheetView workbookViewId="0">
      <pane ySplit="10" topLeftCell="A11" activePane="bottomLeft" state="frozenSplit"/>
      <selection pane="bottomLeft" sqref="A1:H1"/>
    </sheetView>
  </sheetViews>
  <sheetFormatPr defaultColWidth="11.5703125" defaultRowHeight="12.75" x14ac:dyDescent="0.2"/>
  <cols>
    <col min="1" max="2" width="9.140625" customWidth="1"/>
    <col min="3" max="3" width="13.28515625" customWidth="1"/>
    <col min="4" max="4" width="44.7109375" customWidth="1"/>
    <col min="5" max="5" width="58.5703125" customWidth="1"/>
    <col min="6" max="6" width="24.140625" customWidth="1"/>
    <col min="7" max="7" width="15.7109375" customWidth="1"/>
    <col min="8" max="8" width="18.140625" customWidth="1"/>
  </cols>
  <sheetData>
    <row r="1" spans="1:9" ht="72.95" customHeight="1" x14ac:dyDescent="0.35">
      <c r="A1" s="233" t="s">
        <v>1156</v>
      </c>
      <c r="B1" s="186"/>
      <c r="C1" s="186"/>
      <c r="D1" s="186"/>
      <c r="E1" s="186"/>
      <c r="F1" s="186"/>
      <c r="G1" s="186"/>
      <c r="H1" s="186"/>
    </row>
    <row r="2" spans="1:9" x14ac:dyDescent="0.2">
      <c r="A2" s="187" t="s">
        <v>1</v>
      </c>
      <c r="B2" s="188"/>
      <c r="C2" s="189" t="str">
        <f>'Stavební rozpočet'!D2</f>
        <v>RDSD</v>
      </c>
      <c r="D2" s="190"/>
      <c r="E2" s="192" t="s">
        <v>1051</v>
      </c>
      <c r="F2" s="192" t="str">
        <f>'Stavební rozpočet'!K2</f>
        <v>Lucie Součková, Tomáš Dušek</v>
      </c>
      <c r="G2" s="188"/>
      <c r="H2" s="234"/>
      <c r="I2" s="6"/>
    </row>
    <row r="3" spans="1:9" x14ac:dyDescent="0.2">
      <c r="A3" s="182"/>
      <c r="B3" s="156"/>
      <c r="C3" s="191"/>
      <c r="D3" s="191"/>
      <c r="E3" s="156"/>
      <c r="F3" s="156"/>
      <c r="G3" s="156"/>
      <c r="H3" s="184"/>
      <c r="I3" s="6"/>
    </row>
    <row r="4" spans="1:9" x14ac:dyDescent="0.2">
      <c r="A4" s="176" t="s">
        <v>2</v>
      </c>
      <c r="B4" s="156"/>
      <c r="C4" s="155" t="str">
        <f>'Stavební rozpočet'!D4</f>
        <v>Novostavba RD</v>
      </c>
      <c r="D4" s="156"/>
      <c r="E4" s="155" t="s">
        <v>1052</v>
      </c>
      <c r="F4" s="155" t="str">
        <f>'Stavební rozpočet'!K4</f>
        <v>Ing.arch.Adam Smotlacha</v>
      </c>
      <c r="G4" s="156"/>
      <c r="H4" s="184"/>
      <c r="I4" s="6"/>
    </row>
    <row r="5" spans="1:9" x14ac:dyDescent="0.2">
      <c r="A5" s="182"/>
      <c r="B5" s="156"/>
      <c r="C5" s="156"/>
      <c r="D5" s="156"/>
      <c r="E5" s="156"/>
      <c r="F5" s="156"/>
      <c r="G5" s="156"/>
      <c r="H5" s="184"/>
      <c r="I5" s="6"/>
    </row>
    <row r="6" spans="1:9" x14ac:dyDescent="0.2">
      <c r="A6" s="176" t="s">
        <v>3</v>
      </c>
      <c r="B6" s="156"/>
      <c r="C6" s="155" t="str">
        <f>'Stavební rozpočet'!D6</f>
        <v>ul. Vojanova p.č.1672/62, Brandýs nad Labem - Stará Boleslav 250 01</v>
      </c>
      <c r="D6" s="156"/>
      <c r="E6" s="155" t="s">
        <v>1053</v>
      </c>
      <c r="F6" s="155" t="str">
        <f>'Stavební rozpočet'!K6</f>
        <v> </v>
      </c>
      <c r="G6" s="156"/>
      <c r="H6" s="184"/>
      <c r="I6" s="6"/>
    </row>
    <row r="7" spans="1:9" x14ac:dyDescent="0.2">
      <c r="A7" s="182"/>
      <c r="B7" s="156"/>
      <c r="C7" s="156"/>
      <c r="D7" s="156"/>
      <c r="E7" s="156"/>
      <c r="F7" s="156"/>
      <c r="G7" s="156"/>
      <c r="H7" s="184"/>
      <c r="I7" s="6"/>
    </row>
    <row r="8" spans="1:9" x14ac:dyDescent="0.2">
      <c r="A8" s="176" t="s">
        <v>1054</v>
      </c>
      <c r="B8" s="156"/>
      <c r="C8" s="155" t="str">
        <f>'Stavební rozpočet'!K8</f>
        <v> </v>
      </c>
      <c r="D8" s="156"/>
      <c r="E8" s="155" t="s">
        <v>1036</v>
      </c>
      <c r="F8" s="155" t="str">
        <f>'Stavební rozpočet'!H8</f>
        <v>26.08.2022</v>
      </c>
      <c r="G8" s="156"/>
      <c r="H8" s="184"/>
      <c r="I8" s="6"/>
    </row>
    <row r="9" spans="1:9" x14ac:dyDescent="0.2">
      <c r="A9" s="230"/>
      <c r="B9" s="231"/>
      <c r="C9" s="231"/>
      <c r="D9" s="231"/>
      <c r="E9" s="231"/>
      <c r="F9" s="231"/>
      <c r="G9" s="231"/>
      <c r="H9" s="232"/>
      <c r="I9" s="6"/>
    </row>
    <row r="10" spans="1:9" x14ac:dyDescent="0.2">
      <c r="A10" s="75" t="s">
        <v>5</v>
      </c>
      <c r="B10" s="76" t="s">
        <v>304</v>
      </c>
      <c r="C10" s="76" t="s">
        <v>308</v>
      </c>
      <c r="D10" s="276" t="s">
        <v>1157</v>
      </c>
      <c r="E10" s="277"/>
      <c r="F10" s="76" t="s">
        <v>1040</v>
      </c>
      <c r="G10" s="86" t="s">
        <v>1050</v>
      </c>
      <c r="H10" s="89" t="s">
        <v>1812</v>
      </c>
      <c r="I10" s="43"/>
    </row>
    <row r="11" spans="1:9" x14ac:dyDescent="0.2">
      <c r="A11" s="81"/>
      <c r="B11" s="83"/>
      <c r="C11" s="83" t="s">
        <v>17</v>
      </c>
      <c r="D11" s="278" t="s">
        <v>982</v>
      </c>
      <c r="E11" s="279"/>
      <c r="F11" s="83"/>
      <c r="G11" s="119"/>
      <c r="H11" s="90"/>
      <c r="I11" s="6"/>
    </row>
    <row r="12" spans="1:9" x14ac:dyDescent="0.2">
      <c r="A12" s="5" t="s">
        <v>7</v>
      </c>
      <c r="B12" s="16" t="s">
        <v>306</v>
      </c>
      <c r="C12" s="16" t="s">
        <v>578</v>
      </c>
      <c r="D12" s="243" t="s">
        <v>983</v>
      </c>
      <c r="E12" s="244"/>
      <c r="F12" s="16" t="s">
        <v>1044</v>
      </c>
      <c r="G12" s="27">
        <v>3.5</v>
      </c>
      <c r="H12" s="91">
        <v>0</v>
      </c>
      <c r="I12" s="6"/>
    </row>
    <row r="13" spans="1:9" ht="12.2" customHeight="1" x14ac:dyDescent="0.2">
      <c r="A13" s="5"/>
      <c r="B13" s="16"/>
      <c r="C13" s="16"/>
      <c r="D13" s="85" t="s">
        <v>1158</v>
      </c>
      <c r="E13" s="267" t="s">
        <v>1581</v>
      </c>
      <c r="F13" s="267"/>
      <c r="G13" s="87">
        <v>3.5</v>
      </c>
      <c r="H13" s="39"/>
      <c r="I13" s="6"/>
    </row>
    <row r="14" spans="1:9" x14ac:dyDescent="0.2">
      <c r="A14" s="5" t="s">
        <v>8</v>
      </c>
      <c r="B14" s="16" t="s">
        <v>306</v>
      </c>
      <c r="C14" s="16" t="s">
        <v>579</v>
      </c>
      <c r="D14" s="243" t="s">
        <v>984</v>
      </c>
      <c r="E14" s="244"/>
      <c r="F14" s="16" t="s">
        <v>1042</v>
      </c>
      <c r="G14" s="27">
        <v>9.4</v>
      </c>
      <c r="H14" s="91">
        <v>0</v>
      </c>
      <c r="I14" s="6"/>
    </row>
    <row r="15" spans="1:9" ht="12.2" customHeight="1" x14ac:dyDescent="0.2">
      <c r="A15" s="5"/>
      <c r="B15" s="16"/>
      <c r="C15" s="16"/>
      <c r="D15" s="85" t="s">
        <v>1159</v>
      </c>
      <c r="E15" s="267" t="s">
        <v>1582</v>
      </c>
      <c r="F15" s="267"/>
      <c r="G15" s="87">
        <v>9.4</v>
      </c>
      <c r="H15" s="39"/>
      <c r="I15" s="6"/>
    </row>
    <row r="16" spans="1:9" x14ac:dyDescent="0.2">
      <c r="A16" s="82"/>
      <c r="B16" s="15"/>
      <c r="C16" s="15" t="s">
        <v>18</v>
      </c>
      <c r="D16" s="237" t="s">
        <v>619</v>
      </c>
      <c r="E16" s="238"/>
      <c r="F16" s="15"/>
      <c r="G16" s="51"/>
      <c r="H16" s="38"/>
      <c r="I16" s="6"/>
    </row>
    <row r="17" spans="1:9" x14ac:dyDescent="0.2">
      <c r="A17" s="5" t="s">
        <v>9</v>
      </c>
      <c r="B17" s="16" t="s">
        <v>305</v>
      </c>
      <c r="C17" s="16" t="s">
        <v>309</v>
      </c>
      <c r="D17" s="243" t="s">
        <v>620</v>
      </c>
      <c r="E17" s="244"/>
      <c r="F17" s="16" t="s">
        <v>1041</v>
      </c>
      <c r="G17" s="27">
        <v>106.15</v>
      </c>
      <c r="H17" s="91">
        <v>0</v>
      </c>
      <c r="I17" s="6"/>
    </row>
    <row r="18" spans="1:9" ht="12.2" customHeight="1" x14ac:dyDescent="0.2">
      <c r="A18" s="5"/>
      <c r="B18" s="16"/>
      <c r="C18" s="16"/>
      <c r="D18" s="85" t="s">
        <v>1160</v>
      </c>
      <c r="E18" s="267" t="s">
        <v>1583</v>
      </c>
      <c r="F18" s="267"/>
      <c r="G18" s="87">
        <v>78.010000000000005</v>
      </c>
      <c r="H18" s="39"/>
      <c r="I18" s="6"/>
    </row>
    <row r="19" spans="1:9" ht="12.2" customHeight="1" x14ac:dyDescent="0.2">
      <c r="A19" s="5"/>
      <c r="B19" s="16"/>
      <c r="C19" s="16"/>
      <c r="D19" s="85" t="s">
        <v>1161</v>
      </c>
      <c r="E19" s="267" t="s">
        <v>1584</v>
      </c>
      <c r="F19" s="267"/>
      <c r="G19" s="87">
        <v>28.14</v>
      </c>
      <c r="H19" s="39"/>
      <c r="I19" s="6"/>
    </row>
    <row r="20" spans="1:9" ht="12.95" customHeight="1" x14ac:dyDescent="0.2">
      <c r="A20" s="6"/>
      <c r="C20" s="84" t="s">
        <v>302</v>
      </c>
      <c r="D20" s="248" t="s">
        <v>621</v>
      </c>
      <c r="E20" s="249"/>
      <c r="F20" s="249"/>
      <c r="G20" s="249"/>
      <c r="H20" s="92"/>
      <c r="I20" s="6"/>
    </row>
    <row r="21" spans="1:9" x14ac:dyDescent="0.2">
      <c r="A21" s="5" t="s">
        <v>10</v>
      </c>
      <c r="B21" s="16" t="s">
        <v>305</v>
      </c>
      <c r="C21" s="16" t="s">
        <v>311</v>
      </c>
      <c r="D21" s="243" t="s">
        <v>623</v>
      </c>
      <c r="E21" s="244"/>
      <c r="F21" s="16" t="s">
        <v>1041</v>
      </c>
      <c r="G21" s="27">
        <v>41.74</v>
      </c>
      <c r="H21" s="91">
        <v>0</v>
      </c>
      <c r="I21" s="6"/>
    </row>
    <row r="22" spans="1:9" ht="12.2" customHeight="1" x14ac:dyDescent="0.2">
      <c r="A22" s="5"/>
      <c r="B22" s="16"/>
      <c r="C22" s="16"/>
      <c r="D22" s="85" t="s">
        <v>1162</v>
      </c>
      <c r="E22" s="267" t="s">
        <v>1585</v>
      </c>
      <c r="F22" s="267"/>
      <c r="G22" s="87">
        <v>41.74</v>
      </c>
      <c r="H22" s="39"/>
      <c r="I22" s="6"/>
    </row>
    <row r="23" spans="1:9" x14ac:dyDescent="0.2">
      <c r="A23" s="5" t="s">
        <v>11</v>
      </c>
      <c r="B23" s="16" t="s">
        <v>305</v>
      </c>
      <c r="C23" s="16" t="s">
        <v>312</v>
      </c>
      <c r="D23" s="243" t="s">
        <v>625</v>
      </c>
      <c r="E23" s="244"/>
      <c r="F23" s="16" t="s">
        <v>1041</v>
      </c>
      <c r="G23" s="27">
        <v>41.74</v>
      </c>
      <c r="H23" s="91">
        <v>0</v>
      </c>
      <c r="I23" s="6"/>
    </row>
    <row r="24" spans="1:9" ht="12.2" customHeight="1" x14ac:dyDescent="0.2">
      <c r="A24" s="5"/>
      <c r="B24" s="16"/>
      <c r="C24" s="16"/>
      <c r="D24" s="85" t="s">
        <v>1162</v>
      </c>
      <c r="E24" s="267" t="s">
        <v>1586</v>
      </c>
      <c r="F24" s="267"/>
      <c r="G24" s="87">
        <v>41.74</v>
      </c>
      <c r="H24" s="39"/>
      <c r="I24" s="6"/>
    </row>
    <row r="25" spans="1:9" x14ac:dyDescent="0.2">
      <c r="A25" s="82"/>
      <c r="B25" s="15"/>
      <c r="C25" s="15" t="s">
        <v>19</v>
      </c>
      <c r="D25" s="237" t="s">
        <v>626</v>
      </c>
      <c r="E25" s="238"/>
      <c r="F25" s="15"/>
      <c r="G25" s="51"/>
      <c r="H25" s="38"/>
      <c r="I25" s="6"/>
    </row>
    <row r="26" spans="1:9" x14ac:dyDescent="0.2">
      <c r="A26" s="5" t="s">
        <v>12</v>
      </c>
      <c r="B26" s="16" t="s">
        <v>305</v>
      </c>
      <c r="C26" s="16" t="s">
        <v>313</v>
      </c>
      <c r="D26" s="243" t="s">
        <v>627</v>
      </c>
      <c r="E26" s="244"/>
      <c r="F26" s="16" t="s">
        <v>1041</v>
      </c>
      <c r="G26" s="27">
        <v>344.62</v>
      </c>
      <c r="H26" s="91">
        <v>0</v>
      </c>
      <c r="I26" s="6"/>
    </row>
    <row r="27" spans="1:9" ht="12.2" customHeight="1" x14ac:dyDescent="0.2">
      <c r="A27" s="5"/>
      <c r="B27" s="16"/>
      <c r="C27" s="16"/>
      <c r="D27" s="85" t="s">
        <v>1163</v>
      </c>
      <c r="E27" s="267" t="s">
        <v>1587</v>
      </c>
      <c r="F27" s="267"/>
      <c r="G27" s="87">
        <v>324.94</v>
      </c>
      <c r="H27" s="39"/>
      <c r="I27" s="6"/>
    </row>
    <row r="28" spans="1:9" ht="12.2" customHeight="1" x14ac:dyDescent="0.2">
      <c r="A28" s="5"/>
      <c r="B28" s="16"/>
      <c r="C28" s="16"/>
      <c r="D28" s="85" t="s">
        <v>1164</v>
      </c>
      <c r="E28" s="267" t="s">
        <v>1588</v>
      </c>
      <c r="F28" s="267"/>
      <c r="G28" s="87">
        <v>19.68</v>
      </c>
      <c r="H28" s="39"/>
      <c r="I28" s="6"/>
    </row>
    <row r="29" spans="1:9" x14ac:dyDescent="0.2">
      <c r="A29" s="5" t="s">
        <v>13</v>
      </c>
      <c r="B29" s="16" t="s">
        <v>305</v>
      </c>
      <c r="C29" s="16" t="s">
        <v>314</v>
      </c>
      <c r="D29" s="243" t="s">
        <v>628</v>
      </c>
      <c r="E29" s="244"/>
      <c r="F29" s="16" t="s">
        <v>1041</v>
      </c>
      <c r="G29" s="27">
        <v>344.62</v>
      </c>
      <c r="H29" s="91">
        <v>0</v>
      </c>
      <c r="I29" s="6"/>
    </row>
    <row r="30" spans="1:9" ht="12.2" customHeight="1" x14ac:dyDescent="0.2">
      <c r="A30" s="5"/>
      <c r="B30" s="16"/>
      <c r="C30" s="16"/>
      <c r="D30" s="85" t="s">
        <v>1165</v>
      </c>
      <c r="E30" s="267"/>
      <c r="F30" s="267"/>
      <c r="G30" s="87">
        <v>344.62</v>
      </c>
      <c r="H30" s="39"/>
      <c r="I30" s="6"/>
    </row>
    <row r="31" spans="1:9" x14ac:dyDescent="0.2">
      <c r="A31" s="5" t="s">
        <v>14</v>
      </c>
      <c r="B31" s="16" t="s">
        <v>305</v>
      </c>
      <c r="C31" s="16" t="s">
        <v>315</v>
      </c>
      <c r="D31" s="243" t="s">
        <v>629</v>
      </c>
      <c r="E31" s="244"/>
      <c r="F31" s="16" t="s">
        <v>1041</v>
      </c>
      <c r="G31" s="27">
        <v>13.04</v>
      </c>
      <c r="H31" s="91">
        <v>0</v>
      </c>
      <c r="I31" s="6"/>
    </row>
    <row r="32" spans="1:9" ht="12.2" customHeight="1" x14ac:dyDescent="0.2">
      <c r="A32" s="5"/>
      <c r="B32" s="16"/>
      <c r="C32" s="16"/>
      <c r="D32" s="85" t="s">
        <v>1166</v>
      </c>
      <c r="E32" s="267" t="s">
        <v>1589</v>
      </c>
      <c r="F32" s="267"/>
      <c r="G32" s="87">
        <v>4.5</v>
      </c>
      <c r="H32" s="39"/>
      <c r="I32" s="6"/>
    </row>
    <row r="33" spans="1:9" ht="12.2" customHeight="1" x14ac:dyDescent="0.2">
      <c r="A33" s="5"/>
      <c r="B33" s="16"/>
      <c r="C33" s="16"/>
      <c r="D33" s="85" t="s">
        <v>1167</v>
      </c>
      <c r="E33" s="267" t="s">
        <v>1590</v>
      </c>
      <c r="F33" s="267"/>
      <c r="G33" s="87">
        <v>5.3</v>
      </c>
      <c r="H33" s="39"/>
      <c r="I33" s="6"/>
    </row>
    <row r="34" spans="1:9" ht="12.2" customHeight="1" x14ac:dyDescent="0.2">
      <c r="A34" s="5"/>
      <c r="B34" s="16"/>
      <c r="C34" s="16"/>
      <c r="D34" s="85" t="s">
        <v>1168</v>
      </c>
      <c r="E34" s="267" t="s">
        <v>1591</v>
      </c>
      <c r="F34" s="267"/>
      <c r="G34" s="87">
        <v>3.24</v>
      </c>
      <c r="H34" s="39"/>
      <c r="I34" s="6"/>
    </row>
    <row r="35" spans="1:9" x14ac:dyDescent="0.2">
      <c r="A35" s="5" t="s">
        <v>15</v>
      </c>
      <c r="B35" s="16" t="s">
        <v>305</v>
      </c>
      <c r="C35" s="16" t="s">
        <v>316</v>
      </c>
      <c r="D35" s="243" t="s">
        <v>630</v>
      </c>
      <c r="E35" s="244"/>
      <c r="F35" s="16" t="s">
        <v>1041</v>
      </c>
      <c r="G35" s="27">
        <v>13.04</v>
      </c>
      <c r="H35" s="91">
        <v>0</v>
      </c>
      <c r="I35" s="6"/>
    </row>
    <row r="36" spans="1:9" x14ac:dyDescent="0.2">
      <c r="A36" s="5" t="s">
        <v>16</v>
      </c>
      <c r="B36" s="16" t="s">
        <v>305</v>
      </c>
      <c r="C36" s="16" t="s">
        <v>317</v>
      </c>
      <c r="D36" s="243" t="s">
        <v>631</v>
      </c>
      <c r="E36" s="244"/>
      <c r="F36" s="16" t="s">
        <v>1041</v>
      </c>
      <c r="G36" s="27">
        <v>21.38</v>
      </c>
      <c r="H36" s="91">
        <v>0</v>
      </c>
      <c r="I36" s="6"/>
    </row>
    <row r="37" spans="1:9" ht="12.2" customHeight="1" x14ac:dyDescent="0.2">
      <c r="A37" s="5"/>
      <c r="B37" s="16"/>
      <c r="C37" s="16"/>
      <c r="D37" s="85" t="s">
        <v>1169</v>
      </c>
      <c r="E37" s="267" t="s">
        <v>1592</v>
      </c>
      <c r="F37" s="267"/>
      <c r="G37" s="87">
        <v>21.38</v>
      </c>
      <c r="H37" s="39"/>
      <c r="I37" s="6"/>
    </row>
    <row r="38" spans="1:9" x14ac:dyDescent="0.2">
      <c r="A38" s="5" t="s">
        <v>17</v>
      </c>
      <c r="B38" s="16" t="s">
        <v>305</v>
      </c>
      <c r="C38" s="16" t="s">
        <v>318</v>
      </c>
      <c r="D38" s="243" t="s">
        <v>632</v>
      </c>
      <c r="E38" s="244"/>
      <c r="F38" s="16" t="s">
        <v>1041</v>
      </c>
      <c r="G38" s="27">
        <v>21.38</v>
      </c>
      <c r="H38" s="91">
        <v>0</v>
      </c>
      <c r="I38" s="6"/>
    </row>
    <row r="39" spans="1:9" ht="12.2" customHeight="1" x14ac:dyDescent="0.2">
      <c r="A39" s="5"/>
      <c r="B39" s="16"/>
      <c r="C39" s="16"/>
      <c r="D39" s="85" t="s">
        <v>1170</v>
      </c>
      <c r="E39" s="267"/>
      <c r="F39" s="267"/>
      <c r="G39" s="87">
        <v>21.38</v>
      </c>
      <c r="H39" s="39"/>
      <c r="I39" s="6"/>
    </row>
    <row r="40" spans="1:9" x14ac:dyDescent="0.2">
      <c r="A40" s="5" t="s">
        <v>18</v>
      </c>
      <c r="B40" s="16" t="s">
        <v>305</v>
      </c>
      <c r="C40" s="16" t="s">
        <v>319</v>
      </c>
      <c r="D40" s="243" t="s">
        <v>633</v>
      </c>
      <c r="E40" s="244"/>
      <c r="F40" s="16" t="s">
        <v>1041</v>
      </c>
      <c r="G40" s="27">
        <v>1.24</v>
      </c>
      <c r="H40" s="91">
        <v>0</v>
      </c>
      <c r="I40" s="6"/>
    </row>
    <row r="41" spans="1:9" ht="12.2" customHeight="1" x14ac:dyDescent="0.2">
      <c r="A41" s="5"/>
      <c r="B41" s="16"/>
      <c r="C41" s="16"/>
      <c r="D41" s="85" t="s">
        <v>1171</v>
      </c>
      <c r="E41" s="267" t="s">
        <v>1593</v>
      </c>
      <c r="F41" s="267"/>
      <c r="G41" s="87">
        <v>1.24</v>
      </c>
      <c r="H41" s="39"/>
      <c r="I41" s="6"/>
    </row>
    <row r="42" spans="1:9" x14ac:dyDescent="0.2">
      <c r="A42" s="5" t="s">
        <v>19</v>
      </c>
      <c r="B42" s="16" t="s">
        <v>305</v>
      </c>
      <c r="C42" s="16" t="s">
        <v>320</v>
      </c>
      <c r="D42" s="243" t="s">
        <v>634</v>
      </c>
      <c r="E42" s="244"/>
      <c r="F42" s="16" t="s">
        <v>1041</v>
      </c>
      <c r="G42" s="27">
        <v>1.24</v>
      </c>
      <c r="H42" s="91">
        <v>0</v>
      </c>
      <c r="I42" s="6"/>
    </row>
    <row r="43" spans="1:9" ht="12.2" customHeight="1" x14ac:dyDescent="0.2">
      <c r="A43" s="5"/>
      <c r="B43" s="16"/>
      <c r="C43" s="16"/>
      <c r="D43" s="85" t="s">
        <v>1172</v>
      </c>
      <c r="E43" s="267"/>
      <c r="F43" s="267"/>
      <c r="G43" s="87">
        <v>1.24</v>
      </c>
      <c r="H43" s="39"/>
      <c r="I43" s="6"/>
    </row>
    <row r="44" spans="1:9" x14ac:dyDescent="0.2">
      <c r="A44" s="5" t="s">
        <v>20</v>
      </c>
      <c r="B44" s="16" t="s">
        <v>307</v>
      </c>
      <c r="C44" s="16" t="s">
        <v>603</v>
      </c>
      <c r="D44" s="243" t="s">
        <v>1020</v>
      </c>
      <c r="E44" s="244"/>
      <c r="F44" s="16" t="s">
        <v>1041</v>
      </c>
      <c r="G44" s="27">
        <v>6.4</v>
      </c>
      <c r="H44" s="91">
        <v>0</v>
      </c>
      <c r="I44" s="6"/>
    </row>
    <row r="45" spans="1:9" ht="12.2" customHeight="1" x14ac:dyDescent="0.2">
      <c r="A45" s="5"/>
      <c r="B45" s="16"/>
      <c r="C45" s="16"/>
      <c r="D45" s="85" t="s">
        <v>1173</v>
      </c>
      <c r="E45" s="267" t="s">
        <v>1594</v>
      </c>
      <c r="F45" s="267"/>
      <c r="G45" s="87">
        <v>6.4</v>
      </c>
      <c r="H45" s="39"/>
      <c r="I45" s="6"/>
    </row>
    <row r="46" spans="1:9" x14ac:dyDescent="0.2">
      <c r="A46" s="5" t="s">
        <v>21</v>
      </c>
      <c r="B46" s="16" t="s">
        <v>306</v>
      </c>
      <c r="C46" s="16" t="s">
        <v>580</v>
      </c>
      <c r="D46" s="243" t="s">
        <v>985</v>
      </c>
      <c r="E46" s="244"/>
      <c r="F46" s="16" t="s">
        <v>1041</v>
      </c>
      <c r="G46" s="27">
        <v>20.059999999999999</v>
      </c>
      <c r="H46" s="91">
        <v>0</v>
      </c>
      <c r="I46" s="6"/>
    </row>
    <row r="47" spans="1:9" ht="12.2" customHeight="1" x14ac:dyDescent="0.2">
      <c r="A47" s="5"/>
      <c r="B47" s="16"/>
      <c r="C47" s="16"/>
      <c r="D47" s="85" t="s">
        <v>1174</v>
      </c>
      <c r="E47" s="267" t="s">
        <v>1595</v>
      </c>
      <c r="F47" s="267"/>
      <c r="G47" s="87">
        <v>20.059999999999999</v>
      </c>
      <c r="H47" s="39"/>
      <c r="I47" s="6"/>
    </row>
    <row r="48" spans="1:9" x14ac:dyDescent="0.2">
      <c r="A48" s="82"/>
      <c r="B48" s="15"/>
      <c r="C48" s="15" t="s">
        <v>22</v>
      </c>
      <c r="D48" s="237" t="s">
        <v>635</v>
      </c>
      <c r="E48" s="238"/>
      <c r="F48" s="15"/>
      <c r="G48" s="51"/>
      <c r="H48" s="38"/>
      <c r="I48" s="6"/>
    </row>
    <row r="49" spans="1:9" x14ac:dyDescent="0.2">
      <c r="A49" s="5" t="s">
        <v>22</v>
      </c>
      <c r="B49" s="16" t="s">
        <v>305</v>
      </c>
      <c r="C49" s="16" t="s">
        <v>321</v>
      </c>
      <c r="D49" s="243" t="s">
        <v>636</v>
      </c>
      <c r="E49" s="244"/>
      <c r="F49" s="16" t="s">
        <v>1041</v>
      </c>
      <c r="G49" s="27">
        <v>759.96</v>
      </c>
      <c r="H49" s="91">
        <v>0</v>
      </c>
      <c r="I49" s="6"/>
    </row>
    <row r="50" spans="1:9" ht="12.2" customHeight="1" x14ac:dyDescent="0.2">
      <c r="A50" s="5"/>
      <c r="B50" s="16"/>
      <c r="C50" s="16"/>
      <c r="D50" s="85" t="s">
        <v>1175</v>
      </c>
      <c r="E50" s="267" t="s">
        <v>1596</v>
      </c>
      <c r="F50" s="267"/>
      <c r="G50" s="87">
        <v>422.02</v>
      </c>
      <c r="H50" s="39"/>
      <c r="I50" s="6"/>
    </row>
    <row r="51" spans="1:9" ht="12.2" customHeight="1" x14ac:dyDescent="0.2">
      <c r="A51" s="5"/>
      <c r="B51" s="16"/>
      <c r="C51" s="16"/>
      <c r="D51" s="85" t="s">
        <v>1176</v>
      </c>
      <c r="E51" s="267" t="s">
        <v>1597</v>
      </c>
      <c r="F51" s="267"/>
      <c r="G51" s="87">
        <v>84.46</v>
      </c>
      <c r="H51" s="39"/>
      <c r="I51" s="6"/>
    </row>
    <row r="52" spans="1:9" ht="12.2" customHeight="1" x14ac:dyDescent="0.2">
      <c r="A52" s="5"/>
      <c r="B52" s="16"/>
      <c r="C52" s="16"/>
      <c r="D52" s="85" t="s">
        <v>1177</v>
      </c>
      <c r="E52" s="267" t="s">
        <v>1598</v>
      </c>
      <c r="F52" s="267"/>
      <c r="G52" s="87">
        <v>9.0299999999999994</v>
      </c>
      <c r="H52" s="39"/>
      <c r="I52" s="6"/>
    </row>
    <row r="53" spans="1:9" ht="12.2" customHeight="1" x14ac:dyDescent="0.2">
      <c r="A53" s="5"/>
      <c r="B53" s="16"/>
      <c r="C53" s="16"/>
      <c r="D53" s="85" t="s">
        <v>1178</v>
      </c>
      <c r="E53" s="267" t="s">
        <v>1599</v>
      </c>
      <c r="F53" s="267"/>
      <c r="G53" s="87">
        <v>244.45</v>
      </c>
      <c r="H53" s="39"/>
      <c r="I53" s="6"/>
    </row>
    <row r="54" spans="1:9" ht="25.7" customHeight="1" x14ac:dyDescent="0.2">
      <c r="A54" s="6"/>
      <c r="C54" s="84" t="s">
        <v>302</v>
      </c>
      <c r="D54" s="248" t="s">
        <v>637</v>
      </c>
      <c r="E54" s="249"/>
      <c r="F54" s="249"/>
      <c r="G54" s="249"/>
      <c r="H54" s="92"/>
      <c r="I54" s="6"/>
    </row>
    <row r="55" spans="1:9" x14ac:dyDescent="0.2">
      <c r="A55" s="5" t="s">
        <v>23</v>
      </c>
      <c r="B55" s="16" t="s">
        <v>305</v>
      </c>
      <c r="C55" s="16" t="s">
        <v>322</v>
      </c>
      <c r="D55" s="243" t="s">
        <v>639</v>
      </c>
      <c r="E55" s="244"/>
      <c r="F55" s="16" t="s">
        <v>1041</v>
      </c>
      <c r="G55" s="27">
        <v>337.94</v>
      </c>
      <c r="H55" s="91">
        <v>0</v>
      </c>
      <c r="I55" s="6"/>
    </row>
    <row r="56" spans="1:9" ht="12.2" customHeight="1" x14ac:dyDescent="0.2">
      <c r="A56" s="5"/>
      <c r="B56" s="16"/>
      <c r="C56" s="16"/>
      <c r="D56" s="85" t="s">
        <v>1176</v>
      </c>
      <c r="E56" s="267" t="s">
        <v>1597</v>
      </c>
      <c r="F56" s="267"/>
      <c r="G56" s="87">
        <v>84.46</v>
      </c>
      <c r="H56" s="39"/>
      <c r="I56" s="6"/>
    </row>
    <row r="57" spans="1:9" ht="12.2" customHeight="1" x14ac:dyDescent="0.2">
      <c r="A57" s="5"/>
      <c r="B57" s="16"/>
      <c r="C57" s="16"/>
      <c r="D57" s="85" t="s">
        <v>1177</v>
      </c>
      <c r="E57" s="267" t="s">
        <v>1598</v>
      </c>
      <c r="F57" s="267"/>
      <c r="G57" s="87">
        <v>9.0299999999999994</v>
      </c>
      <c r="H57" s="39"/>
      <c r="I57" s="6"/>
    </row>
    <row r="58" spans="1:9" ht="12.2" customHeight="1" x14ac:dyDescent="0.2">
      <c r="A58" s="5"/>
      <c r="B58" s="16"/>
      <c r="C58" s="16"/>
      <c r="D58" s="85" t="s">
        <v>1178</v>
      </c>
      <c r="E58" s="267" t="s">
        <v>1599</v>
      </c>
      <c r="F58" s="267"/>
      <c r="G58" s="87">
        <v>244.45</v>
      </c>
      <c r="H58" s="39"/>
      <c r="I58" s="6"/>
    </row>
    <row r="59" spans="1:9" x14ac:dyDescent="0.2">
      <c r="A59" s="5" t="s">
        <v>24</v>
      </c>
      <c r="B59" s="16" t="s">
        <v>307</v>
      </c>
      <c r="C59" s="16" t="s">
        <v>321</v>
      </c>
      <c r="D59" s="243" t="s">
        <v>636</v>
      </c>
      <c r="E59" s="244"/>
      <c r="F59" s="16" t="s">
        <v>1041</v>
      </c>
      <c r="G59" s="27">
        <v>6.4</v>
      </c>
      <c r="H59" s="91">
        <v>0</v>
      </c>
      <c r="I59" s="6"/>
    </row>
    <row r="60" spans="1:9" ht="12.2" customHeight="1" x14ac:dyDescent="0.2">
      <c r="A60" s="5"/>
      <c r="B60" s="16"/>
      <c r="C60" s="16"/>
      <c r="D60" s="85" t="s">
        <v>1173</v>
      </c>
      <c r="E60" s="267" t="s">
        <v>1594</v>
      </c>
      <c r="F60" s="267"/>
      <c r="G60" s="87">
        <v>6.4</v>
      </c>
      <c r="H60" s="39"/>
      <c r="I60" s="6"/>
    </row>
    <row r="61" spans="1:9" x14ac:dyDescent="0.2">
      <c r="A61" s="5" t="s">
        <v>25</v>
      </c>
      <c r="B61" s="16" t="s">
        <v>306</v>
      </c>
      <c r="C61" s="16" t="s">
        <v>321</v>
      </c>
      <c r="D61" s="243" t="s">
        <v>636</v>
      </c>
      <c r="E61" s="244"/>
      <c r="F61" s="16" t="s">
        <v>1041</v>
      </c>
      <c r="G61" s="27">
        <v>20.059999999999999</v>
      </c>
      <c r="H61" s="91">
        <v>0</v>
      </c>
      <c r="I61" s="6"/>
    </row>
    <row r="62" spans="1:9" ht="12.2" customHeight="1" x14ac:dyDescent="0.2">
      <c r="A62" s="5"/>
      <c r="B62" s="16"/>
      <c r="C62" s="16"/>
      <c r="D62" s="85" t="s">
        <v>1174</v>
      </c>
      <c r="E62" s="267" t="s">
        <v>1595</v>
      </c>
      <c r="F62" s="267"/>
      <c r="G62" s="87">
        <v>20.059999999999999</v>
      </c>
      <c r="H62" s="39"/>
      <c r="I62" s="6"/>
    </row>
    <row r="63" spans="1:9" x14ac:dyDescent="0.2">
      <c r="A63" s="82"/>
      <c r="B63" s="15"/>
      <c r="C63" s="15" t="s">
        <v>23</v>
      </c>
      <c r="D63" s="237" t="s">
        <v>640</v>
      </c>
      <c r="E63" s="238"/>
      <c r="F63" s="15"/>
      <c r="G63" s="51"/>
      <c r="H63" s="38"/>
      <c r="I63" s="6"/>
    </row>
    <row r="64" spans="1:9" x14ac:dyDescent="0.2">
      <c r="A64" s="5" t="s">
        <v>26</v>
      </c>
      <c r="B64" s="16" t="s">
        <v>305</v>
      </c>
      <c r="C64" s="16" t="s">
        <v>323</v>
      </c>
      <c r="D64" s="243" t="s">
        <v>641</v>
      </c>
      <c r="E64" s="244"/>
      <c r="F64" s="16" t="s">
        <v>1041</v>
      </c>
      <c r="G64" s="27">
        <v>93.49</v>
      </c>
      <c r="H64" s="91">
        <v>0</v>
      </c>
      <c r="I64" s="6"/>
    </row>
    <row r="65" spans="1:9" ht="12.2" customHeight="1" x14ac:dyDescent="0.2">
      <c r="A65" s="5"/>
      <c r="B65" s="16"/>
      <c r="C65" s="16"/>
      <c r="D65" s="85" t="s">
        <v>1176</v>
      </c>
      <c r="E65" s="267" t="s">
        <v>1597</v>
      </c>
      <c r="F65" s="267"/>
      <c r="G65" s="87">
        <v>84.46</v>
      </c>
      <c r="H65" s="39"/>
      <c r="I65" s="6"/>
    </row>
    <row r="66" spans="1:9" ht="12.2" customHeight="1" x14ac:dyDescent="0.2">
      <c r="A66" s="5"/>
      <c r="B66" s="16"/>
      <c r="C66" s="16"/>
      <c r="D66" s="85" t="s">
        <v>1177</v>
      </c>
      <c r="E66" s="267" t="s">
        <v>1598</v>
      </c>
      <c r="F66" s="267"/>
      <c r="G66" s="87">
        <v>9.0299999999999994</v>
      </c>
      <c r="H66" s="39"/>
      <c r="I66" s="6"/>
    </row>
    <row r="67" spans="1:9" x14ac:dyDescent="0.2">
      <c r="A67" s="124" t="s">
        <v>27</v>
      </c>
      <c r="B67" s="124" t="s">
        <v>305</v>
      </c>
      <c r="C67" s="124" t="s">
        <v>324</v>
      </c>
      <c r="D67" s="274" t="s">
        <v>643</v>
      </c>
      <c r="E67" s="275"/>
      <c r="F67" s="124" t="s">
        <v>1041</v>
      </c>
      <c r="G67" s="126">
        <v>244.45</v>
      </c>
      <c r="H67" s="121">
        <v>0</v>
      </c>
      <c r="I67" s="123"/>
    </row>
    <row r="68" spans="1:9" ht="12.2" customHeight="1" x14ac:dyDescent="0.2">
      <c r="A68" s="124"/>
      <c r="B68" s="124"/>
      <c r="C68" s="124"/>
      <c r="D68" s="130" t="s">
        <v>1179</v>
      </c>
      <c r="E68" s="270" t="s">
        <v>1600</v>
      </c>
      <c r="F68" s="271"/>
      <c r="G68" s="131">
        <v>261.83999999999997</v>
      </c>
      <c r="H68" s="127"/>
      <c r="I68" s="123"/>
    </row>
    <row r="69" spans="1:9" ht="12.2" customHeight="1" x14ac:dyDescent="0.2">
      <c r="A69" s="124"/>
      <c r="B69" s="124"/>
      <c r="C69" s="124"/>
      <c r="D69" s="130" t="s">
        <v>1180</v>
      </c>
      <c r="E69" s="270" t="s">
        <v>1601</v>
      </c>
      <c r="F69" s="271"/>
      <c r="G69" s="131">
        <v>-2.74</v>
      </c>
      <c r="H69" s="127"/>
      <c r="I69" s="123"/>
    </row>
    <row r="70" spans="1:9" ht="12.2" customHeight="1" x14ac:dyDescent="0.2">
      <c r="A70" s="124"/>
      <c r="B70" s="124"/>
      <c r="C70" s="124"/>
      <c r="D70" s="130" t="s">
        <v>1181</v>
      </c>
      <c r="E70" s="270" t="s">
        <v>1602</v>
      </c>
      <c r="F70" s="271"/>
      <c r="G70" s="131">
        <v>-7.88</v>
      </c>
      <c r="H70" s="127"/>
      <c r="I70" s="123"/>
    </row>
    <row r="71" spans="1:9" ht="12.2" customHeight="1" x14ac:dyDescent="0.2">
      <c r="A71" s="124"/>
      <c r="B71" s="124"/>
      <c r="C71" s="124"/>
      <c r="D71" s="130" t="s">
        <v>1182</v>
      </c>
      <c r="E71" s="270" t="s">
        <v>1603</v>
      </c>
      <c r="F71" s="271"/>
      <c r="G71" s="131">
        <v>-4.1900000000000004</v>
      </c>
      <c r="H71" s="127"/>
      <c r="I71" s="123"/>
    </row>
    <row r="72" spans="1:9" ht="12.2" customHeight="1" x14ac:dyDescent="0.2">
      <c r="A72" s="120"/>
      <c r="B72" s="120"/>
      <c r="C72" s="120"/>
      <c r="D72" s="125" t="s">
        <v>1183</v>
      </c>
      <c r="E72" s="268" t="s">
        <v>1603</v>
      </c>
      <c r="F72" s="269"/>
      <c r="G72" s="129">
        <v>-2.58</v>
      </c>
      <c r="H72" s="128"/>
      <c r="I72" s="123"/>
    </row>
    <row r="73" spans="1:9" x14ac:dyDescent="0.2">
      <c r="A73" s="82"/>
      <c r="B73" s="15"/>
      <c r="C73" s="15" t="s">
        <v>33</v>
      </c>
      <c r="D73" s="237" t="s">
        <v>645</v>
      </c>
      <c r="E73" s="238"/>
      <c r="F73" s="15"/>
      <c r="G73" s="51"/>
      <c r="H73" s="38"/>
      <c r="I73" s="6"/>
    </row>
    <row r="74" spans="1:9" x14ac:dyDescent="0.2">
      <c r="A74" s="5" t="s">
        <v>28</v>
      </c>
      <c r="B74" s="16" t="s">
        <v>305</v>
      </c>
      <c r="C74" s="16" t="s">
        <v>325</v>
      </c>
      <c r="D74" s="243" t="s">
        <v>646</v>
      </c>
      <c r="E74" s="244"/>
      <c r="F74" s="16" t="s">
        <v>1041</v>
      </c>
      <c r="G74" s="27">
        <v>15.93</v>
      </c>
      <c r="H74" s="91">
        <v>0</v>
      </c>
      <c r="I74" s="6"/>
    </row>
    <row r="75" spans="1:9" ht="12.2" customHeight="1" x14ac:dyDescent="0.2">
      <c r="A75" s="5"/>
      <c r="B75" s="16"/>
      <c r="C75" s="16"/>
      <c r="D75" s="85" t="s">
        <v>1184</v>
      </c>
      <c r="E75" s="267" t="s">
        <v>1604</v>
      </c>
      <c r="F75" s="267"/>
      <c r="G75" s="87">
        <v>14.21</v>
      </c>
      <c r="H75" s="39"/>
      <c r="I75" s="6"/>
    </row>
    <row r="76" spans="1:9" ht="12.2" customHeight="1" x14ac:dyDescent="0.2">
      <c r="A76" s="5"/>
      <c r="B76" s="16"/>
      <c r="C76" s="16"/>
      <c r="D76" s="85" t="s">
        <v>1185</v>
      </c>
      <c r="E76" s="267" t="s">
        <v>1605</v>
      </c>
      <c r="F76" s="267"/>
      <c r="G76" s="87">
        <v>1.72</v>
      </c>
      <c r="H76" s="39"/>
      <c r="I76" s="6"/>
    </row>
    <row r="77" spans="1:9" x14ac:dyDescent="0.2">
      <c r="A77" s="5" t="s">
        <v>29</v>
      </c>
      <c r="B77" s="16" t="s">
        <v>305</v>
      </c>
      <c r="C77" s="16" t="s">
        <v>326</v>
      </c>
      <c r="D77" s="243" t="s">
        <v>648</v>
      </c>
      <c r="E77" s="244"/>
      <c r="F77" s="16" t="s">
        <v>1041</v>
      </c>
      <c r="G77" s="27">
        <v>11.43</v>
      </c>
      <c r="H77" s="91">
        <v>0</v>
      </c>
      <c r="I77" s="6"/>
    </row>
    <row r="78" spans="1:9" ht="12.2" customHeight="1" x14ac:dyDescent="0.2">
      <c r="A78" s="5"/>
      <c r="B78" s="16"/>
      <c r="C78" s="16"/>
      <c r="D78" s="85" t="s">
        <v>1186</v>
      </c>
      <c r="E78" s="267" t="s">
        <v>1606</v>
      </c>
      <c r="F78" s="267"/>
      <c r="G78" s="87">
        <v>5.68</v>
      </c>
      <c r="H78" s="39"/>
      <c r="I78" s="6"/>
    </row>
    <row r="79" spans="1:9" ht="12.2" customHeight="1" x14ac:dyDescent="0.2">
      <c r="A79" s="5"/>
      <c r="B79" s="16"/>
      <c r="C79" s="16"/>
      <c r="D79" s="85" t="s">
        <v>1187</v>
      </c>
      <c r="E79" s="267" t="s">
        <v>1607</v>
      </c>
      <c r="F79" s="267"/>
      <c r="G79" s="87">
        <v>5.75</v>
      </c>
      <c r="H79" s="39"/>
      <c r="I79" s="6"/>
    </row>
    <row r="80" spans="1:9" x14ac:dyDescent="0.2">
      <c r="A80" s="5" t="s">
        <v>30</v>
      </c>
      <c r="B80" s="16" t="s">
        <v>305</v>
      </c>
      <c r="C80" s="16" t="s">
        <v>327</v>
      </c>
      <c r="D80" s="243" t="s">
        <v>649</v>
      </c>
      <c r="E80" s="244"/>
      <c r="F80" s="16" t="s">
        <v>1041</v>
      </c>
      <c r="G80" s="27">
        <v>34.380000000000003</v>
      </c>
      <c r="H80" s="91">
        <v>0</v>
      </c>
      <c r="I80" s="6"/>
    </row>
    <row r="81" spans="1:9" ht="12.2" customHeight="1" x14ac:dyDescent="0.2">
      <c r="A81" s="5"/>
      <c r="B81" s="16"/>
      <c r="C81" s="16"/>
      <c r="D81" s="85" t="s">
        <v>1188</v>
      </c>
      <c r="E81" s="267" t="s">
        <v>1608</v>
      </c>
      <c r="F81" s="267"/>
      <c r="G81" s="87">
        <v>1.49</v>
      </c>
      <c r="H81" s="39"/>
      <c r="I81" s="6"/>
    </row>
    <row r="82" spans="1:9" ht="12.2" customHeight="1" x14ac:dyDescent="0.2">
      <c r="A82" s="5"/>
      <c r="B82" s="16"/>
      <c r="C82" s="16"/>
      <c r="D82" s="85" t="s">
        <v>1189</v>
      </c>
      <c r="E82" s="267" t="s">
        <v>1609</v>
      </c>
      <c r="F82" s="267"/>
      <c r="G82" s="87">
        <v>32.89</v>
      </c>
      <c r="H82" s="39"/>
      <c r="I82" s="6"/>
    </row>
    <row r="83" spans="1:9" x14ac:dyDescent="0.2">
      <c r="A83" s="5" t="s">
        <v>31</v>
      </c>
      <c r="B83" s="16" t="s">
        <v>305</v>
      </c>
      <c r="C83" s="16" t="s">
        <v>328</v>
      </c>
      <c r="D83" s="243" t="s">
        <v>651</v>
      </c>
      <c r="E83" s="244"/>
      <c r="F83" s="16" t="s">
        <v>1042</v>
      </c>
      <c r="G83" s="27">
        <v>26.88</v>
      </c>
      <c r="H83" s="91">
        <v>0</v>
      </c>
      <c r="I83" s="6"/>
    </row>
    <row r="84" spans="1:9" ht="12.2" customHeight="1" x14ac:dyDescent="0.2">
      <c r="A84" s="5"/>
      <c r="B84" s="16"/>
      <c r="C84" s="16"/>
      <c r="D84" s="85" t="s">
        <v>1190</v>
      </c>
      <c r="E84" s="267" t="s">
        <v>1608</v>
      </c>
      <c r="F84" s="267"/>
      <c r="G84" s="87">
        <v>1.3</v>
      </c>
      <c r="H84" s="39"/>
      <c r="I84" s="6"/>
    </row>
    <row r="85" spans="1:9" ht="12.2" customHeight="1" x14ac:dyDescent="0.2">
      <c r="A85" s="5"/>
      <c r="B85" s="16"/>
      <c r="C85" s="16"/>
      <c r="D85" s="85" t="s">
        <v>1191</v>
      </c>
      <c r="E85" s="267" t="s">
        <v>1609</v>
      </c>
      <c r="F85" s="267"/>
      <c r="G85" s="87">
        <v>25.58</v>
      </c>
      <c r="H85" s="39"/>
      <c r="I85" s="6"/>
    </row>
    <row r="86" spans="1:9" x14ac:dyDescent="0.2">
      <c r="A86" s="5" t="s">
        <v>32</v>
      </c>
      <c r="B86" s="16" t="s">
        <v>305</v>
      </c>
      <c r="C86" s="16" t="s">
        <v>329</v>
      </c>
      <c r="D86" s="243" t="s">
        <v>652</v>
      </c>
      <c r="E86" s="244"/>
      <c r="F86" s="16" t="s">
        <v>1042</v>
      </c>
      <c r="G86" s="27">
        <v>26.88</v>
      </c>
      <c r="H86" s="91">
        <v>0</v>
      </c>
      <c r="I86" s="6"/>
    </row>
    <row r="87" spans="1:9" x14ac:dyDescent="0.2">
      <c r="A87" s="5" t="s">
        <v>33</v>
      </c>
      <c r="B87" s="16" t="s">
        <v>305</v>
      </c>
      <c r="C87" s="16" t="s">
        <v>330</v>
      </c>
      <c r="D87" s="243" t="s">
        <v>653</v>
      </c>
      <c r="E87" s="244"/>
      <c r="F87" s="16" t="s">
        <v>1041</v>
      </c>
      <c r="G87" s="27">
        <v>15.65</v>
      </c>
      <c r="H87" s="91">
        <v>0</v>
      </c>
      <c r="I87" s="6"/>
    </row>
    <row r="88" spans="1:9" ht="12.2" customHeight="1" x14ac:dyDescent="0.2">
      <c r="A88" s="5"/>
      <c r="B88" s="16"/>
      <c r="C88" s="16"/>
      <c r="D88" s="85" t="s">
        <v>1192</v>
      </c>
      <c r="E88" s="267" t="s">
        <v>1610</v>
      </c>
      <c r="F88" s="267"/>
      <c r="G88" s="87">
        <v>5.4</v>
      </c>
      <c r="H88" s="39"/>
      <c r="I88" s="6"/>
    </row>
    <row r="89" spans="1:9" ht="12.2" customHeight="1" x14ac:dyDescent="0.2">
      <c r="A89" s="5"/>
      <c r="B89" s="16"/>
      <c r="C89" s="16"/>
      <c r="D89" s="85" t="s">
        <v>1193</v>
      </c>
      <c r="E89" s="267" t="s">
        <v>1611</v>
      </c>
      <c r="F89" s="267"/>
      <c r="G89" s="87">
        <v>6.36</v>
      </c>
      <c r="H89" s="39"/>
      <c r="I89" s="6"/>
    </row>
    <row r="90" spans="1:9" ht="12.2" customHeight="1" x14ac:dyDescent="0.2">
      <c r="A90" s="5"/>
      <c r="B90" s="16"/>
      <c r="C90" s="16"/>
      <c r="D90" s="85" t="s">
        <v>1194</v>
      </c>
      <c r="E90" s="267" t="s">
        <v>1612</v>
      </c>
      <c r="F90" s="267"/>
      <c r="G90" s="87">
        <v>3.89</v>
      </c>
      <c r="H90" s="39"/>
      <c r="I90" s="6"/>
    </row>
    <row r="91" spans="1:9" x14ac:dyDescent="0.2">
      <c r="A91" s="5" t="s">
        <v>34</v>
      </c>
      <c r="B91" s="16" t="s">
        <v>305</v>
      </c>
      <c r="C91" s="16" t="s">
        <v>331</v>
      </c>
      <c r="D91" s="243" t="s">
        <v>654</v>
      </c>
      <c r="E91" s="244"/>
      <c r="F91" s="16" t="s">
        <v>1042</v>
      </c>
      <c r="G91" s="27">
        <v>6.14</v>
      </c>
      <c r="H91" s="91">
        <v>0</v>
      </c>
      <c r="I91" s="6"/>
    </row>
    <row r="92" spans="1:9" ht="12.2" customHeight="1" x14ac:dyDescent="0.2">
      <c r="A92" s="5"/>
      <c r="B92" s="16"/>
      <c r="C92" s="16"/>
      <c r="D92" s="85" t="s">
        <v>1195</v>
      </c>
      <c r="E92" s="267" t="s">
        <v>1610</v>
      </c>
      <c r="F92" s="267"/>
      <c r="G92" s="87">
        <v>2.52</v>
      </c>
      <c r="H92" s="39"/>
      <c r="I92" s="6"/>
    </row>
    <row r="93" spans="1:9" ht="12.2" customHeight="1" x14ac:dyDescent="0.2">
      <c r="A93" s="5"/>
      <c r="B93" s="16"/>
      <c r="C93" s="16"/>
      <c r="D93" s="85" t="s">
        <v>1196</v>
      </c>
      <c r="E93" s="267" t="s">
        <v>1611</v>
      </c>
      <c r="F93" s="267"/>
      <c r="G93" s="87">
        <v>2.11</v>
      </c>
      <c r="H93" s="39"/>
      <c r="I93" s="6"/>
    </row>
    <row r="94" spans="1:9" ht="12.2" customHeight="1" x14ac:dyDescent="0.2">
      <c r="A94" s="5"/>
      <c r="B94" s="16"/>
      <c r="C94" s="16"/>
      <c r="D94" s="85" t="s">
        <v>1197</v>
      </c>
      <c r="E94" s="267" t="s">
        <v>1612</v>
      </c>
      <c r="F94" s="267"/>
      <c r="G94" s="87">
        <v>1.51</v>
      </c>
      <c r="H94" s="39"/>
      <c r="I94" s="6"/>
    </row>
    <row r="95" spans="1:9" x14ac:dyDescent="0.2">
      <c r="A95" s="5" t="s">
        <v>35</v>
      </c>
      <c r="B95" s="16" t="s">
        <v>305</v>
      </c>
      <c r="C95" s="16" t="s">
        <v>332</v>
      </c>
      <c r="D95" s="243" t="s">
        <v>655</v>
      </c>
      <c r="E95" s="244"/>
      <c r="F95" s="16" t="s">
        <v>1042</v>
      </c>
      <c r="G95" s="27">
        <v>6.14</v>
      </c>
      <c r="H95" s="91">
        <v>0</v>
      </c>
      <c r="I95" s="6"/>
    </row>
    <row r="96" spans="1:9" ht="12.2" customHeight="1" x14ac:dyDescent="0.2">
      <c r="A96" s="5"/>
      <c r="B96" s="16"/>
      <c r="C96" s="16"/>
      <c r="D96" s="85" t="s">
        <v>1198</v>
      </c>
      <c r="E96" s="267"/>
      <c r="F96" s="267"/>
      <c r="G96" s="87">
        <v>6.14</v>
      </c>
      <c r="H96" s="39"/>
      <c r="I96" s="6"/>
    </row>
    <row r="97" spans="1:9" x14ac:dyDescent="0.2">
      <c r="A97" s="5" t="s">
        <v>36</v>
      </c>
      <c r="B97" s="16" t="s">
        <v>305</v>
      </c>
      <c r="C97" s="16" t="s">
        <v>333</v>
      </c>
      <c r="D97" s="243" t="s">
        <v>656</v>
      </c>
      <c r="E97" s="244"/>
      <c r="F97" s="16" t="s">
        <v>1041</v>
      </c>
      <c r="G97" s="27">
        <v>21.57</v>
      </c>
      <c r="H97" s="91">
        <v>0</v>
      </c>
      <c r="I97" s="6"/>
    </row>
    <row r="98" spans="1:9" ht="12.2" customHeight="1" x14ac:dyDescent="0.2">
      <c r="A98" s="5"/>
      <c r="B98" s="16"/>
      <c r="C98" s="16"/>
      <c r="D98" s="85" t="s">
        <v>1199</v>
      </c>
      <c r="E98" s="267" t="s">
        <v>1613</v>
      </c>
      <c r="F98" s="267"/>
      <c r="G98" s="87">
        <v>21.57</v>
      </c>
      <c r="H98" s="39"/>
      <c r="I98" s="6"/>
    </row>
    <row r="99" spans="1:9" x14ac:dyDescent="0.2">
      <c r="A99" s="5" t="s">
        <v>37</v>
      </c>
      <c r="B99" s="16" t="s">
        <v>305</v>
      </c>
      <c r="C99" s="16" t="s">
        <v>334</v>
      </c>
      <c r="D99" s="243" t="s">
        <v>657</v>
      </c>
      <c r="E99" s="244"/>
      <c r="F99" s="16" t="s">
        <v>1041</v>
      </c>
      <c r="G99" s="27">
        <v>3.69</v>
      </c>
      <c r="H99" s="91">
        <v>0</v>
      </c>
      <c r="I99" s="6"/>
    </row>
    <row r="100" spans="1:9" ht="12.2" customHeight="1" x14ac:dyDescent="0.2">
      <c r="A100" s="5"/>
      <c r="B100" s="16"/>
      <c r="C100" s="16"/>
      <c r="D100" s="85" t="s">
        <v>1200</v>
      </c>
      <c r="E100" s="267" t="s">
        <v>1605</v>
      </c>
      <c r="F100" s="267"/>
      <c r="G100" s="87">
        <v>3.44</v>
      </c>
      <c r="H100" s="39"/>
      <c r="I100" s="6"/>
    </row>
    <row r="101" spans="1:9" ht="12.2" customHeight="1" x14ac:dyDescent="0.2">
      <c r="A101" s="5"/>
      <c r="B101" s="16"/>
      <c r="C101" s="16"/>
      <c r="D101" s="85" t="s">
        <v>1201</v>
      </c>
      <c r="E101" s="267" t="s">
        <v>1614</v>
      </c>
      <c r="F101" s="267"/>
      <c r="G101" s="87">
        <v>0.25</v>
      </c>
      <c r="H101" s="39"/>
      <c r="I101" s="6"/>
    </row>
    <row r="102" spans="1:9" ht="12.95" customHeight="1" x14ac:dyDescent="0.2">
      <c r="A102" s="6"/>
      <c r="C102" s="84" t="s">
        <v>302</v>
      </c>
      <c r="D102" s="248" t="s">
        <v>659</v>
      </c>
      <c r="E102" s="249"/>
      <c r="F102" s="249"/>
      <c r="G102" s="249"/>
      <c r="H102" s="92"/>
      <c r="I102" s="6"/>
    </row>
    <row r="103" spans="1:9" x14ac:dyDescent="0.2">
      <c r="A103" s="5" t="s">
        <v>38</v>
      </c>
      <c r="B103" s="16" t="s">
        <v>305</v>
      </c>
      <c r="C103" s="16" t="s">
        <v>335</v>
      </c>
      <c r="D103" s="243" t="s">
        <v>660</v>
      </c>
      <c r="E103" s="244"/>
      <c r="F103" s="16" t="s">
        <v>1042</v>
      </c>
      <c r="G103" s="27">
        <v>11.62</v>
      </c>
      <c r="H103" s="91">
        <v>0</v>
      </c>
      <c r="I103" s="6"/>
    </row>
    <row r="104" spans="1:9" ht="12.2" customHeight="1" x14ac:dyDescent="0.2">
      <c r="A104" s="5"/>
      <c r="B104" s="16"/>
      <c r="C104" s="16"/>
      <c r="D104" s="85" t="s">
        <v>1202</v>
      </c>
      <c r="E104" s="267" t="s">
        <v>1615</v>
      </c>
      <c r="F104" s="267"/>
      <c r="G104" s="87">
        <v>7.98</v>
      </c>
      <c r="H104" s="39"/>
      <c r="I104" s="6"/>
    </row>
    <row r="105" spans="1:9" ht="12.2" customHeight="1" x14ac:dyDescent="0.2">
      <c r="A105" s="5"/>
      <c r="B105" s="16"/>
      <c r="C105" s="16"/>
      <c r="D105" s="85" t="s">
        <v>1203</v>
      </c>
      <c r="E105" s="267" t="s">
        <v>1605</v>
      </c>
      <c r="F105" s="267"/>
      <c r="G105" s="87">
        <v>3.25</v>
      </c>
      <c r="H105" s="39"/>
      <c r="I105" s="6"/>
    </row>
    <row r="106" spans="1:9" ht="12.2" customHeight="1" x14ac:dyDescent="0.2">
      <c r="A106" s="5"/>
      <c r="B106" s="16"/>
      <c r="C106" s="16"/>
      <c r="D106" s="85" t="s">
        <v>1204</v>
      </c>
      <c r="E106" s="267" t="s">
        <v>1616</v>
      </c>
      <c r="F106" s="267"/>
      <c r="G106" s="87">
        <v>0.39</v>
      </c>
      <c r="H106" s="39"/>
      <c r="I106" s="6"/>
    </row>
    <row r="107" spans="1:9" x14ac:dyDescent="0.2">
      <c r="A107" s="5" t="s">
        <v>39</v>
      </c>
      <c r="B107" s="16" t="s">
        <v>305</v>
      </c>
      <c r="C107" s="16" t="s">
        <v>336</v>
      </c>
      <c r="D107" s="243" t="s">
        <v>661</v>
      </c>
      <c r="E107" s="244"/>
      <c r="F107" s="16" t="s">
        <v>1042</v>
      </c>
      <c r="G107" s="27">
        <v>11.23</v>
      </c>
      <c r="H107" s="91">
        <v>0</v>
      </c>
      <c r="I107" s="6"/>
    </row>
    <row r="108" spans="1:9" ht="12.2" customHeight="1" x14ac:dyDescent="0.2">
      <c r="A108" s="5"/>
      <c r="B108" s="16"/>
      <c r="C108" s="16"/>
      <c r="D108" s="85" t="s">
        <v>1205</v>
      </c>
      <c r="E108" s="267"/>
      <c r="F108" s="267"/>
      <c r="G108" s="87">
        <v>11.23</v>
      </c>
      <c r="H108" s="39"/>
      <c r="I108" s="6"/>
    </row>
    <row r="109" spans="1:9" x14ac:dyDescent="0.2">
      <c r="A109" s="5" t="s">
        <v>40</v>
      </c>
      <c r="B109" s="16" t="s">
        <v>305</v>
      </c>
      <c r="C109" s="16" t="s">
        <v>337</v>
      </c>
      <c r="D109" s="243" t="s">
        <v>662</v>
      </c>
      <c r="E109" s="244"/>
      <c r="F109" s="16" t="s">
        <v>1043</v>
      </c>
      <c r="G109" s="27">
        <v>1.44</v>
      </c>
      <c r="H109" s="91">
        <v>0</v>
      </c>
      <c r="I109" s="6"/>
    </row>
    <row r="110" spans="1:9" ht="12.2" customHeight="1" x14ac:dyDescent="0.2">
      <c r="A110" s="5"/>
      <c r="B110" s="16"/>
      <c r="C110" s="16"/>
      <c r="D110" s="85" t="s">
        <v>1206</v>
      </c>
      <c r="E110" s="267" t="s">
        <v>1613</v>
      </c>
      <c r="F110" s="267"/>
      <c r="G110" s="87">
        <v>1.28</v>
      </c>
      <c r="H110" s="39"/>
      <c r="I110" s="6"/>
    </row>
    <row r="111" spans="1:9" ht="12.2" customHeight="1" x14ac:dyDescent="0.2">
      <c r="A111" s="5"/>
      <c r="B111" s="16"/>
      <c r="C111" s="16"/>
      <c r="D111" s="85" t="s">
        <v>1207</v>
      </c>
      <c r="E111" s="267" t="s">
        <v>1605</v>
      </c>
      <c r="F111" s="267"/>
      <c r="G111" s="87">
        <v>0.15</v>
      </c>
      <c r="H111" s="39"/>
      <c r="I111" s="6"/>
    </row>
    <row r="112" spans="1:9" ht="12.2" customHeight="1" x14ac:dyDescent="0.2">
      <c r="A112" s="5"/>
      <c r="B112" s="16"/>
      <c r="C112" s="16"/>
      <c r="D112" s="85" t="s">
        <v>1208</v>
      </c>
      <c r="E112" s="267" t="s">
        <v>1616</v>
      </c>
      <c r="F112" s="267"/>
      <c r="G112" s="87">
        <v>0.01</v>
      </c>
      <c r="H112" s="39"/>
      <c r="I112" s="6"/>
    </row>
    <row r="113" spans="1:9" x14ac:dyDescent="0.2">
      <c r="A113" s="5" t="s">
        <v>41</v>
      </c>
      <c r="B113" s="16" t="s">
        <v>305</v>
      </c>
      <c r="C113" s="16" t="s">
        <v>338</v>
      </c>
      <c r="D113" s="243" t="s">
        <v>664</v>
      </c>
      <c r="E113" s="244"/>
      <c r="F113" s="16" t="s">
        <v>1041</v>
      </c>
      <c r="G113" s="27">
        <v>5.96</v>
      </c>
      <c r="H113" s="91">
        <v>0</v>
      </c>
      <c r="I113" s="6"/>
    </row>
    <row r="114" spans="1:9" ht="12.2" customHeight="1" x14ac:dyDescent="0.2">
      <c r="A114" s="5"/>
      <c r="B114" s="16"/>
      <c r="C114" s="16"/>
      <c r="D114" s="85" t="s">
        <v>1209</v>
      </c>
      <c r="E114" s="267" t="s">
        <v>1617</v>
      </c>
      <c r="F114" s="267"/>
      <c r="G114" s="87">
        <v>5.96</v>
      </c>
      <c r="H114" s="39"/>
      <c r="I114" s="6"/>
    </row>
    <row r="115" spans="1:9" x14ac:dyDescent="0.2">
      <c r="A115" s="5" t="s">
        <v>42</v>
      </c>
      <c r="B115" s="16" t="s">
        <v>305</v>
      </c>
      <c r="C115" s="16" t="s">
        <v>339</v>
      </c>
      <c r="D115" s="243" t="s">
        <v>666</v>
      </c>
      <c r="E115" s="244"/>
      <c r="F115" s="16" t="s">
        <v>1042</v>
      </c>
      <c r="G115" s="27">
        <v>29.8</v>
      </c>
      <c r="H115" s="91">
        <v>0</v>
      </c>
      <c r="I115" s="6"/>
    </row>
    <row r="116" spans="1:9" ht="12.2" customHeight="1" x14ac:dyDescent="0.2">
      <c r="A116" s="5"/>
      <c r="B116" s="16"/>
      <c r="C116" s="16"/>
      <c r="D116" s="85" t="s">
        <v>1210</v>
      </c>
      <c r="E116" s="267" t="s">
        <v>1617</v>
      </c>
      <c r="F116" s="267"/>
      <c r="G116" s="87">
        <v>29.8</v>
      </c>
      <c r="H116" s="39"/>
      <c r="I116" s="6"/>
    </row>
    <row r="117" spans="1:9" x14ac:dyDescent="0.2">
      <c r="A117" s="5" t="s">
        <v>43</v>
      </c>
      <c r="B117" s="16" t="s">
        <v>305</v>
      </c>
      <c r="C117" s="16" t="s">
        <v>340</v>
      </c>
      <c r="D117" s="243" t="s">
        <v>667</v>
      </c>
      <c r="E117" s="244"/>
      <c r="F117" s="16" t="s">
        <v>1042</v>
      </c>
      <c r="G117" s="27">
        <v>29.8</v>
      </c>
      <c r="H117" s="91">
        <v>0</v>
      </c>
      <c r="I117" s="6"/>
    </row>
    <row r="118" spans="1:9" ht="12.2" customHeight="1" x14ac:dyDescent="0.2">
      <c r="A118" s="5"/>
      <c r="B118" s="16"/>
      <c r="C118" s="16"/>
      <c r="D118" s="85" t="s">
        <v>1210</v>
      </c>
      <c r="E118" s="267" t="s">
        <v>1617</v>
      </c>
      <c r="F118" s="267"/>
      <c r="G118" s="87">
        <v>29.8</v>
      </c>
      <c r="H118" s="39"/>
      <c r="I118" s="6"/>
    </row>
    <row r="119" spans="1:9" x14ac:dyDescent="0.2">
      <c r="A119" s="5" t="s">
        <v>44</v>
      </c>
      <c r="B119" s="16" t="s">
        <v>305</v>
      </c>
      <c r="C119" s="16" t="s">
        <v>341</v>
      </c>
      <c r="D119" s="243" t="s">
        <v>668</v>
      </c>
      <c r="E119" s="244"/>
      <c r="F119" s="16" t="s">
        <v>1043</v>
      </c>
      <c r="G119" s="27">
        <v>0.72</v>
      </c>
      <c r="H119" s="91">
        <v>0</v>
      </c>
      <c r="I119" s="6"/>
    </row>
    <row r="120" spans="1:9" ht="12.2" customHeight="1" x14ac:dyDescent="0.2">
      <c r="A120" s="5"/>
      <c r="B120" s="16"/>
      <c r="C120" s="16"/>
      <c r="D120" s="85" t="s">
        <v>1211</v>
      </c>
      <c r="E120" s="267" t="s">
        <v>1617</v>
      </c>
      <c r="F120" s="267"/>
      <c r="G120" s="87">
        <v>0.72</v>
      </c>
      <c r="H120" s="39"/>
      <c r="I120" s="6"/>
    </row>
    <row r="121" spans="1:9" ht="25.7" customHeight="1" x14ac:dyDescent="0.2">
      <c r="A121" s="6"/>
      <c r="C121" s="84" t="s">
        <v>302</v>
      </c>
      <c r="D121" s="248" t="s">
        <v>669</v>
      </c>
      <c r="E121" s="249"/>
      <c r="F121" s="249"/>
      <c r="G121" s="249"/>
      <c r="H121" s="92"/>
      <c r="I121" s="6"/>
    </row>
    <row r="122" spans="1:9" x14ac:dyDescent="0.2">
      <c r="A122" s="5" t="s">
        <v>45</v>
      </c>
      <c r="B122" s="16" t="s">
        <v>307</v>
      </c>
      <c r="C122" s="16" t="s">
        <v>327</v>
      </c>
      <c r="D122" s="243" t="s">
        <v>649</v>
      </c>
      <c r="E122" s="244"/>
      <c r="F122" s="16" t="s">
        <v>1041</v>
      </c>
      <c r="G122" s="27">
        <v>6.4</v>
      </c>
      <c r="H122" s="91">
        <v>0</v>
      </c>
      <c r="I122" s="6"/>
    </row>
    <row r="123" spans="1:9" ht="12.2" customHeight="1" x14ac:dyDescent="0.2">
      <c r="A123" s="5"/>
      <c r="B123" s="16"/>
      <c r="C123" s="16"/>
      <c r="D123" s="85" t="s">
        <v>1173</v>
      </c>
      <c r="E123" s="267" t="s">
        <v>1594</v>
      </c>
      <c r="F123" s="267"/>
      <c r="G123" s="87">
        <v>6.4</v>
      </c>
      <c r="H123" s="39"/>
      <c r="I123" s="6"/>
    </row>
    <row r="124" spans="1:9" x14ac:dyDescent="0.2">
      <c r="A124" s="82"/>
      <c r="B124" s="15"/>
      <c r="C124" s="15" t="s">
        <v>37</v>
      </c>
      <c r="D124" s="237" t="s">
        <v>670</v>
      </c>
      <c r="E124" s="238"/>
      <c r="F124" s="15"/>
      <c r="G124" s="51"/>
      <c r="H124" s="38"/>
      <c r="I124" s="6"/>
    </row>
    <row r="125" spans="1:9" x14ac:dyDescent="0.2">
      <c r="A125" s="5" t="s">
        <v>46</v>
      </c>
      <c r="B125" s="16" t="s">
        <v>305</v>
      </c>
      <c r="C125" s="16" t="s">
        <v>342</v>
      </c>
      <c r="D125" s="243" t="s">
        <v>671</v>
      </c>
      <c r="E125" s="244"/>
      <c r="F125" s="16" t="s">
        <v>1044</v>
      </c>
      <c r="G125" s="27">
        <v>1</v>
      </c>
      <c r="H125" s="91">
        <v>0</v>
      </c>
      <c r="I125" s="6"/>
    </row>
    <row r="126" spans="1:9" ht="12.2" customHeight="1" x14ac:dyDescent="0.2">
      <c r="A126" s="5"/>
      <c r="B126" s="16"/>
      <c r="C126" s="16"/>
      <c r="D126" s="85" t="s">
        <v>7</v>
      </c>
      <c r="E126" s="267" t="s">
        <v>1618</v>
      </c>
      <c r="F126" s="267"/>
      <c r="G126" s="87">
        <v>1</v>
      </c>
      <c r="H126" s="39"/>
      <c r="I126" s="6"/>
    </row>
    <row r="127" spans="1:9" x14ac:dyDescent="0.2">
      <c r="A127" s="5" t="s">
        <v>47</v>
      </c>
      <c r="B127" s="16" t="s">
        <v>305</v>
      </c>
      <c r="C127" s="16" t="s">
        <v>343</v>
      </c>
      <c r="D127" s="243" t="s">
        <v>673</v>
      </c>
      <c r="E127" s="244"/>
      <c r="F127" s="16" t="s">
        <v>1044</v>
      </c>
      <c r="G127" s="27">
        <v>1</v>
      </c>
      <c r="H127" s="91">
        <v>0</v>
      </c>
      <c r="I127" s="6"/>
    </row>
    <row r="128" spans="1:9" ht="12.2" customHeight="1" x14ac:dyDescent="0.2">
      <c r="A128" s="5"/>
      <c r="B128" s="16"/>
      <c r="C128" s="16"/>
      <c r="D128" s="85" t="s">
        <v>7</v>
      </c>
      <c r="E128" s="267" t="s">
        <v>1619</v>
      </c>
      <c r="F128" s="267"/>
      <c r="G128" s="87">
        <v>1</v>
      </c>
      <c r="H128" s="39"/>
      <c r="I128" s="6"/>
    </row>
    <row r="129" spans="1:9" x14ac:dyDescent="0.2">
      <c r="A129" s="5" t="s">
        <v>48</v>
      </c>
      <c r="B129" s="16" t="s">
        <v>305</v>
      </c>
      <c r="C129" s="16" t="s">
        <v>344</v>
      </c>
      <c r="D129" s="243" t="s">
        <v>674</v>
      </c>
      <c r="E129" s="244"/>
      <c r="F129" s="16" t="s">
        <v>1042</v>
      </c>
      <c r="G129" s="27">
        <v>17.39</v>
      </c>
      <c r="H129" s="91">
        <v>0</v>
      </c>
      <c r="I129" s="6"/>
    </row>
    <row r="130" spans="1:9" ht="12.2" customHeight="1" x14ac:dyDescent="0.2">
      <c r="A130" s="5"/>
      <c r="B130" s="16"/>
      <c r="C130" s="16"/>
      <c r="D130" s="85" t="s">
        <v>1212</v>
      </c>
      <c r="E130" s="267" t="s">
        <v>1620</v>
      </c>
      <c r="F130" s="267"/>
      <c r="G130" s="87">
        <v>8.7200000000000006</v>
      </c>
      <c r="H130" s="39"/>
      <c r="I130" s="6"/>
    </row>
    <row r="131" spans="1:9" ht="12.2" customHeight="1" x14ac:dyDescent="0.2">
      <c r="A131" s="5"/>
      <c r="B131" s="16"/>
      <c r="C131" s="16"/>
      <c r="D131" s="85" t="s">
        <v>1213</v>
      </c>
      <c r="E131" s="267" t="s">
        <v>1621</v>
      </c>
      <c r="F131" s="267"/>
      <c r="G131" s="87">
        <v>-1.68</v>
      </c>
      <c r="H131" s="39"/>
      <c r="I131" s="6"/>
    </row>
    <row r="132" spans="1:9" ht="12.2" customHeight="1" x14ac:dyDescent="0.2">
      <c r="A132" s="5"/>
      <c r="B132" s="16"/>
      <c r="C132" s="16"/>
      <c r="D132" s="85" t="s">
        <v>1214</v>
      </c>
      <c r="E132" s="267" t="s">
        <v>1622</v>
      </c>
      <c r="F132" s="267"/>
      <c r="G132" s="87">
        <v>10.35</v>
      </c>
      <c r="H132" s="39"/>
      <c r="I132" s="6"/>
    </row>
    <row r="133" spans="1:9" x14ac:dyDescent="0.2">
      <c r="A133" s="5" t="s">
        <v>49</v>
      </c>
      <c r="B133" s="16" t="s">
        <v>305</v>
      </c>
      <c r="C133" s="16" t="s">
        <v>345</v>
      </c>
      <c r="D133" s="243" t="s">
        <v>677</v>
      </c>
      <c r="E133" s="244"/>
      <c r="F133" s="16" t="s">
        <v>1042</v>
      </c>
      <c r="G133" s="27">
        <v>118.5</v>
      </c>
      <c r="H133" s="91">
        <v>0</v>
      </c>
      <c r="I133" s="6"/>
    </row>
    <row r="134" spans="1:9" ht="12.2" customHeight="1" x14ac:dyDescent="0.2">
      <c r="A134" s="5"/>
      <c r="B134" s="16"/>
      <c r="C134" s="16"/>
      <c r="D134" s="85" t="s">
        <v>1215</v>
      </c>
      <c r="E134" s="267" t="s">
        <v>1623</v>
      </c>
      <c r="F134" s="267"/>
      <c r="G134" s="87">
        <v>126.36</v>
      </c>
      <c r="H134" s="39"/>
      <c r="I134" s="6"/>
    </row>
    <row r="135" spans="1:9" ht="12.2" customHeight="1" x14ac:dyDescent="0.2">
      <c r="A135" s="5"/>
      <c r="B135" s="16"/>
      <c r="C135" s="16"/>
      <c r="D135" s="85" t="s">
        <v>1216</v>
      </c>
      <c r="E135" s="267" t="s">
        <v>1624</v>
      </c>
      <c r="F135" s="267"/>
      <c r="G135" s="87">
        <v>-2.4</v>
      </c>
      <c r="H135" s="39"/>
      <c r="I135" s="6"/>
    </row>
    <row r="136" spans="1:9" ht="12.2" customHeight="1" x14ac:dyDescent="0.2">
      <c r="A136" s="5"/>
      <c r="B136" s="16"/>
      <c r="C136" s="16"/>
      <c r="D136" s="85" t="s">
        <v>1217</v>
      </c>
      <c r="E136" s="267" t="s">
        <v>1625</v>
      </c>
      <c r="F136" s="267"/>
      <c r="G136" s="87">
        <v>-3.78</v>
      </c>
      <c r="H136" s="39"/>
      <c r="I136" s="6"/>
    </row>
    <row r="137" spans="1:9" ht="12.2" customHeight="1" x14ac:dyDescent="0.2">
      <c r="A137" s="5"/>
      <c r="B137" s="16"/>
      <c r="C137" s="16"/>
      <c r="D137" s="85" t="s">
        <v>1213</v>
      </c>
      <c r="E137" s="267" t="s">
        <v>1621</v>
      </c>
      <c r="F137" s="267"/>
      <c r="G137" s="87">
        <v>-1.68</v>
      </c>
      <c r="H137" s="39"/>
      <c r="I137" s="6"/>
    </row>
    <row r="138" spans="1:9" x14ac:dyDescent="0.2">
      <c r="A138" s="5" t="s">
        <v>50</v>
      </c>
      <c r="B138" s="16" t="s">
        <v>305</v>
      </c>
      <c r="C138" s="16" t="s">
        <v>346</v>
      </c>
      <c r="D138" s="243" t="s">
        <v>678</v>
      </c>
      <c r="E138" s="244"/>
      <c r="F138" s="16" t="s">
        <v>1042</v>
      </c>
      <c r="G138" s="27">
        <v>27.63</v>
      </c>
      <c r="H138" s="91">
        <v>0</v>
      </c>
      <c r="I138" s="6"/>
    </row>
    <row r="139" spans="1:9" ht="12.2" customHeight="1" x14ac:dyDescent="0.2">
      <c r="A139" s="5"/>
      <c r="B139" s="16"/>
      <c r="C139" s="16"/>
      <c r="D139" s="85" t="s">
        <v>1218</v>
      </c>
      <c r="E139" s="267" t="s">
        <v>1626</v>
      </c>
      <c r="F139" s="267"/>
      <c r="G139" s="87">
        <v>30.86</v>
      </c>
      <c r="H139" s="39"/>
      <c r="I139" s="6"/>
    </row>
    <row r="140" spans="1:9" ht="12.2" customHeight="1" x14ac:dyDescent="0.2">
      <c r="A140" s="5"/>
      <c r="B140" s="16"/>
      <c r="C140" s="16"/>
      <c r="D140" s="85" t="s">
        <v>1219</v>
      </c>
      <c r="E140" s="267" t="s">
        <v>1627</v>
      </c>
      <c r="F140" s="267"/>
      <c r="G140" s="87">
        <v>-3.23</v>
      </c>
      <c r="H140" s="39"/>
      <c r="I140" s="6"/>
    </row>
    <row r="141" spans="1:9" x14ac:dyDescent="0.2">
      <c r="A141" s="5" t="s">
        <v>51</v>
      </c>
      <c r="B141" s="16" t="s">
        <v>305</v>
      </c>
      <c r="C141" s="16" t="s">
        <v>347</v>
      </c>
      <c r="D141" s="243" t="s">
        <v>679</v>
      </c>
      <c r="E141" s="244"/>
      <c r="F141" s="16" t="s">
        <v>1043</v>
      </c>
      <c r="G141" s="27">
        <v>2</v>
      </c>
      <c r="H141" s="91">
        <v>0</v>
      </c>
      <c r="I141" s="6"/>
    </row>
    <row r="142" spans="1:9" ht="12.2" customHeight="1" x14ac:dyDescent="0.2">
      <c r="A142" s="5"/>
      <c r="B142" s="16"/>
      <c r="C142" s="16"/>
      <c r="D142" s="85" t="s">
        <v>1220</v>
      </c>
      <c r="E142" s="267" t="s">
        <v>1628</v>
      </c>
      <c r="F142" s="267"/>
      <c r="G142" s="87">
        <v>0.14000000000000001</v>
      </c>
      <c r="H142" s="39"/>
      <c r="I142" s="6"/>
    </row>
    <row r="143" spans="1:9" ht="12.2" customHeight="1" x14ac:dyDescent="0.2">
      <c r="A143" s="5"/>
      <c r="B143" s="16"/>
      <c r="C143" s="16"/>
      <c r="D143" s="85" t="s">
        <v>1221</v>
      </c>
      <c r="E143" s="267" t="s">
        <v>1623</v>
      </c>
      <c r="F143" s="267"/>
      <c r="G143" s="87">
        <v>1.42</v>
      </c>
      <c r="H143" s="39"/>
      <c r="I143" s="6"/>
    </row>
    <row r="144" spans="1:9" ht="12.2" customHeight="1" x14ac:dyDescent="0.2">
      <c r="A144" s="5"/>
      <c r="B144" s="16"/>
      <c r="C144" s="16"/>
      <c r="D144" s="85" t="s">
        <v>1222</v>
      </c>
      <c r="E144" s="267" t="s">
        <v>1626</v>
      </c>
      <c r="F144" s="267"/>
      <c r="G144" s="87">
        <v>0.44</v>
      </c>
      <c r="H144" s="39"/>
      <c r="I144" s="6"/>
    </row>
    <row r="145" spans="1:9" ht="25.7" customHeight="1" x14ac:dyDescent="0.2">
      <c r="A145" s="6"/>
      <c r="C145" s="84" t="s">
        <v>302</v>
      </c>
      <c r="D145" s="248" t="s">
        <v>669</v>
      </c>
      <c r="E145" s="249"/>
      <c r="F145" s="249"/>
      <c r="G145" s="249"/>
      <c r="H145" s="92"/>
      <c r="I145" s="6"/>
    </row>
    <row r="146" spans="1:9" x14ac:dyDescent="0.2">
      <c r="A146" s="5" t="s">
        <v>52</v>
      </c>
      <c r="B146" s="16" t="s">
        <v>305</v>
      </c>
      <c r="C146" s="16" t="s">
        <v>348</v>
      </c>
      <c r="D146" s="243" t="s">
        <v>680</v>
      </c>
      <c r="E146" s="244"/>
      <c r="F146" s="16" t="s">
        <v>1044</v>
      </c>
      <c r="G146" s="27">
        <v>12.43</v>
      </c>
      <c r="H146" s="91">
        <v>0</v>
      </c>
      <c r="I146" s="6"/>
    </row>
    <row r="147" spans="1:9" ht="12.2" customHeight="1" x14ac:dyDescent="0.2">
      <c r="A147" s="5"/>
      <c r="B147" s="16"/>
      <c r="C147" s="16"/>
      <c r="D147" s="85" t="s">
        <v>1223</v>
      </c>
      <c r="E147" s="267" t="s">
        <v>1629</v>
      </c>
      <c r="F147" s="267"/>
      <c r="G147" s="87">
        <v>12.43</v>
      </c>
      <c r="H147" s="39"/>
      <c r="I147" s="6"/>
    </row>
    <row r="148" spans="1:9" x14ac:dyDescent="0.2">
      <c r="A148" s="5" t="s">
        <v>53</v>
      </c>
      <c r="B148" s="16" t="s">
        <v>305</v>
      </c>
      <c r="C148" s="16" t="s">
        <v>349</v>
      </c>
      <c r="D148" s="243" t="s">
        <v>681</v>
      </c>
      <c r="E148" s="244"/>
      <c r="F148" s="16" t="s">
        <v>1042</v>
      </c>
      <c r="G148" s="27">
        <v>188.36</v>
      </c>
      <c r="H148" s="91">
        <v>0</v>
      </c>
      <c r="I148" s="6"/>
    </row>
    <row r="149" spans="1:9" ht="12.2" customHeight="1" x14ac:dyDescent="0.2">
      <c r="A149" s="5"/>
      <c r="B149" s="16"/>
      <c r="C149" s="16"/>
      <c r="D149" s="85" t="s">
        <v>1224</v>
      </c>
      <c r="E149" s="267" t="s">
        <v>1630</v>
      </c>
      <c r="F149" s="267"/>
      <c r="G149" s="87">
        <v>34.18</v>
      </c>
      <c r="H149" s="39"/>
      <c r="I149" s="6"/>
    </row>
    <row r="150" spans="1:9" ht="12.2" customHeight="1" x14ac:dyDescent="0.2">
      <c r="A150" s="5"/>
      <c r="B150" s="16"/>
      <c r="C150" s="16"/>
      <c r="D150" s="85" t="s">
        <v>1225</v>
      </c>
      <c r="E150" s="267" t="s">
        <v>1631</v>
      </c>
      <c r="F150" s="267"/>
      <c r="G150" s="87">
        <v>-1.32</v>
      </c>
      <c r="H150" s="39"/>
      <c r="I150" s="6"/>
    </row>
    <row r="151" spans="1:9" ht="12.2" customHeight="1" x14ac:dyDescent="0.2">
      <c r="A151" s="5"/>
      <c r="B151" s="16"/>
      <c r="C151" s="16"/>
      <c r="D151" s="85" t="s">
        <v>1226</v>
      </c>
      <c r="E151" s="267" t="s">
        <v>1632</v>
      </c>
      <c r="F151" s="267"/>
      <c r="G151" s="87">
        <v>24.75</v>
      </c>
      <c r="H151" s="39"/>
      <c r="I151" s="6"/>
    </row>
    <row r="152" spans="1:9" ht="12.2" customHeight="1" x14ac:dyDescent="0.2">
      <c r="A152" s="5"/>
      <c r="B152" s="16"/>
      <c r="C152" s="16"/>
      <c r="D152" s="85" t="s">
        <v>1227</v>
      </c>
      <c r="E152" s="267" t="s">
        <v>1633</v>
      </c>
      <c r="F152" s="267"/>
      <c r="G152" s="87">
        <v>26.18</v>
      </c>
      <c r="H152" s="39"/>
      <c r="I152" s="6"/>
    </row>
    <row r="153" spans="1:9" ht="12.2" customHeight="1" x14ac:dyDescent="0.2">
      <c r="A153" s="5"/>
      <c r="B153" s="16"/>
      <c r="C153" s="16"/>
      <c r="D153" s="85" t="s">
        <v>1228</v>
      </c>
      <c r="E153" s="267" t="s">
        <v>1634</v>
      </c>
      <c r="F153" s="267"/>
      <c r="G153" s="87">
        <v>-0.42</v>
      </c>
      <c r="H153" s="39"/>
      <c r="I153" s="6"/>
    </row>
    <row r="154" spans="1:9" ht="12.2" customHeight="1" x14ac:dyDescent="0.2">
      <c r="A154" s="5"/>
      <c r="B154" s="16"/>
      <c r="C154" s="16"/>
      <c r="D154" s="85" t="s">
        <v>1229</v>
      </c>
      <c r="E154" s="267" t="s">
        <v>1635</v>
      </c>
      <c r="F154" s="267"/>
      <c r="G154" s="87">
        <v>-1.36</v>
      </c>
      <c r="H154" s="39"/>
      <c r="I154" s="6"/>
    </row>
    <row r="155" spans="1:9" ht="12.2" customHeight="1" x14ac:dyDescent="0.2">
      <c r="A155" s="5"/>
      <c r="B155" s="16"/>
      <c r="C155" s="16"/>
      <c r="D155" s="85" t="s">
        <v>1230</v>
      </c>
      <c r="E155" s="267" t="s">
        <v>1636</v>
      </c>
      <c r="F155" s="267"/>
      <c r="G155" s="87">
        <v>72.44</v>
      </c>
      <c r="H155" s="39"/>
      <c r="I155" s="6"/>
    </row>
    <row r="156" spans="1:9" ht="12.2" customHeight="1" x14ac:dyDescent="0.2">
      <c r="A156" s="5"/>
      <c r="B156" s="16"/>
      <c r="C156" s="16"/>
      <c r="D156" s="85" t="s">
        <v>1231</v>
      </c>
      <c r="E156" s="267" t="s">
        <v>1637</v>
      </c>
      <c r="F156" s="267"/>
      <c r="G156" s="87">
        <v>-2.97</v>
      </c>
      <c r="H156" s="39"/>
      <c r="I156" s="6"/>
    </row>
    <row r="157" spans="1:9" ht="12.2" customHeight="1" x14ac:dyDescent="0.2">
      <c r="A157" s="5"/>
      <c r="B157" s="16"/>
      <c r="C157" s="16"/>
      <c r="D157" s="85" t="s">
        <v>1232</v>
      </c>
      <c r="E157" s="267" t="s">
        <v>1638</v>
      </c>
      <c r="F157" s="267"/>
      <c r="G157" s="87">
        <v>-1.65</v>
      </c>
      <c r="H157" s="39"/>
      <c r="I157" s="6"/>
    </row>
    <row r="158" spans="1:9" ht="12.2" customHeight="1" x14ac:dyDescent="0.2">
      <c r="A158" s="5"/>
      <c r="B158" s="16"/>
      <c r="C158" s="16"/>
      <c r="D158" s="85" t="s">
        <v>1233</v>
      </c>
      <c r="E158" s="267" t="s">
        <v>1639</v>
      </c>
      <c r="F158" s="267"/>
      <c r="G158" s="87">
        <v>-3.13</v>
      </c>
      <c r="H158" s="39"/>
      <c r="I158" s="6"/>
    </row>
    <row r="159" spans="1:9" ht="12.2" customHeight="1" x14ac:dyDescent="0.2">
      <c r="A159" s="5"/>
      <c r="B159" s="16"/>
      <c r="C159" s="16"/>
      <c r="D159" s="85" t="s">
        <v>1233</v>
      </c>
      <c r="E159" s="267" t="s">
        <v>1640</v>
      </c>
      <c r="F159" s="267"/>
      <c r="G159" s="87">
        <v>-3.13</v>
      </c>
      <c r="H159" s="39"/>
      <c r="I159" s="6"/>
    </row>
    <row r="160" spans="1:9" ht="12.2" customHeight="1" x14ac:dyDescent="0.2">
      <c r="A160" s="5"/>
      <c r="B160" s="16"/>
      <c r="C160" s="16"/>
      <c r="D160" s="85" t="s">
        <v>1234</v>
      </c>
      <c r="E160" s="267" t="s">
        <v>1641</v>
      </c>
      <c r="F160" s="267"/>
      <c r="G160" s="87">
        <v>-2.25</v>
      </c>
      <c r="H160" s="39"/>
      <c r="I160" s="6"/>
    </row>
    <row r="161" spans="1:9" ht="12.2" customHeight="1" x14ac:dyDescent="0.2">
      <c r="A161" s="5"/>
      <c r="B161" s="16"/>
      <c r="C161" s="16"/>
      <c r="D161" s="85" t="s">
        <v>1235</v>
      </c>
      <c r="E161" s="267" t="s">
        <v>1642</v>
      </c>
      <c r="F161" s="267"/>
      <c r="G161" s="87">
        <v>-1.47</v>
      </c>
      <c r="H161" s="39"/>
      <c r="I161" s="6"/>
    </row>
    <row r="162" spans="1:9" ht="12.2" customHeight="1" x14ac:dyDescent="0.2">
      <c r="A162" s="5"/>
      <c r="B162" s="16"/>
      <c r="C162" s="16"/>
      <c r="D162" s="85" t="s">
        <v>1236</v>
      </c>
      <c r="E162" s="267" t="s">
        <v>1643</v>
      </c>
      <c r="F162" s="267"/>
      <c r="G162" s="87">
        <v>20.79</v>
      </c>
      <c r="H162" s="39"/>
      <c r="I162" s="6"/>
    </row>
    <row r="163" spans="1:9" ht="12.2" customHeight="1" x14ac:dyDescent="0.2">
      <c r="A163" s="5"/>
      <c r="B163" s="16"/>
      <c r="C163" s="16"/>
      <c r="D163" s="85" t="s">
        <v>1237</v>
      </c>
      <c r="E163" s="267" t="s">
        <v>1644</v>
      </c>
      <c r="F163" s="267"/>
      <c r="G163" s="87">
        <v>-4.05</v>
      </c>
      <c r="H163" s="39"/>
      <c r="I163" s="6"/>
    </row>
    <row r="164" spans="1:9" ht="12.2" customHeight="1" x14ac:dyDescent="0.2">
      <c r="A164" s="5"/>
      <c r="B164" s="16"/>
      <c r="C164" s="16"/>
      <c r="D164" s="85" t="s">
        <v>1231</v>
      </c>
      <c r="E164" s="267" t="s">
        <v>1637</v>
      </c>
      <c r="F164" s="267"/>
      <c r="G164" s="87">
        <v>-2.97</v>
      </c>
      <c r="H164" s="39"/>
      <c r="I164" s="6"/>
    </row>
    <row r="165" spans="1:9" ht="12.2" customHeight="1" x14ac:dyDescent="0.2">
      <c r="A165" s="5"/>
      <c r="B165" s="16"/>
      <c r="C165" s="16"/>
      <c r="D165" s="85" t="s">
        <v>1238</v>
      </c>
      <c r="E165" s="267" t="s">
        <v>1645</v>
      </c>
      <c r="F165" s="267"/>
      <c r="G165" s="87">
        <v>35.520000000000003</v>
      </c>
      <c r="H165" s="39"/>
      <c r="I165" s="6"/>
    </row>
    <row r="166" spans="1:9" ht="12.2" customHeight="1" x14ac:dyDescent="0.2">
      <c r="A166" s="5"/>
      <c r="B166" s="16"/>
      <c r="C166" s="16"/>
      <c r="D166" s="85" t="s">
        <v>1239</v>
      </c>
      <c r="E166" s="267" t="s">
        <v>1646</v>
      </c>
      <c r="F166" s="267"/>
      <c r="G166" s="87">
        <v>-0.78</v>
      </c>
      <c r="H166" s="39"/>
      <c r="I166" s="6"/>
    </row>
    <row r="167" spans="1:9" x14ac:dyDescent="0.2">
      <c r="A167" s="5" t="s">
        <v>54</v>
      </c>
      <c r="B167" s="16" t="s">
        <v>305</v>
      </c>
      <c r="C167" s="16" t="s">
        <v>350</v>
      </c>
      <c r="D167" s="243" t="s">
        <v>683</v>
      </c>
      <c r="E167" s="244"/>
      <c r="F167" s="16" t="s">
        <v>1045</v>
      </c>
      <c r="G167" s="27">
        <v>5</v>
      </c>
      <c r="H167" s="91">
        <v>0</v>
      </c>
      <c r="I167" s="6"/>
    </row>
    <row r="168" spans="1:9" ht="12.2" customHeight="1" x14ac:dyDescent="0.2">
      <c r="A168" s="5"/>
      <c r="B168" s="16"/>
      <c r="C168" s="16"/>
      <c r="D168" s="85" t="s">
        <v>11</v>
      </c>
      <c r="E168" s="267" t="s">
        <v>1634</v>
      </c>
      <c r="F168" s="267"/>
      <c r="G168" s="87">
        <v>5</v>
      </c>
      <c r="H168" s="39"/>
      <c r="I168" s="6"/>
    </row>
    <row r="169" spans="1:9" x14ac:dyDescent="0.2">
      <c r="A169" s="5" t="s">
        <v>55</v>
      </c>
      <c r="B169" s="16" t="s">
        <v>305</v>
      </c>
      <c r="C169" s="16" t="s">
        <v>351</v>
      </c>
      <c r="D169" s="243" t="s">
        <v>684</v>
      </c>
      <c r="E169" s="244"/>
      <c r="F169" s="16" t="s">
        <v>1045</v>
      </c>
      <c r="G169" s="27">
        <v>1</v>
      </c>
      <c r="H169" s="91">
        <v>0</v>
      </c>
      <c r="I169" s="6"/>
    </row>
    <row r="170" spans="1:9" ht="12.2" customHeight="1" x14ac:dyDescent="0.2">
      <c r="A170" s="5"/>
      <c r="B170" s="16"/>
      <c r="C170" s="16"/>
      <c r="D170" s="85" t="s">
        <v>7</v>
      </c>
      <c r="E170" s="267" t="s">
        <v>1638</v>
      </c>
      <c r="F170" s="267"/>
      <c r="G170" s="87">
        <v>1</v>
      </c>
      <c r="H170" s="39"/>
      <c r="I170" s="6"/>
    </row>
    <row r="171" spans="1:9" x14ac:dyDescent="0.2">
      <c r="A171" s="5" t="s">
        <v>56</v>
      </c>
      <c r="B171" s="16" t="s">
        <v>305</v>
      </c>
      <c r="C171" s="16" t="s">
        <v>352</v>
      </c>
      <c r="D171" s="243" t="s">
        <v>686</v>
      </c>
      <c r="E171" s="244"/>
      <c r="F171" s="16" t="s">
        <v>1045</v>
      </c>
      <c r="G171" s="27">
        <v>1</v>
      </c>
      <c r="H171" s="91">
        <v>0</v>
      </c>
      <c r="I171" s="6"/>
    </row>
    <row r="172" spans="1:9" ht="12.2" customHeight="1" x14ac:dyDescent="0.2">
      <c r="A172" s="5"/>
      <c r="B172" s="16"/>
      <c r="C172" s="16"/>
      <c r="D172" s="85" t="s">
        <v>7</v>
      </c>
      <c r="E172" s="267" t="s">
        <v>1638</v>
      </c>
      <c r="F172" s="267"/>
      <c r="G172" s="87">
        <v>1</v>
      </c>
      <c r="H172" s="39"/>
      <c r="I172" s="6"/>
    </row>
    <row r="173" spans="1:9" x14ac:dyDescent="0.2">
      <c r="A173" s="5" t="s">
        <v>57</v>
      </c>
      <c r="B173" s="16" t="s">
        <v>305</v>
      </c>
      <c r="C173" s="16" t="s">
        <v>353</v>
      </c>
      <c r="D173" s="243" t="s">
        <v>687</v>
      </c>
      <c r="E173" s="244"/>
      <c r="F173" s="16" t="s">
        <v>1045</v>
      </c>
      <c r="G173" s="27">
        <v>17</v>
      </c>
      <c r="H173" s="91">
        <v>0</v>
      </c>
      <c r="I173" s="6"/>
    </row>
    <row r="174" spans="1:9" ht="12.2" customHeight="1" x14ac:dyDescent="0.2">
      <c r="A174" s="5"/>
      <c r="B174" s="16"/>
      <c r="C174" s="16"/>
      <c r="D174" s="85" t="s">
        <v>11</v>
      </c>
      <c r="E174" s="267" t="s">
        <v>1631</v>
      </c>
      <c r="F174" s="267"/>
      <c r="G174" s="87">
        <v>5</v>
      </c>
      <c r="H174" s="39"/>
      <c r="I174" s="6"/>
    </row>
    <row r="175" spans="1:9" ht="12.2" customHeight="1" x14ac:dyDescent="0.2">
      <c r="A175" s="5"/>
      <c r="B175" s="16"/>
      <c r="C175" s="16"/>
      <c r="D175" s="85" t="s">
        <v>11</v>
      </c>
      <c r="E175" s="267" t="s">
        <v>1635</v>
      </c>
      <c r="F175" s="267"/>
      <c r="G175" s="87">
        <v>5</v>
      </c>
      <c r="H175" s="39"/>
      <c r="I175" s="6"/>
    </row>
    <row r="176" spans="1:9" ht="12.2" customHeight="1" x14ac:dyDescent="0.2">
      <c r="A176" s="5"/>
      <c r="B176" s="16"/>
      <c r="C176" s="16"/>
      <c r="D176" s="85" t="s">
        <v>11</v>
      </c>
      <c r="E176" s="267" t="s">
        <v>1647</v>
      </c>
      <c r="F176" s="267"/>
      <c r="G176" s="87">
        <v>5</v>
      </c>
      <c r="H176" s="39"/>
      <c r="I176" s="6"/>
    </row>
    <row r="177" spans="1:9" ht="12.2" customHeight="1" x14ac:dyDescent="0.2">
      <c r="A177" s="5"/>
      <c r="B177" s="16"/>
      <c r="C177" s="16"/>
      <c r="D177" s="85" t="s">
        <v>7</v>
      </c>
      <c r="E177" s="267" t="s">
        <v>1637</v>
      </c>
      <c r="F177" s="267"/>
      <c r="G177" s="87">
        <v>1</v>
      </c>
      <c r="H177" s="39"/>
      <c r="I177" s="6"/>
    </row>
    <row r="178" spans="1:9" ht="12.2" customHeight="1" x14ac:dyDescent="0.2">
      <c r="A178" s="5"/>
      <c r="B178" s="16"/>
      <c r="C178" s="16"/>
      <c r="D178" s="85" t="s">
        <v>7</v>
      </c>
      <c r="E178" s="267" t="s">
        <v>1637</v>
      </c>
      <c r="F178" s="267"/>
      <c r="G178" s="87">
        <v>1</v>
      </c>
      <c r="H178" s="39"/>
      <c r="I178" s="6"/>
    </row>
    <row r="179" spans="1:9" x14ac:dyDescent="0.2">
      <c r="A179" s="5" t="s">
        <v>58</v>
      </c>
      <c r="B179" s="16" t="s">
        <v>305</v>
      </c>
      <c r="C179" s="16" t="s">
        <v>354</v>
      </c>
      <c r="D179" s="243" t="s">
        <v>689</v>
      </c>
      <c r="E179" s="244"/>
      <c r="F179" s="16" t="s">
        <v>1045</v>
      </c>
      <c r="G179" s="27">
        <v>2</v>
      </c>
      <c r="H179" s="91">
        <v>0</v>
      </c>
      <c r="I179" s="6"/>
    </row>
    <row r="180" spans="1:9" ht="12.2" customHeight="1" x14ac:dyDescent="0.2">
      <c r="A180" s="5"/>
      <c r="B180" s="16"/>
      <c r="C180" s="16"/>
      <c r="D180" s="85" t="s">
        <v>7</v>
      </c>
      <c r="E180" s="267" t="s">
        <v>1637</v>
      </c>
      <c r="F180" s="267"/>
      <c r="G180" s="87">
        <v>1</v>
      </c>
      <c r="H180" s="39"/>
      <c r="I180" s="6"/>
    </row>
    <row r="181" spans="1:9" ht="12.2" customHeight="1" x14ac:dyDescent="0.2">
      <c r="A181" s="5"/>
      <c r="B181" s="16"/>
      <c r="C181" s="16"/>
      <c r="D181" s="85" t="s">
        <v>7</v>
      </c>
      <c r="E181" s="267" t="s">
        <v>1637</v>
      </c>
      <c r="F181" s="267"/>
      <c r="G181" s="87">
        <v>1</v>
      </c>
      <c r="H181" s="39"/>
      <c r="I181" s="6"/>
    </row>
    <row r="182" spans="1:9" x14ac:dyDescent="0.2">
      <c r="A182" s="5" t="s">
        <v>59</v>
      </c>
      <c r="B182" s="16" t="s">
        <v>305</v>
      </c>
      <c r="C182" s="16" t="s">
        <v>355</v>
      </c>
      <c r="D182" s="243" t="s">
        <v>690</v>
      </c>
      <c r="E182" s="244"/>
      <c r="F182" s="16" t="s">
        <v>1045</v>
      </c>
      <c r="G182" s="27">
        <v>2</v>
      </c>
      <c r="H182" s="91">
        <v>0</v>
      </c>
      <c r="I182" s="6"/>
    </row>
    <row r="183" spans="1:9" ht="12.2" customHeight="1" x14ac:dyDescent="0.2">
      <c r="A183" s="5"/>
      <c r="B183" s="16"/>
      <c r="C183" s="16"/>
      <c r="D183" s="85" t="s">
        <v>7</v>
      </c>
      <c r="E183" s="267" t="s">
        <v>1639</v>
      </c>
      <c r="F183" s="267"/>
      <c r="G183" s="87">
        <v>1</v>
      </c>
      <c r="H183" s="39"/>
      <c r="I183" s="6"/>
    </row>
    <row r="184" spans="1:9" ht="12.2" customHeight="1" x14ac:dyDescent="0.2">
      <c r="A184" s="5"/>
      <c r="B184" s="16"/>
      <c r="C184" s="16"/>
      <c r="D184" s="85" t="s">
        <v>7</v>
      </c>
      <c r="E184" s="267" t="s">
        <v>1640</v>
      </c>
      <c r="F184" s="267"/>
      <c r="G184" s="87">
        <v>1</v>
      </c>
      <c r="H184" s="39"/>
      <c r="I184" s="6"/>
    </row>
    <row r="185" spans="1:9" x14ac:dyDescent="0.2">
      <c r="A185" s="5" t="s">
        <v>60</v>
      </c>
      <c r="B185" s="16" t="s">
        <v>305</v>
      </c>
      <c r="C185" s="16" t="s">
        <v>356</v>
      </c>
      <c r="D185" s="243" t="s">
        <v>691</v>
      </c>
      <c r="E185" s="244"/>
      <c r="F185" s="16" t="s">
        <v>1045</v>
      </c>
      <c r="G185" s="27">
        <v>2</v>
      </c>
      <c r="H185" s="91">
        <v>0</v>
      </c>
      <c r="I185" s="6"/>
    </row>
    <row r="186" spans="1:9" ht="12.2" customHeight="1" x14ac:dyDescent="0.2">
      <c r="A186" s="5"/>
      <c r="B186" s="16"/>
      <c r="C186" s="16"/>
      <c r="D186" s="85" t="s">
        <v>7</v>
      </c>
      <c r="E186" s="267" t="s">
        <v>1639</v>
      </c>
      <c r="F186" s="267"/>
      <c r="G186" s="87">
        <v>1</v>
      </c>
      <c r="H186" s="39"/>
      <c r="I186" s="6"/>
    </row>
    <row r="187" spans="1:9" ht="12.2" customHeight="1" x14ac:dyDescent="0.2">
      <c r="A187" s="5"/>
      <c r="B187" s="16"/>
      <c r="C187" s="16"/>
      <c r="D187" s="85" t="s">
        <v>7</v>
      </c>
      <c r="E187" s="267" t="s">
        <v>1640</v>
      </c>
      <c r="F187" s="267"/>
      <c r="G187" s="87">
        <v>1</v>
      </c>
      <c r="H187" s="39"/>
      <c r="I187" s="6"/>
    </row>
    <row r="188" spans="1:9" x14ac:dyDescent="0.2">
      <c r="A188" s="5" t="s">
        <v>61</v>
      </c>
      <c r="B188" s="16" t="s">
        <v>305</v>
      </c>
      <c r="C188" s="16" t="s">
        <v>357</v>
      </c>
      <c r="D188" s="243" t="s">
        <v>692</v>
      </c>
      <c r="E188" s="244"/>
      <c r="F188" s="16" t="s">
        <v>1044</v>
      </c>
      <c r="G188" s="27">
        <v>20.5</v>
      </c>
      <c r="H188" s="91">
        <v>0</v>
      </c>
      <c r="I188" s="6"/>
    </row>
    <row r="189" spans="1:9" ht="12.2" customHeight="1" x14ac:dyDescent="0.2">
      <c r="A189" s="5"/>
      <c r="B189" s="16"/>
      <c r="C189" s="16"/>
      <c r="D189" s="85" t="s">
        <v>1240</v>
      </c>
      <c r="E189" s="267" t="s">
        <v>1631</v>
      </c>
      <c r="F189" s="267"/>
      <c r="G189" s="87">
        <v>2.5</v>
      </c>
      <c r="H189" s="39"/>
      <c r="I189" s="6"/>
    </row>
    <row r="190" spans="1:9" ht="12.2" customHeight="1" x14ac:dyDescent="0.2">
      <c r="A190" s="5"/>
      <c r="B190" s="16"/>
      <c r="C190" s="16"/>
      <c r="D190" s="85" t="s">
        <v>1240</v>
      </c>
      <c r="E190" s="267" t="s">
        <v>1635</v>
      </c>
      <c r="F190" s="267"/>
      <c r="G190" s="87">
        <v>2.5</v>
      </c>
      <c r="H190" s="39"/>
      <c r="I190" s="6"/>
    </row>
    <row r="191" spans="1:9" ht="12.2" customHeight="1" x14ac:dyDescent="0.2">
      <c r="A191" s="5"/>
      <c r="B191" s="16"/>
      <c r="C191" s="16"/>
      <c r="D191" s="85" t="s">
        <v>1240</v>
      </c>
      <c r="E191" s="267" t="s">
        <v>1647</v>
      </c>
      <c r="F191" s="267"/>
      <c r="G191" s="87">
        <v>2.5</v>
      </c>
      <c r="H191" s="39"/>
      <c r="I191" s="6"/>
    </row>
    <row r="192" spans="1:9" ht="12.2" customHeight="1" x14ac:dyDescent="0.2">
      <c r="A192" s="5"/>
      <c r="B192" s="16"/>
      <c r="C192" s="16"/>
      <c r="D192" s="85" t="s">
        <v>7</v>
      </c>
      <c r="E192" s="267" t="s">
        <v>1634</v>
      </c>
      <c r="F192" s="267"/>
      <c r="G192" s="87">
        <v>1</v>
      </c>
      <c r="H192" s="39"/>
      <c r="I192" s="6"/>
    </row>
    <row r="193" spans="1:9" ht="12.2" customHeight="1" x14ac:dyDescent="0.2">
      <c r="A193" s="5"/>
      <c r="B193" s="16"/>
      <c r="C193" s="16"/>
      <c r="D193" s="85" t="s">
        <v>1241</v>
      </c>
      <c r="E193" s="267" t="s">
        <v>1638</v>
      </c>
      <c r="F193" s="267"/>
      <c r="G193" s="87">
        <v>1.5</v>
      </c>
      <c r="H193" s="39"/>
      <c r="I193" s="6"/>
    </row>
    <row r="194" spans="1:9" ht="12.2" customHeight="1" x14ac:dyDescent="0.2">
      <c r="A194" s="5"/>
      <c r="B194" s="16"/>
      <c r="C194" s="16"/>
      <c r="D194" s="85" t="s">
        <v>1240</v>
      </c>
      <c r="E194" s="267" t="s">
        <v>1637</v>
      </c>
      <c r="F194" s="267"/>
      <c r="G194" s="87">
        <v>2.5</v>
      </c>
      <c r="H194" s="39"/>
      <c r="I194" s="6"/>
    </row>
    <row r="195" spans="1:9" ht="12.2" customHeight="1" x14ac:dyDescent="0.2">
      <c r="A195" s="5"/>
      <c r="B195" s="16"/>
      <c r="C195" s="16"/>
      <c r="D195" s="85" t="s">
        <v>1240</v>
      </c>
      <c r="E195" s="267" t="s">
        <v>1637</v>
      </c>
      <c r="F195" s="267"/>
      <c r="G195" s="87">
        <v>2.5</v>
      </c>
      <c r="H195" s="39"/>
      <c r="I195" s="6"/>
    </row>
    <row r="196" spans="1:9" ht="12.2" customHeight="1" x14ac:dyDescent="0.2">
      <c r="A196" s="5"/>
      <c r="B196" s="16"/>
      <c r="C196" s="16"/>
      <c r="D196" s="85" t="s">
        <v>1242</v>
      </c>
      <c r="E196" s="267" t="s">
        <v>1639</v>
      </c>
      <c r="F196" s="267"/>
      <c r="G196" s="87">
        <v>2.75</v>
      </c>
      <c r="H196" s="39"/>
      <c r="I196" s="6"/>
    </row>
    <row r="197" spans="1:9" ht="12.2" customHeight="1" x14ac:dyDescent="0.2">
      <c r="A197" s="5"/>
      <c r="B197" s="16"/>
      <c r="C197" s="16"/>
      <c r="D197" s="85" t="s">
        <v>1242</v>
      </c>
      <c r="E197" s="267" t="s">
        <v>1640</v>
      </c>
      <c r="F197" s="267"/>
      <c r="G197" s="87">
        <v>2.75</v>
      </c>
      <c r="H197" s="39"/>
      <c r="I197" s="6"/>
    </row>
    <row r="198" spans="1:9" x14ac:dyDescent="0.2">
      <c r="A198" s="7" t="s">
        <v>62</v>
      </c>
      <c r="B198" s="17" t="s">
        <v>305</v>
      </c>
      <c r="C198" s="17" t="s">
        <v>358</v>
      </c>
      <c r="D198" s="241" t="s">
        <v>693</v>
      </c>
      <c r="E198" s="242"/>
      <c r="F198" s="17" t="s">
        <v>1042</v>
      </c>
      <c r="G198" s="28">
        <v>3.32</v>
      </c>
      <c r="H198" s="93">
        <v>0</v>
      </c>
      <c r="I198" s="6"/>
    </row>
    <row r="199" spans="1:9" ht="12.2" customHeight="1" x14ac:dyDescent="0.2">
      <c r="A199" s="7"/>
      <c r="B199" s="17"/>
      <c r="C199" s="17"/>
      <c r="D199" s="85" t="s">
        <v>1243</v>
      </c>
      <c r="E199" s="267" t="s">
        <v>1638</v>
      </c>
      <c r="F199" s="267"/>
      <c r="G199" s="88">
        <v>0.38</v>
      </c>
      <c r="H199" s="40"/>
      <c r="I199" s="6"/>
    </row>
    <row r="200" spans="1:9" ht="12.2" customHeight="1" x14ac:dyDescent="0.2">
      <c r="A200" s="7"/>
      <c r="B200" s="17"/>
      <c r="C200" s="17"/>
      <c r="D200" s="85" t="s">
        <v>1244</v>
      </c>
      <c r="E200" s="267" t="s">
        <v>1637</v>
      </c>
      <c r="F200" s="267"/>
      <c r="G200" s="88">
        <v>0.63</v>
      </c>
      <c r="H200" s="40"/>
      <c r="I200" s="6"/>
    </row>
    <row r="201" spans="1:9" ht="12.2" customHeight="1" x14ac:dyDescent="0.2">
      <c r="A201" s="7"/>
      <c r="B201" s="17"/>
      <c r="C201" s="17"/>
      <c r="D201" s="85" t="s">
        <v>1244</v>
      </c>
      <c r="E201" s="267" t="s">
        <v>1637</v>
      </c>
      <c r="F201" s="267"/>
      <c r="G201" s="88">
        <v>0.63</v>
      </c>
      <c r="H201" s="40"/>
      <c r="I201" s="6"/>
    </row>
    <row r="202" spans="1:9" ht="12.2" customHeight="1" x14ac:dyDescent="0.2">
      <c r="A202" s="7"/>
      <c r="B202" s="17"/>
      <c r="C202" s="17"/>
      <c r="D202" s="85" t="s">
        <v>1245</v>
      </c>
      <c r="E202" s="267" t="s">
        <v>1639</v>
      </c>
      <c r="F202" s="267"/>
      <c r="G202" s="88">
        <v>0.69</v>
      </c>
      <c r="H202" s="40"/>
      <c r="I202" s="6"/>
    </row>
    <row r="203" spans="1:9" ht="12.2" customHeight="1" x14ac:dyDescent="0.2">
      <c r="A203" s="7"/>
      <c r="B203" s="17"/>
      <c r="C203" s="17"/>
      <c r="D203" s="85" t="s">
        <v>1245</v>
      </c>
      <c r="E203" s="267" t="s">
        <v>1640</v>
      </c>
      <c r="F203" s="267"/>
      <c r="G203" s="88">
        <v>0.69</v>
      </c>
      <c r="H203" s="40"/>
      <c r="I203" s="6"/>
    </row>
    <row r="204" spans="1:9" ht="12.2" customHeight="1" x14ac:dyDescent="0.2">
      <c r="A204" s="7"/>
      <c r="B204" s="17"/>
      <c r="C204" s="17"/>
      <c r="D204" s="85" t="s">
        <v>1246</v>
      </c>
      <c r="E204" s="267"/>
      <c r="F204" s="267"/>
      <c r="G204" s="88">
        <v>0.3</v>
      </c>
      <c r="H204" s="40"/>
      <c r="I204" s="6"/>
    </row>
    <row r="205" spans="1:9" x14ac:dyDescent="0.2">
      <c r="A205" s="7" t="s">
        <v>63</v>
      </c>
      <c r="B205" s="17" t="s">
        <v>305</v>
      </c>
      <c r="C205" s="17" t="s">
        <v>359</v>
      </c>
      <c r="D205" s="241" t="s">
        <v>694</v>
      </c>
      <c r="E205" s="242"/>
      <c r="F205" s="17" t="s">
        <v>1042</v>
      </c>
      <c r="G205" s="28">
        <v>2.2200000000000002</v>
      </c>
      <c r="H205" s="93">
        <v>0</v>
      </c>
      <c r="I205" s="6"/>
    </row>
    <row r="206" spans="1:9" ht="12.2" customHeight="1" x14ac:dyDescent="0.2">
      <c r="A206" s="7"/>
      <c r="B206" s="17"/>
      <c r="C206" s="17"/>
      <c r="D206" s="85" t="s">
        <v>1247</v>
      </c>
      <c r="E206" s="267" t="s">
        <v>1648</v>
      </c>
      <c r="F206" s="267"/>
      <c r="G206" s="88">
        <v>2.02</v>
      </c>
      <c r="H206" s="40"/>
      <c r="I206" s="6"/>
    </row>
    <row r="207" spans="1:9" ht="12.2" customHeight="1" x14ac:dyDescent="0.2">
      <c r="A207" s="7"/>
      <c r="B207" s="17"/>
      <c r="C207" s="17"/>
      <c r="D207" s="85" t="s">
        <v>1248</v>
      </c>
      <c r="E207" s="267"/>
      <c r="F207" s="267"/>
      <c r="G207" s="88">
        <v>0.2</v>
      </c>
      <c r="H207" s="40"/>
      <c r="I207" s="6"/>
    </row>
    <row r="208" spans="1:9" x14ac:dyDescent="0.2">
      <c r="A208" s="5" t="s">
        <v>64</v>
      </c>
      <c r="B208" s="16" t="s">
        <v>305</v>
      </c>
      <c r="C208" s="16" t="s">
        <v>360</v>
      </c>
      <c r="D208" s="243" t="s">
        <v>695</v>
      </c>
      <c r="E208" s="244"/>
      <c r="F208" s="16" t="s">
        <v>1042</v>
      </c>
      <c r="G208" s="27">
        <v>17.850000000000001</v>
      </c>
      <c r="H208" s="91">
        <v>0</v>
      </c>
      <c r="I208" s="6"/>
    </row>
    <row r="209" spans="1:9" ht="12.2" customHeight="1" x14ac:dyDescent="0.2">
      <c r="A209" s="5"/>
      <c r="B209" s="16"/>
      <c r="C209" s="16"/>
      <c r="D209" s="85" t="s">
        <v>1249</v>
      </c>
      <c r="E209" s="267" t="s">
        <v>1649</v>
      </c>
      <c r="F209" s="267"/>
      <c r="G209" s="87">
        <v>9.48</v>
      </c>
      <c r="H209" s="39"/>
      <c r="I209" s="6"/>
    </row>
    <row r="210" spans="1:9" ht="12.2" customHeight="1" x14ac:dyDescent="0.2">
      <c r="A210" s="5"/>
      <c r="B210" s="16"/>
      <c r="C210" s="16"/>
      <c r="D210" s="85" t="s">
        <v>1250</v>
      </c>
      <c r="E210" s="267" t="s">
        <v>1650</v>
      </c>
      <c r="F210" s="267"/>
      <c r="G210" s="87">
        <v>-1.72</v>
      </c>
      <c r="H210" s="39"/>
      <c r="I210" s="6"/>
    </row>
    <row r="211" spans="1:9" ht="12.2" customHeight="1" x14ac:dyDescent="0.2">
      <c r="A211" s="5"/>
      <c r="B211" s="16"/>
      <c r="C211" s="16"/>
      <c r="D211" s="85" t="s">
        <v>1251</v>
      </c>
      <c r="E211" s="267" t="s">
        <v>1651</v>
      </c>
      <c r="F211" s="267"/>
      <c r="G211" s="87">
        <v>12.03</v>
      </c>
      <c r="H211" s="39"/>
      <c r="I211" s="6"/>
    </row>
    <row r="212" spans="1:9" ht="12.2" customHeight="1" x14ac:dyDescent="0.2">
      <c r="A212" s="5"/>
      <c r="B212" s="16"/>
      <c r="C212" s="16"/>
      <c r="D212" s="85" t="s">
        <v>1252</v>
      </c>
      <c r="E212" s="267" t="s">
        <v>1652</v>
      </c>
      <c r="F212" s="267"/>
      <c r="G212" s="87">
        <v>-1.94</v>
      </c>
      <c r="H212" s="39"/>
      <c r="I212" s="6"/>
    </row>
    <row r="213" spans="1:9" x14ac:dyDescent="0.2">
      <c r="A213" s="5" t="s">
        <v>65</v>
      </c>
      <c r="B213" s="16" t="s">
        <v>305</v>
      </c>
      <c r="C213" s="16" t="s">
        <v>361</v>
      </c>
      <c r="D213" s="243" t="s">
        <v>697</v>
      </c>
      <c r="E213" s="244"/>
      <c r="F213" s="16" t="s">
        <v>1045</v>
      </c>
      <c r="G213" s="27">
        <v>1</v>
      </c>
      <c r="H213" s="91">
        <v>0</v>
      </c>
      <c r="I213" s="6"/>
    </row>
    <row r="214" spans="1:9" ht="12.2" customHeight="1" x14ac:dyDescent="0.2">
      <c r="A214" s="5"/>
      <c r="B214" s="16"/>
      <c r="C214" s="16"/>
      <c r="D214" s="85" t="s">
        <v>7</v>
      </c>
      <c r="E214" s="267" t="s">
        <v>1650</v>
      </c>
      <c r="F214" s="267"/>
      <c r="G214" s="87">
        <v>1</v>
      </c>
      <c r="H214" s="39"/>
      <c r="I214" s="6"/>
    </row>
    <row r="215" spans="1:9" x14ac:dyDescent="0.2">
      <c r="A215" s="5" t="s">
        <v>66</v>
      </c>
      <c r="B215" s="16" t="s">
        <v>305</v>
      </c>
      <c r="C215" s="16" t="s">
        <v>362</v>
      </c>
      <c r="D215" s="243" t="s">
        <v>699</v>
      </c>
      <c r="E215" s="244"/>
      <c r="F215" s="16" t="s">
        <v>1045</v>
      </c>
      <c r="G215" s="27">
        <v>1</v>
      </c>
      <c r="H215" s="91">
        <v>0</v>
      </c>
      <c r="I215" s="6"/>
    </row>
    <row r="216" spans="1:9" ht="12.2" customHeight="1" x14ac:dyDescent="0.2">
      <c r="A216" s="5"/>
      <c r="B216" s="16"/>
      <c r="C216" s="16"/>
      <c r="D216" s="85" t="s">
        <v>7</v>
      </c>
      <c r="E216" s="267" t="s">
        <v>1652</v>
      </c>
      <c r="F216" s="267"/>
      <c r="G216" s="87">
        <v>1</v>
      </c>
      <c r="H216" s="39"/>
      <c r="I216" s="6"/>
    </row>
    <row r="217" spans="1:9" x14ac:dyDescent="0.2">
      <c r="A217" s="5" t="s">
        <v>67</v>
      </c>
      <c r="B217" s="16" t="s">
        <v>305</v>
      </c>
      <c r="C217" s="16" t="s">
        <v>363</v>
      </c>
      <c r="D217" s="243" t="s">
        <v>701</v>
      </c>
      <c r="E217" s="244"/>
      <c r="F217" s="16" t="s">
        <v>1045</v>
      </c>
      <c r="G217" s="27">
        <v>1</v>
      </c>
      <c r="H217" s="91">
        <v>0</v>
      </c>
      <c r="I217" s="6"/>
    </row>
    <row r="218" spans="1:9" ht="12.2" customHeight="1" x14ac:dyDescent="0.2">
      <c r="A218" s="5"/>
      <c r="B218" s="16"/>
      <c r="C218" s="16"/>
      <c r="D218" s="85" t="s">
        <v>7</v>
      </c>
      <c r="E218" s="267" t="s">
        <v>1653</v>
      </c>
      <c r="F218" s="267"/>
      <c r="G218" s="87">
        <v>1</v>
      </c>
      <c r="H218" s="39"/>
      <c r="I218" s="6"/>
    </row>
    <row r="219" spans="1:9" x14ac:dyDescent="0.2">
      <c r="A219" s="5" t="s">
        <v>68</v>
      </c>
      <c r="B219" s="16" t="s">
        <v>305</v>
      </c>
      <c r="C219" s="16" t="s">
        <v>364</v>
      </c>
      <c r="D219" s="243" t="s">
        <v>701</v>
      </c>
      <c r="E219" s="244"/>
      <c r="F219" s="16" t="s">
        <v>1045</v>
      </c>
      <c r="G219" s="27">
        <v>6</v>
      </c>
      <c r="H219" s="91">
        <v>0</v>
      </c>
      <c r="I219" s="6"/>
    </row>
    <row r="220" spans="1:9" ht="12.2" customHeight="1" x14ac:dyDescent="0.2">
      <c r="A220" s="5"/>
      <c r="B220" s="16"/>
      <c r="C220" s="16"/>
      <c r="D220" s="85" t="s">
        <v>7</v>
      </c>
      <c r="E220" s="267" t="s">
        <v>1654</v>
      </c>
      <c r="F220" s="267"/>
      <c r="G220" s="87">
        <v>1</v>
      </c>
      <c r="H220" s="39"/>
      <c r="I220" s="6"/>
    </row>
    <row r="221" spans="1:9" ht="12.2" customHeight="1" x14ac:dyDescent="0.2">
      <c r="A221" s="5"/>
      <c r="B221" s="16"/>
      <c r="C221" s="16"/>
      <c r="D221" s="85" t="s">
        <v>7</v>
      </c>
      <c r="E221" s="267" t="s">
        <v>1655</v>
      </c>
      <c r="F221" s="267"/>
      <c r="G221" s="87">
        <v>1</v>
      </c>
      <c r="H221" s="39"/>
      <c r="I221" s="6"/>
    </row>
    <row r="222" spans="1:9" ht="12.2" customHeight="1" x14ac:dyDescent="0.2">
      <c r="A222" s="5"/>
      <c r="B222" s="16"/>
      <c r="C222" s="16"/>
      <c r="D222" s="85" t="s">
        <v>7</v>
      </c>
      <c r="E222" s="267" t="s">
        <v>1656</v>
      </c>
      <c r="F222" s="267"/>
      <c r="G222" s="87">
        <v>1</v>
      </c>
      <c r="H222" s="39"/>
      <c r="I222" s="6"/>
    </row>
    <row r="223" spans="1:9" ht="12.2" customHeight="1" x14ac:dyDescent="0.2">
      <c r="A223" s="5"/>
      <c r="B223" s="16"/>
      <c r="C223" s="16"/>
      <c r="D223" s="85" t="s">
        <v>7</v>
      </c>
      <c r="E223" s="267" t="s">
        <v>1657</v>
      </c>
      <c r="F223" s="267"/>
      <c r="G223" s="87">
        <v>1</v>
      </c>
      <c r="H223" s="39"/>
      <c r="I223" s="6"/>
    </row>
    <row r="224" spans="1:9" ht="12.2" customHeight="1" x14ac:dyDescent="0.2">
      <c r="A224" s="5"/>
      <c r="B224" s="16"/>
      <c r="C224" s="16"/>
      <c r="D224" s="85" t="s">
        <v>7</v>
      </c>
      <c r="E224" s="267" t="s">
        <v>1658</v>
      </c>
      <c r="F224" s="267"/>
      <c r="G224" s="87">
        <v>1</v>
      </c>
      <c r="H224" s="39"/>
      <c r="I224" s="6"/>
    </row>
    <row r="225" spans="1:9" ht="12.2" customHeight="1" x14ac:dyDescent="0.2">
      <c r="A225" s="5"/>
      <c r="B225" s="16"/>
      <c r="C225" s="16"/>
      <c r="D225" s="85" t="s">
        <v>7</v>
      </c>
      <c r="E225" s="267" t="s">
        <v>1659</v>
      </c>
      <c r="F225" s="267"/>
      <c r="G225" s="87">
        <v>1</v>
      </c>
      <c r="H225" s="39"/>
      <c r="I225" s="6"/>
    </row>
    <row r="226" spans="1:9" x14ac:dyDescent="0.2">
      <c r="A226" s="5" t="s">
        <v>69</v>
      </c>
      <c r="B226" s="16" t="s">
        <v>307</v>
      </c>
      <c r="C226" s="16" t="s">
        <v>345</v>
      </c>
      <c r="D226" s="243" t="s">
        <v>677</v>
      </c>
      <c r="E226" s="244"/>
      <c r="F226" s="16" t="s">
        <v>1042</v>
      </c>
      <c r="G226" s="27">
        <v>9.11</v>
      </c>
      <c r="H226" s="91">
        <v>0</v>
      </c>
      <c r="I226" s="6"/>
    </row>
    <row r="227" spans="1:9" ht="12.2" customHeight="1" x14ac:dyDescent="0.2">
      <c r="A227" s="5"/>
      <c r="B227" s="16"/>
      <c r="C227" s="16"/>
      <c r="D227" s="85" t="s">
        <v>1253</v>
      </c>
      <c r="E227" s="267" t="s">
        <v>1660</v>
      </c>
      <c r="F227" s="267"/>
      <c r="G227" s="87">
        <v>9.11</v>
      </c>
      <c r="H227" s="39"/>
      <c r="I227" s="6"/>
    </row>
    <row r="228" spans="1:9" x14ac:dyDescent="0.2">
      <c r="A228" s="5" t="s">
        <v>70</v>
      </c>
      <c r="B228" s="16" t="s">
        <v>307</v>
      </c>
      <c r="C228" s="16" t="s">
        <v>347</v>
      </c>
      <c r="D228" s="243" t="s">
        <v>679</v>
      </c>
      <c r="E228" s="244"/>
      <c r="F228" s="16" t="s">
        <v>1043</v>
      </c>
      <c r="G228" s="27">
        <v>0.11</v>
      </c>
      <c r="H228" s="91">
        <v>0</v>
      </c>
      <c r="I228" s="6"/>
    </row>
    <row r="229" spans="1:9" ht="12.2" customHeight="1" x14ac:dyDescent="0.2">
      <c r="A229" s="5"/>
      <c r="B229" s="16"/>
      <c r="C229" s="16"/>
      <c r="D229" s="85" t="s">
        <v>1254</v>
      </c>
      <c r="E229" s="267" t="s">
        <v>1660</v>
      </c>
      <c r="F229" s="267"/>
      <c r="G229" s="87">
        <v>0.11</v>
      </c>
      <c r="H229" s="39"/>
      <c r="I229" s="6"/>
    </row>
    <row r="230" spans="1:9" ht="25.7" customHeight="1" x14ac:dyDescent="0.2">
      <c r="A230" s="6"/>
      <c r="C230" s="84" t="s">
        <v>302</v>
      </c>
      <c r="D230" s="248" t="s">
        <v>669</v>
      </c>
      <c r="E230" s="249"/>
      <c r="F230" s="249"/>
      <c r="G230" s="249"/>
      <c r="H230" s="92"/>
      <c r="I230" s="6"/>
    </row>
    <row r="231" spans="1:9" x14ac:dyDescent="0.2">
      <c r="A231" s="7" t="s">
        <v>71</v>
      </c>
      <c r="B231" s="17" t="s">
        <v>307</v>
      </c>
      <c r="C231" s="17" t="s">
        <v>604</v>
      </c>
      <c r="D231" s="241" t="s">
        <v>1022</v>
      </c>
      <c r="E231" s="242"/>
      <c r="F231" s="17" t="s">
        <v>1045</v>
      </c>
      <c r="G231" s="28">
        <v>1</v>
      </c>
      <c r="H231" s="93">
        <v>0</v>
      </c>
      <c r="I231" s="6"/>
    </row>
    <row r="232" spans="1:9" ht="12.2" customHeight="1" x14ac:dyDescent="0.2">
      <c r="A232" s="7"/>
      <c r="B232" s="17"/>
      <c r="C232" s="17"/>
      <c r="D232" s="85" t="s">
        <v>7</v>
      </c>
      <c r="E232" s="267" t="s">
        <v>1661</v>
      </c>
      <c r="F232" s="267"/>
      <c r="G232" s="88">
        <v>1</v>
      </c>
      <c r="H232" s="40"/>
      <c r="I232" s="6"/>
    </row>
    <row r="233" spans="1:9" x14ac:dyDescent="0.2">
      <c r="A233" s="5" t="s">
        <v>72</v>
      </c>
      <c r="B233" s="16" t="s">
        <v>307</v>
      </c>
      <c r="C233" s="16" t="s">
        <v>605</v>
      </c>
      <c r="D233" s="243" t="s">
        <v>1023</v>
      </c>
      <c r="E233" s="244"/>
      <c r="F233" s="16" t="s">
        <v>1044</v>
      </c>
      <c r="G233" s="27">
        <v>2.5499999999999998</v>
      </c>
      <c r="H233" s="91">
        <v>0</v>
      </c>
      <c r="I233" s="6"/>
    </row>
    <row r="234" spans="1:9" ht="12.2" customHeight="1" x14ac:dyDescent="0.2">
      <c r="A234" s="5"/>
      <c r="B234" s="16"/>
      <c r="C234" s="16"/>
      <c r="D234" s="85" t="s">
        <v>1255</v>
      </c>
      <c r="E234" s="267" t="s">
        <v>1662</v>
      </c>
      <c r="F234" s="267"/>
      <c r="G234" s="87">
        <v>2.5499999999999998</v>
      </c>
      <c r="H234" s="39"/>
      <c r="I234" s="6"/>
    </row>
    <row r="235" spans="1:9" x14ac:dyDescent="0.2">
      <c r="A235" s="82"/>
      <c r="B235" s="15"/>
      <c r="C235" s="15" t="s">
        <v>40</v>
      </c>
      <c r="D235" s="237" t="s">
        <v>705</v>
      </c>
      <c r="E235" s="238"/>
      <c r="F235" s="15"/>
      <c r="G235" s="51"/>
      <c r="H235" s="38"/>
      <c r="I235" s="6"/>
    </row>
    <row r="236" spans="1:9" x14ac:dyDescent="0.2">
      <c r="A236" s="5" t="s">
        <v>73</v>
      </c>
      <c r="B236" s="16" t="s">
        <v>305</v>
      </c>
      <c r="C236" s="16" t="s">
        <v>365</v>
      </c>
      <c r="D236" s="243" t="s">
        <v>706</v>
      </c>
      <c r="E236" s="244"/>
      <c r="F236" s="16" t="s">
        <v>1042</v>
      </c>
      <c r="G236" s="27">
        <v>2.58</v>
      </c>
      <c r="H236" s="91">
        <v>0</v>
      </c>
      <c r="I236" s="6"/>
    </row>
    <row r="237" spans="1:9" ht="12.2" customHeight="1" x14ac:dyDescent="0.2">
      <c r="A237" s="5"/>
      <c r="B237" s="16"/>
      <c r="C237" s="16"/>
      <c r="D237" s="85" t="s">
        <v>1256</v>
      </c>
      <c r="E237" s="267" t="s">
        <v>1663</v>
      </c>
      <c r="F237" s="267"/>
      <c r="G237" s="87">
        <v>2.58</v>
      </c>
      <c r="H237" s="39"/>
      <c r="I237" s="6"/>
    </row>
    <row r="238" spans="1:9" x14ac:dyDescent="0.2">
      <c r="A238" s="5" t="s">
        <v>74</v>
      </c>
      <c r="B238" s="16" t="s">
        <v>305</v>
      </c>
      <c r="C238" s="16" t="s">
        <v>366</v>
      </c>
      <c r="D238" s="243" t="s">
        <v>708</v>
      </c>
      <c r="E238" s="244"/>
      <c r="F238" s="16" t="s">
        <v>1042</v>
      </c>
      <c r="G238" s="27">
        <v>6.89</v>
      </c>
      <c r="H238" s="91">
        <v>0</v>
      </c>
      <c r="I238" s="6"/>
    </row>
    <row r="239" spans="1:9" ht="12.2" customHeight="1" x14ac:dyDescent="0.2">
      <c r="A239" s="5"/>
      <c r="B239" s="16"/>
      <c r="C239" s="16"/>
      <c r="D239" s="85" t="s">
        <v>1257</v>
      </c>
      <c r="E239" s="267" t="s">
        <v>1664</v>
      </c>
      <c r="F239" s="267"/>
      <c r="G239" s="87">
        <v>8.61</v>
      </c>
      <c r="H239" s="39"/>
      <c r="I239" s="6"/>
    </row>
    <row r="240" spans="1:9" ht="12.2" customHeight="1" x14ac:dyDescent="0.2">
      <c r="A240" s="5"/>
      <c r="B240" s="16"/>
      <c r="C240" s="16"/>
      <c r="D240" s="85" t="s">
        <v>1250</v>
      </c>
      <c r="E240" s="267" t="s">
        <v>1653</v>
      </c>
      <c r="F240" s="267"/>
      <c r="G240" s="87">
        <v>-1.72</v>
      </c>
      <c r="H240" s="39"/>
      <c r="I240" s="6"/>
    </row>
    <row r="241" spans="1:9" x14ac:dyDescent="0.2">
      <c r="A241" s="5" t="s">
        <v>75</v>
      </c>
      <c r="B241" s="16" t="s">
        <v>305</v>
      </c>
      <c r="C241" s="16" t="s">
        <v>367</v>
      </c>
      <c r="D241" s="243" t="s">
        <v>710</v>
      </c>
      <c r="E241" s="244"/>
      <c r="F241" s="16" t="s">
        <v>1042</v>
      </c>
      <c r="G241" s="27">
        <v>111.35</v>
      </c>
      <c r="H241" s="91">
        <v>0</v>
      </c>
      <c r="I241" s="6"/>
    </row>
    <row r="242" spans="1:9" ht="12.2" customHeight="1" x14ac:dyDescent="0.2">
      <c r="A242" s="5"/>
      <c r="B242" s="16"/>
      <c r="C242" s="16"/>
      <c r="D242" s="85" t="s">
        <v>1258</v>
      </c>
      <c r="E242" s="267" t="s">
        <v>1665</v>
      </c>
      <c r="F242" s="267"/>
      <c r="G242" s="87">
        <v>26.01</v>
      </c>
      <c r="H242" s="39"/>
      <c r="I242" s="6"/>
    </row>
    <row r="243" spans="1:9" ht="12.2" customHeight="1" x14ac:dyDescent="0.2">
      <c r="A243" s="5"/>
      <c r="B243" s="16"/>
      <c r="C243" s="16"/>
      <c r="D243" s="85" t="s">
        <v>1250</v>
      </c>
      <c r="E243" s="267" t="s">
        <v>1655</v>
      </c>
      <c r="F243" s="267"/>
      <c r="G243" s="87">
        <v>-1.72</v>
      </c>
      <c r="H243" s="39"/>
      <c r="I243" s="6"/>
    </row>
    <row r="244" spans="1:9" ht="12.2" customHeight="1" x14ac:dyDescent="0.2">
      <c r="A244" s="5"/>
      <c r="B244" s="16"/>
      <c r="C244" s="16"/>
      <c r="D244" s="85" t="s">
        <v>1250</v>
      </c>
      <c r="E244" s="267" t="s">
        <v>1656</v>
      </c>
      <c r="F244" s="267"/>
      <c r="G244" s="87">
        <v>-1.72</v>
      </c>
      <c r="H244" s="39"/>
      <c r="I244" s="6"/>
    </row>
    <row r="245" spans="1:9" ht="12.2" customHeight="1" x14ac:dyDescent="0.2">
      <c r="A245" s="5"/>
      <c r="B245" s="16"/>
      <c r="C245" s="16"/>
      <c r="D245" s="85" t="s">
        <v>1259</v>
      </c>
      <c r="E245" s="267" t="s">
        <v>1666</v>
      </c>
      <c r="F245" s="267"/>
      <c r="G245" s="87">
        <v>15.82</v>
      </c>
      <c r="H245" s="39"/>
      <c r="I245" s="6"/>
    </row>
    <row r="246" spans="1:9" ht="12.2" customHeight="1" x14ac:dyDescent="0.2">
      <c r="A246" s="5"/>
      <c r="B246" s="16"/>
      <c r="C246" s="16"/>
      <c r="D246" s="85" t="s">
        <v>1260</v>
      </c>
      <c r="E246" s="267" t="s">
        <v>1621</v>
      </c>
      <c r="F246" s="267"/>
      <c r="G246" s="87">
        <v>-3.36</v>
      </c>
      <c r="H246" s="39"/>
      <c r="I246" s="6"/>
    </row>
    <row r="247" spans="1:9" ht="12.2" customHeight="1" x14ac:dyDescent="0.2">
      <c r="A247" s="5"/>
      <c r="B247" s="16"/>
      <c r="C247" s="16"/>
      <c r="D247" s="85" t="s">
        <v>1261</v>
      </c>
      <c r="E247" s="267" t="s">
        <v>1667</v>
      </c>
      <c r="F247" s="267"/>
      <c r="G247" s="87">
        <v>29.7</v>
      </c>
      <c r="H247" s="39"/>
      <c r="I247" s="6"/>
    </row>
    <row r="248" spans="1:9" ht="12.2" customHeight="1" x14ac:dyDescent="0.2">
      <c r="A248" s="5"/>
      <c r="B248" s="16"/>
      <c r="C248" s="16"/>
      <c r="D248" s="85" t="s">
        <v>1250</v>
      </c>
      <c r="E248" s="267" t="s">
        <v>1654</v>
      </c>
      <c r="F248" s="267"/>
      <c r="G248" s="87">
        <v>-1.72</v>
      </c>
      <c r="H248" s="39"/>
      <c r="I248" s="6"/>
    </row>
    <row r="249" spans="1:9" ht="12.2" customHeight="1" x14ac:dyDescent="0.2">
      <c r="A249" s="5"/>
      <c r="B249" s="16"/>
      <c r="C249" s="16"/>
      <c r="D249" s="85" t="s">
        <v>1262</v>
      </c>
      <c r="E249" s="267" t="s">
        <v>1668</v>
      </c>
      <c r="F249" s="267"/>
      <c r="G249" s="87">
        <v>-2.63</v>
      </c>
      <c r="H249" s="39"/>
      <c r="I249" s="6"/>
    </row>
    <row r="250" spans="1:9" ht="12.2" customHeight="1" x14ac:dyDescent="0.2">
      <c r="A250" s="5"/>
      <c r="B250" s="16"/>
      <c r="C250" s="16"/>
      <c r="D250" s="85" t="s">
        <v>1263</v>
      </c>
      <c r="E250" s="267" t="s">
        <v>1669</v>
      </c>
      <c r="F250" s="267"/>
      <c r="G250" s="87">
        <v>12.48</v>
      </c>
      <c r="H250" s="39"/>
      <c r="I250" s="6"/>
    </row>
    <row r="251" spans="1:9" ht="12.2" customHeight="1" x14ac:dyDescent="0.2">
      <c r="A251" s="5"/>
      <c r="B251" s="16"/>
      <c r="C251" s="16"/>
      <c r="D251" s="85" t="s">
        <v>1264</v>
      </c>
      <c r="E251" s="267" t="s">
        <v>1670</v>
      </c>
      <c r="F251" s="267"/>
      <c r="G251" s="87">
        <v>24.09</v>
      </c>
      <c r="H251" s="39"/>
      <c r="I251" s="6"/>
    </row>
    <row r="252" spans="1:9" ht="12.2" customHeight="1" x14ac:dyDescent="0.2">
      <c r="A252" s="5"/>
      <c r="B252" s="16"/>
      <c r="C252" s="16"/>
      <c r="D252" s="85" t="s">
        <v>1252</v>
      </c>
      <c r="E252" s="267" t="s">
        <v>1657</v>
      </c>
      <c r="F252" s="267"/>
      <c r="G252" s="87">
        <v>-1.94</v>
      </c>
      <c r="H252" s="39"/>
      <c r="I252" s="6"/>
    </row>
    <row r="253" spans="1:9" ht="12.2" customHeight="1" x14ac:dyDescent="0.2">
      <c r="A253" s="5"/>
      <c r="B253" s="16"/>
      <c r="C253" s="16"/>
      <c r="D253" s="85" t="s">
        <v>1252</v>
      </c>
      <c r="E253" s="267" t="s">
        <v>1658</v>
      </c>
      <c r="F253" s="267"/>
      <c r="G253" s="87">
        <v>-1.94</v>
      </c>
      <c r="H253" s="39"/>
      <c r="I253" s="6"/>
    </row>
    <row r="254" spans="1:9" ht="12.2" customHeight="1" x14ac:dyDescent="0.2">
      <c r="A254" s="5"/>
      <c r="B254" s="16"/>
      <c r="C254" s="16"/>
      <c r="D254" s="85" t="s">
        <v>1265</v>
      </c>
      <c r="E254" s="267" t="s">
        <v>1671</v>
      </c>
      <c r="F254" s="267"/>
      <c r="G254" s="87">
        <v>20.22</v>
      </c>
      <c r="H254" s="39"/>
      <c r="I254" s="6"/>
    </row>
    <row r="255" spans="1:9" ht="12.2" customHeight="1" x14ac:dyDescent="0.2">
      <c r="A255" s="5"/>
      <c r="B255" s="16"/>
      <c r="C255" s="16"/>
      <c r="D255" s="85" t="s">
        <v>1252</v>
      </c>
      <c r="E255" s="267" t="s">
        <v>1659</v>
      </c>
      <c r="F255" s="267"/>
      <c r="G255" s="87">
        <v>-1.94</v>
      </c>
      <c r="H255" s="39"/>
      <c r="I255" s="6"/>
    </row>
    <row r="256" spans="1:9" x14ac:dyDescent="0.2">
      <c r="A256" s="5" t="s">
        <v>76</v>
      </c>
      <c r="B256" s="16" t="s">
        <v>305</v>
      </c>
      <c r="C256" s="16" t="s">
        <v>368</v>
      </c>
      <c r="D256" s="243" t="s">
        <v>712</v>
      </c>
      <c r="E256" s="244"/>
      <c r="F256" s="16" t="s">
        <v>1042</v>
      </c>
      <c r="G256" s="27">
        <v>5.42</v>
      </c>
      <c r="H256" s="91">
        <v>0</v>
      </c>
      <c r="I256" s="6"/>
    </row>
    <row r="257" spans="1:9" ht="12.2" customHeight="1" x14ac:dyDescent="0.2">
      <c r="A257" s="5"/>
      <c r="B257" s="16"/>
      <c r="C257" s="16"/>
      <c r="D257" s="85" t="s">
        <v>1266</v>
      </c>
      <c r="E257" s="267" t="s">
        <v>1672</v>
      </c>
      <c r="F257" s="267"/>
      <c r="G257" s="87">
        <v>2.8</v>
      </c>
      <c r="H257" s="39"/>
      <c r="I257" s="6"/>
    </row>
    <row r="258" spans="1:9" ht="12.2" customHeight="1" x14ac:dyDescent="0.2">
      <c r="A258" s="5"/>
      <c r="B258" s="16"/>
      <c r="C258" s="16"/>
      <c r="D258" s="85" t="s">
        <v>1267</v>
      </c>
      <c r="E258" s="267" t="s">
        <v>1673</v>
      </c>
      <c r="F258" s="267"/>
      <c r="G258" s="87">
        <v>2.62</v>
      </c>
      <c r="H258" s="39"/>
      <c r="I258" s="6"/>
    </row>
    <row r="259" spans="1:9" x14ac:dyDescent="0.2">
      <c r="A259" s="82"/>
      <c r="B259" s="15"/>
      <c r="C259" s="15" t="s">
        <v>47</v>
      </c>
      <c r="D259" s="237" t="s">
        <v>713</v>
      </c>
      <c r="E259" s="238"/>
      <c r="F259" s="15"/>
      <c r="G259" s="51"/>
      <c r="H259" s="38"/>
      <c r="I259" s="6"/>
    </row>
    <row r="260" spans="1:9" x14ac:dyDescent="0.2">
      <c r="A260" s="5" t="s">
        <v>77</v>
      </c>
      <c r="B260" s="16" t="s">
        <v>305</v>
      </c>
      <c r="C260" s="16" t="s">
        <v>369</v>
      </c>
      <c r="D260" s="243" t="s">
        <v>714</v>
      </c>
      <c r="E260" s="244"/>
      <c r="F260" s="16" t="s">
        <v>1041</v>
      </c>
      <c r="G260" s="27">
        <v>60.95</v>
      </c>
      <c r="H260" s="91">
        <v>0</v>
      </c>
      <c r="I260" s="6"/>
    </row>
    <row r="261" spans="1:9" ht="12.2" customHeight="1" x14ac:dyDescent="0.2">
      <c r="A261" s="5"/>
      <c r="B261" s="16"/>
      <c r="C261" s="16"/>
      <c r="D261" s="85" t="s">
        <v>1268</v>
      </c>
      <c r="E261" s="267" t="s">
        <v>1674</v>
      </c>
      <c r="F261" s="267"/>
      <c r="G261" s="87">
        <v>29.88</v>
      </c>
      <c r="H261" s="39"/>
      <c r="I261" s="6"/>
    </row>
    <row r="262" spans="1:9" ht="12.2" customHeight="1" x14ac:dyDescent="0.2">
      <c r="A262" s="5"/>
      <c r="B262" s="16"/>
      <c r="C262" s="16"/>
      <c r="D262" s="85" t="s">
        <v>1269</v>
      </c>
      <c r="E262" s="267" t="s">
        <v>1675</v>
      </c>
      <c r="F262" s="267"/>
      <c r="G262" s="87">
        <v>31.07</v>
      </c>
      <c r="H262" s="39"/>
      <c r="I262" s="6"/>
    </row>
    <row r="263" spans="1:9" x14ac:dyDescent="0.2">
      <c r="A263" s="5" t="s">
        <v>78</v>
      </c>
      <c r="B263" s="16" t="s">
        <v>305</v>
      </c>
      <c r="C263" s="16" t="s">
        <v>370</v>
      </c>
      <c r="D263" s="243" t="s">
        <v>715</v>
      </c>
      <c r="E263" s="244"/>
      <c r="F263" s="16" t="s">
        <v>1042</v>
      </c>
      <c r="G263" s="27">
        <v>253.81</v>
      </c>
      <c r="H263" s="91">
        <v>0</v>
      </c>
      <c r="I263" s="6"/>
    </row>
    <row r="264" spans="1:9" ht="12.2" customHeight="1" x14ac:dyDescent="0.2">
      <c r="A264" s="5"/>
      <c r="B264" s="16"/>
      <c r="C264" s="16"/>
      <c r="D264" s="85" t="s">
        <v>1270</v>
      </c>
      <c r="E264" s="267" t="s">
        <v>1676</v>
      </c>
      <c r="F264" s="267"/>
      <c r="G264" s="87">
        <v>124.14</v>
      </c>
      <c r="H264" s="39"/>
      <c r="I264" s="6"/>
    </row>
    <row r="265" spans="1:9" ht="12.2" customHeight="1" x14ac:dyDescent="0.2">
      <c r="A265" s="5"/>
      <c r="B265" s="16"/>
      <c r="C265" s="16"/>
      <c r="D265" s="85" t="s">
        <v>1271</v>
      </c>
      <c r="E265" s="267" t="s">
        <v>1677</v>
      </c>
      <c r="F265" s="267"/>
      <c r="G265" s="87">
        <v>129.66999999999999</v>
      </c>
      <c r="H265" s="39"/>
      <c r="I265" s="6"/>
    </row>
    <row r="266" spans="1:9" ht="12.95" customHeight="1" x14ac:dyDescent="0.2">
      <c r="A266" s="6"/>
      <c r="C266" s="84" t="s">
        <v>302</v>
      </c>
      <c r="D266" s="248" t="s">
        <v>717</v>
      </c>
      <c r="E266" s="249"/>
      <c r="F266" s="249"/>
      <c r="G266" s="249"/>
      <c r="H266" s="92"/>
      <c r="I266" s="6"/>
    </row>
    <row r="267" spans="1:9" x14ac:dyDescent="0.2">
      <c r="A267" s="5" t="s">
        <v>79</v>
      </c>
      <c r="B267" s="16" t="s">
        <v>305</v>
      </c>
      <c r="C267" s="16" t="s">
        <v>371</v>
      </c>
      <c r="D267" s="243" t="s">
        <v>718</v>
      </c>
      <c r="E267" s="244"/>
      <c r="F267" s="16" t="s">
        <v>1042</v>
      </c>
      <c r="G267" s="27">
        <v>253.81</v>
      </c>
      <c r="H267" s="91">
        <v>0</v>
      </c>
      <c r="I267" s="6"/>
    </row>
    <row r="268" spans="1:9" ht="12.2" customHeight="1" x14ac:dyDescent="0.2">
      <c r="A268" s="5"/>
      <c r="B268" s="16"/>
      <c r="C268" s="16"/>
      <c r="D268" s="85" t="s">
        <v>1270</v>
      </c>
      <c r="E268" s="267" t="s">
        <v>1676</v>
      </c>
      <c r="F268" s="267"/>
      <c r="G268" s="87">
        <v>124.14</v>
      </c>
      <c r="H268" s="39"/>
      <c r="I268" s="6"/>
    </row>
    <row r="269" spans="1:9" ht="12.2" customHeight="1" x14ac:dyDescent="0.2">
      <c r="A269" s="5"/>
      <c r="B269" s="16"/>
      <c r="C269" s="16"/>
      <c r="D269" s="85" t="s">
        <v>1271</v>
      </c>
      <c r="E269" s="267" t="s">
        <v>1677</v>
      </c>
      <c r="F269" s="267"/>
      <c r="G269" s="87">
        <v>129.66999999999999</v>
      </c>
      <c r="H269" s="39"/>
      <c r="I269" s="6"/>
    </row>
    <row r="270" spans="1:9" x14ac:dyDescent="0.2">
      <c r="A270" s="5" t="s">
        <v>80</v>
      </c>
      <c r="B270" s="16" t="s">
        <v>305</v>
      </c>
      <c r="C270" s="16" t="s">
        <v>372</v>
      </c>
      <c r="D270" s="243" t="s">
        <v>719</v>
      </c>
      <c r="E270" s="244"/>
      <c r="F270" s="16" t="s">
        <v>1044</v>
      </c>
      <c r="G270" s="27">
        <v>106.35</v>
      </c>
      <c r="H270" s="91">
        <v>0</v>
      </c>
      <c r="I270" s="6"/>
    </row>
    <row r="271" spans="1:9" ht="12.2" customHeight="1" x14ac:dyDescent="0.2">
      <c r="A271" s="5"/>
      <c r="B271" s="16"/>
      <c r="C271" s="16"/>
      <c r="D271" s="85" t="s">
        <v>1272</v>
      </c>
      <c r="E271" s="267" t="s">
        <v>1674</v>
      </c>
      <c r="F271" s="267"/>
      <c r="G271" s="87">
        <v>53.68</v>
      </c>
      <c r="H271" s="39"/>
      <c r="I271" s="6"/>
    </row>
    <row r="272" spans="1:9" ht="12.2" customHeight="1" x14ac:dyDescent="0.2">
      <c r="A272" s="5"/>
      <c r="B272" s="16"/>
      <c r="C272" s="16"/>
      <c r="D272" s="85" t="s">
        <v>1273</v>
      </c>
      <c r="E272" s="267" t="s">
        <v>1675</v>
      </c>
      <c r="F272" s="267"/>
      <c r="G272" s="87">
        <v>52.67</v>
      </c>
      <c r="H272" s="39"/>
      <c r="I272" s="6"/>
    </row>
    <row r="273" spans="1:9" x14ac:dyDescent="0.2">
      <c r="A273" s="5" t="s">
        <v>81</v>
      </c>
      <c r="B273" s="16" t="s">
        <v>305</v>
      </c>
      <c r="C273" s="16" t="s">
        <v>373</v>
      </c>
      <c r="D273" s="243" t="s">
        <v>720</v>
      </c>
      <c r="E273" s="244"/>
      <c r="F273" s="16" t="s">
        <v>1044</v>
      </c>
      <c r="G273" s="27">
        <v>106.35</v>
      </c>
      <c r="H273" s="91">
        <v>0</v>
      </c>
      <c r="I273" s="6"/>
    </row>
    <row r="274" spans="1:9" ht="12.2" customHeight="1" x14ac:dyDescent="0.2">
      <c r="A274" s="5"/>
      <c r="B274" s="16"/>
      <c r="C274" s="16"/>
      <c r="D274" s="85" t="s">
        <v>1272</v>
      </c>
      <c r="E274" s="267" t="s">
        <v>1674</v>
      </c>
      <c r="F274" s="267"/>
      <c r="G274" s="87">
        <v>53.68</v>
      </c>
      <c r="H274" s="39"/>
      <c r="I274" s="6"/>
    </row>
    <row r="275" spans="1:9" ht="12.2" customHeight="1" x14ac:dyDescent="0.2">
      <c r="A275" s="5"/>
      <c r="B275" s="16"/>
      <c r="C275" s="16"/>
      <c r="D275" s="85" t="s">
        <v>1273</v>
      </c>
      <c r="E275" s="267" t="s">
        <v>1675</v>
      </c>
      <c r="F275" s="267"/>
      <c r="G275" s="87">
        <v>52.67</v>
      </c>
      <c r="H275" s="39"/>
      <c r="I275" s="6"/>
    </row>
    <row r="276" spans="1:9" x14ac:dyDescent="0.2">
      <c r="A276" s="5" t="s">
        <v>82</v>
      </c>
      <c r="B276" s="16" t="s">
        <v>305</v>
      </c>
      <c r="C276" s="16" t="s">
        <v>374</v>
      </c>
      <c r="D276" s="243" t="s">
        <v>721</v>
      </c>
      <c r="E276" s="244"/>
      <c r="F276" s="16" t="s">
        <v>1045</v>
      </c>
      <c r="G276" s="27">
        <v>2</v>
      </c>
      <c r="H276" s="91">
        <v>0</v>
      </c>
      <c r="I276" s="6"/>
    </row>
    <row r="277" spans="1:9" ht="12.2" customHeight="1" x14ac:dyDescent="0.2">
      <c r="A277" s="5"/>
      <c r="B277" s="16"/>
      <c r="C277" s="16"/>
      <c r="D277" s="85" t="s">
        <v>7</v>
      </c>
      <c r="E277" s="267" t="s">
        <v>1678</v>
      </c>
      <c r="F277" s="267"/>
      <c r="G277" s="87">
        <v>1</v>
      </c>
      <c r="H277" s="39"/>
      <c r="I277" s="6"/>
    </row>
    <row r="278" spans="1:9" ht="12.2" customHeight="1" x14ac:dyDescent="0.2">
      <c r="A278" s="5"/>
      <c r="B278" s="16"/>
      <c r="C278" s="16"/>
      <c r="D278" s="85" t="s">
        <v>7</v>
      </c>
      <c r="E278" s="267" t="s">
        <v>1679</v>
      </c>
      <c r="F278" s="267"/>
      <c r="G278" s="87">
        <v>1</v>
      </c>
      <c r="H278" s="39"/>
      <c r="I278" s="6"/>
    </row>
    <row r="279" spans="1:9" x14ac:dyDescent="0.2">
      <c r="A279" s="5" t="s">
        <v>83</v>
      </c>
      <c r="B279" s="16" t="s">
        <v>305</v>
      </c>
      <c r="C279" s="16" t="s">
        <v>375</v>
      </c>
      <c r="D279" s="243" t="s">
        <v>723</v>
      </c>
      <c r="E279" s="244"/>
      <c r="F279" s="16" t="s">
        <v>1043</v>
      </c>
      <c r="G279" s="27">
        <v>7.61</v>
      </c>
      <c r="H279" s="91">
        <v>0</v>
      </c>
      <c r="I279" s="6"/>
    </row>
    <row r="280" spans="1:9" ht="12.2" customHeight="1" x14ac:dyDescent="0.2">
      <c r="A280" s="5"/>
      <c r="B280" s="16"/>
      <c r="C280" s="16"/>
      <c r="D280" s="85" t="s">
        <v>1274</v>
      </c>
      <c r="E280" s="267" t="s">
        <v>1674</v>
      </c>
      <c r="F280" s="267"/>
      <c r="G280" s="87">
        <v>3.73</v>
      </c>
      <c r="H280" s="39"/>
      <c r="I280" s="6"/>
    </row>
    <row r="281" spans="1:9" ht="12.2" customHeight="1" x14ac:dyDescent="0.2">
      <c r="A281" s="5"/>
      <c r="B281" s="16"/>
      <c r="C281" s="16"/>
      <c r="D281" s="85" t="s">
        <v>1275</v>
      </c>
      <c r="E281" s="267" t="s">
        <v>1675</v>
      </c>
      <c r="F281" s="267"/>
      <c r="G281" s="87">
        <v>3.88</v>
      </c>
      <c r="H281" s="39"/>
      <c r="I281" s="6"/>
    </row>
    <row r="282" spans="1:9" ht="25.7" customHeight="1" x14ac:dyDescent="0.2">
      <c r="A282" s="6"/>
      <c r="C282" s="84" t="s">
        <v>302</v>
      </c>
      <c r="D282" s="248" t="s">
        <v>669</v>
      </c>
      <c r="E282" s="249"/>
      <c r="F282" s="249"/>
      <c r="G282" s="249"/>
      <c r="H282" s="92"/>
      <c r="I282" s="6"/>
    </row>
    <row r="283" spans="1:9" x14ac:dyDescent="0.2">
      <c r="A283" s="5" t="s">
        <v>84</v>
      </c>
      <c r="B283" s="16" t="s">
        <v>305</v>
      </c>
      <c r="C283" s="16" t="s">
        <v>376</v>
      </c>
      <c r="D283" s="243" t="s">
        <v>724</v>
      </c>
      <c r="E283" s="244"/>
      <c r="F283" s="16" t="s">
        <v>1041</v>
      </c>
      <c r="G283" s="27">
        <v>9.39</v>
      </c>
      <c r="H283" s="91">
        <v>0</v>
      </c>
      <c r="I283" s="6"/>
    </row>
    <row r="284" spans="1:9" ht="12.2" customHeight="1" x14ac:dyDescent="0.2">
      <c r="A284" s="5"/>
      <c r="B284" s="16"/>
      <c r="C284" s="16"/>
      <c r="D284" s="85" t="s">
        <v>1276</v>
      </c>
      <c r="E284" s="267" t="s">
        <v>1680</v>
      </c>
      <c r="F284" s="267"/>
      <c r="G284" s="87">
        <v>3.78</v>
      </c>
      <c r="H284" s="39"/>
      <c r="I284" s="6"/>
    </row>
    <row r="285" spans="1:9" ht="12.2" customHeight="1" x14ac:dyDescent="0.2">
      <c r="A285" s="5"/>
      <c r="B285" s="16"/>
      <c r="C285" s="16"/>
      <c r="D285" s="85" t="s">
        <v>1277</v>
      </c>
      <c r="E285" s="267" t="s">
        <v>1681</v>
      </c>
      <c r="F285" s="267"/>
      <c r="G285" s="87">
        <v>1.65</v>
      </c>
      <c r="H285" s="39"/>
      <c r="I285" s="6"/>
    </row>
    <row r="286" spans="1:9" ht="12.2" customHeight="1" x14ac:dyDescent="0.2">
      <c r="A286" s="5"/>
      <c r="B286" s="16"/>
      <c r="C286" s="16"/>
      <c r="D286" s="85" t="s">
        <v>1278</v>
      </c>
      <c r="E286" s="267" t="s">
        <v>1682</v>
      </c>
      <c r="F286" s="267"/>
      <c r="G286" s="87">
        <v>2</v>
      </c>
      <c r="H286" s="39"/>
      <c r="I286" s="6"/>
    </row>
    <row r="287" spans="1:9" ht="12.2" customHeight="1" x14ac:dyDescent="0.2">
      <c r="A287" s="5"/>
      <c r="B287" s="16"/>
      <c r="C287" s="16"/>
      <c r="D287" s="85" t="s">
        <v>1279</v>
      </c>
      <c r="E287" s="267" t="s">
        <v>1683</v>
      </c>
      <c r="F287" s="267"/>
      <c r="G287" s="87">
        <v>1.96</v>
      </c>
      <c r="H287" s="39"/>
      <c r="I287" s="6"/>
    </row>
    <row r="288" spans="1:9" x14ac:dyDescent="0.2">
      <c r="A288" s="5" t="s">
        <v>85</v>
      </c>
      <c r="B288" s="16" t="s">
        <v>305</v>
      </c>
      <c r="C288" s="16" t="s">
        <v>377</v>
      </c>
      <c r="D288" s="243" t="s">
        <v>725</v>
      </c>
      <c r="E288" s="244"/>
      <c r="F288" s="16" t="s">
        <v>1042</v>
      </c>
      <c r="G288" s="27">
        <v>50.18</v>
      </c>
      <c r="H288" s="91">
        <v>0</v>
      </c>
      <c r="I288" s="6"/>
    </row>
    <row r="289" spans="1:9" ht="12.2" customHeight="1" x14ac:dyDescent="0.2">
      <c r="A289" s="5"/>
      <c r="B289" s="16"/>
      <c r="C289" s="16"/>
      <c r="D289" s="85" t="s">
        <v>1280</v>
      </c>
      <c r="E289" s="267" t="s">
        <v>1680</v>
      </c>
      <c r="F289" s="267"/>
      <c r="G289" s="87">
        <v>15.99</v>
      </c>
      <c r="H289" s="39"/>
      <c r="I289" s="6"/>
    </row>
    <row r="290" spans="1:9" ht="12.2" customHeight="1" x14ac:dyDescent="0.2">
      <c r="A290" s="5"/>
      <c r="B290" s="16"/>
      <c r="C290" s="16"/>
      <c r="D290" s="85" t="s">
        <v>1281</v>
      </c>
      <c r="E290" s="267" t="s">
        <v>1681</v>
      </c>
      <c r="F290" s="267"/>
      <c r="G290" s="87">
        <v>6.33</v>
      </c>
      <c r="H290" s="39"/>
      <c r="I290" s="6"/>
    </row>
    <row r="291" spans="1:9" ht="12.2" customHeight="1" x14ac:dyDescent="0.2">
      <c r="A291" s="5"/>
      <c r="B291" s="16"/>
      <c r="C291" s="16"/>
      <c r="D291" s="85" t="s">
        <v>1282</v>
      </c>
      <c r="E291" s="267" t="s">
        <v>1682</v>
      </c>
      <c r="F291" s="267"/>
      <c r="G291" s="87">
        <v>9.08</v>
      </c>
      <c r="H291" s="39"/>
      <c r="I291" s="6"/>
    </row>
    <row r="292" spans="1:9" ht="12.2" customHeight="1" x14ac:dyDescent="0.2">
      <c r="A292" s="5"/>
      <c r="B292" s="16"/>
      <c r="C292" s="16"/>
      <c r="D292" s="85" t="s">
        <v>1283</v>
      </c>
      <c r="E292" s="267" t="s">
        <v>1683</v>
      </c>
      <c r="F292" s="267"/>
      <c r="G292" s="87">
        <v>18.78</v>
      </c>
      <c r="H292" s="39"/>
      <c r="I292" s="6"/>
    </row>
    <row r="293" spans="1:9" x14ac:dyDescent="0.2">
      <c r="A293" s="5" t="s">
        <v>86</v>
      </c>
      <c r="B293" s="16" t="s">
        <v>305</v>
      </c>
      <c r="C293" s="16" t="s">
        <v>378</v>
      </c>
      <c r="D293" s="243" t="s">
        <v>726</v>
      </c>
      <c r="E293" s="244"/>
      <c r="F293" s="16" t="s">
        <v>1042</v>
      </c>
      <c r="G293" s="27">
        <v>50.18</v>
      </c>
      <c r="H293" s="91">
        <v>0</v>
      </c>
      <c r="I293" s="6"/>
    </row>
    <row r="294" spans="1:9" ht="12.2" customHeight="1" x14ac:dyDescent="0.2">
      <c r="A294" s="5"/>
      <c r="B294" s="16"/>
      <c r="C294" s="16"/>
      <c r="D294" s="85" t="s">
        <v>1280</v>
      </c>
      <c r="E294" s="267" t="s">
        <v>1680</v>
      </c>
      <c r="F294" s="267"/>
      <c r="G294" s="87">
        <v>15.99</v>
      </c>
      <c r="H294" s="39"/>
      <c r="I294" s="6"/>
    </row>
    <row r="295" spans="1:9" ht="12.2" customHeight="1" x14ac:dyDescent="0.2">
      <c r="A295" s="5"/>
      <c r="B295" s="16"/>
      <c r="C295" s="16"/>
      <c r="D295" s="85" t="s">
        <v>1281</v>
      </c>
      <c r="E295" s="267" t="s">
        <v>1681</v>
      </c>
      <c r="F295" s="267"/>
      <c r="G295" s="87">
        <v>6.33</v>
      </c>
      <c r="H295" s="39"/>
      <c r="I295" s="6"/>
    </row>
    <row r="296" spans="1:9" ht="12.2" customHeight="1" x14ac:dyDescent="0.2">
      <c r="A296" s="5"/>
      <c r="B296" s="16"/>
      <c r="C296" s="16"/>
      <c r="D296" s="85" t="s">
        <v>1282</v>
      </c>
      <c r="E296" s="267" t="s">
        <v>1682</v>
      </c>
      <c r="F296" s="267"/>
      <c r="G296" s="87">
        <v>9.08</v>
      </c>
      <c r="H296" s="39"/>
      <c r="I296" s="6"/>
    </row>
    <row r="297" spans="1:9" ht="12.2" customHeight="1" x14ac:dyDescent="0.2">
      <c r="A297" s="5"/>
      <c r="B297" s="16"/>
      <c r="C297" s="16"/>
      <c r="D297" s="85" t="s">
        <v>1283</v>
      </c>
      <c r="E297" s="267" t="s">
        <v>1683</v>
      </c>
      <c r="F297" s="267"/>
      <c r="G297" s="87">
        <v>18.78</v>
      </c>
      <c r="H297" s="39"/>
      <c r="I297" s="6"/>
    </row>
    <row r="298" spans="1:9" x14ac:dyDescent="0.2">
      <c r="A298" s="5" t="s">
        <v>87</v>
      </c>
      <c r="B298" s="16" t="s">
        <v>305</v>
      </c>
      <c r="C298" s="16" t="s">
        <v>379</v>
      </c>
      <c r="D298" s="243" t="s">
        <v>727</v>
      </c>
      <c r="E298" s="244"/>
      <c r="F298" s="16" t="s">
        <v>1042</v>
      </c>
      <c r="G298" s="27">
        <v>14.02</v>
      </c>
      <c r="H298" s="91">
        <v>0</v>
      </c>
      <c r="I298" s="6"/>
    </row>
    <row r="299" spans="1:9" ht="12.2" customHeight="1" x14ac:dyDescent="0.2">
      <c r="A299" s="5"/>
      <c r="B299" s="16"/>
      <c r="C299" s="16"/>
      <c r="D299" s="85" t="s">
        <v>1284</v>
      </c>
      <c r="E299" s="267" t="s">
        <v>1627</v>
      </c>
      <c r="F299" s="267"/>
      <c r="G299" s="87">
        <v>0.6</v>
      </c>
      <c r="H299" s="39"/>
      <c r="I299" s="6"/>
    </row>
    <row r="300" spans="1:9" ht="12.2" customHeight="1" x14ac:dyDescent="0.2">
      <c r="A300" s="5"/>
      <c r="B300" s="16"/>
      <c r="C300" s="16"/>
      <c r="D300" s="85" t="s">
        <v>1285</v>
      </c>
      <c r="E300" s="267" t="s">
        <v>1624</v>
      </c>
      <c r="F300" s="267"/>
      <c r="G300" s="87">
        <v>1.6</v>
      </c>
      <c r="H300" s="39"/>
      <c r="I300" s="6"/>
    </row>
    <row r="301" spans="1:9" ht="12.2" customHeight="1" x14ac:dyDescent="0.2">
      <c r="A301" s="5"/>
      <c r="B301" s="16"/>
      <c r="C301" s="16"/>
      <c r="D301" s="85" t="s">
        <v>1286</v>
      </c>
      <c r="E301" s="267" t="s">
        <v>1682</v>
      </c>
      <c r="F301" s="267"/>
      <c r="G301" s="87">
        <v>4</v>
      </c>
      <c r="H301" s="39"/>
      <c r="I301" s="6"/>
    </row>
    <row r="302" spans="1:9" ht="12.2" customHeight="1" x14ac:dyDescent="0.2">
      <c r="A302" s="5"/>
      <c r="B302" s="16"/>
      <c r="C302" s="16"/>
      <c r="D302" s="85" t="s">
        <v>1287</v>
      </c>
      <c r="E302" s="267" t="s">
        <v>1683</v>
      </c>
      <c r="F302" s="267"/>
      <c r="G302" s="87">
        <v>7.82</v>
      </c>
      <c r="H302" s="39"/>
      <c r="I302" s="6"/>
    </row>
    <row r="303" spans="1:9" x14ac:dyDescent="0.2">
      <c r="A303" s="5" t="s">
        <v>88</v>
      </c>
      <c r="B303" s="16" t="s">
        <v>305</v>
      </c>
      <c r="C303" s="16" t="s">
        <v>380</v>
      </c>
      <c r="D303" s="243" t="s">
        <v>728</v>
      </c>
      <c r="E303" s="244"/>
      <c r="F303" s="16" t="s">
        <v>1042</v>
      </c>
      <c r="G303" s="27">
        <v>14.02</v>
      </c>
      <c r="H303" s="91">
        <v>0</v>
      </c>
      <c r="I303" s="6"/>
    </row>
    <row r="304" spans="1:9" ht="12.2" customHeight="1" x14ac:dyDescent="0.2">
      <c r="A304" s="5"/>
      <c r="B304" s="16"/>
      <c r="C304" s="16"/>
      <c r="D304" s="85" t="s">
        <v>1284</v>
      </c>
      <c r="E304" s="267" t="s">
        <v>1627</v>
      </c>
      <c r="F304" s="267"/>
      <c r="G304" s="87">
        <v>0.6</v>
      </c>
      <c r="H304" s="39"/>
      <c r="I304" s="6"/>
    </row>
    <row r="305" spans="1:9" ht="12.2" customHeight="1" x14ac:dyDescent="0.2">
      <c r="A305" s="5"/>
      <c r="B305" s="16"/>
      <c r="C305" s="16"/>
      <c r="D305" s="85" t="s">
        <v>1285</v>
      </c>
      <c r="E305" s="267" t="s">
        <v>1624</v>
      </c>
      <c r="F305" s="267"/>
      <c r="G305" s="87">
        <v>1.6</v>
      </c>
      <c r="H305" s="39"/>
      <c r="I305" s="6"/>
    </row>
    <row r="306" spans="1:9" ht="12.2" customHeight="1" x14ac:dyDescent="0.2">
      <c r="A306" s="5"/>
      <c r="B306" s="16"/>
      <c r="C306" s="16"/>
      <c r="D306" s="85" t="s">
        <v>1286</v>
      </c>
      <c r="E306" s="267" t="s">
        <v>1682</v>
      </c>
      <c r="F306" s="267"/>
      <c r="G306" s="87">
        <v>4</v>
      </c>
      <c r="H306" s="39"/>
      <c r="I306" s="6"/>
    </row>
    <row r="307" spans="1:9" ht="12.2" customHeight="1" x14ac:dyDescent="0.2">
      <c r="A307" s="5"/>
      <c r="B307" s="16"/>
      <c r="C307" s="16"/>
      <c r="D307" s="85" t="s">
        <v>1287</v>
      </c>
      <c r="E307" s="267" t="s">
        <v>1683</v>
      </c>
      <c r="F307" s="267"/>
      <c r="G307" s="87">
        <v>7.82</v>
      </c>
      <c r="H307" s="39"/>
      <c r="I307" s="6"/>
    </row>
    <row r="308" spans="1:9" x14ac:dyDescent="0.2">
      <c r="A308" s="5" t="s">
        <v>89</v>
      </c>
      <c r="B308" s="16" t="s">
        <v>305</v>
      </c>
      <c r="C308" s="16" t="s">
        <v>381</v>
      </c>
      <c r="D308" s="243" t="s">
        <v>729</v>
      </c>
      <c r="E308" s="244"/>
      <c r="F308" s="16" t="s">
        <v>1043</v>
      </c>
      <c r="G308" s="27">
        <v>1.88</v>
      </c>
      <c r="H308" s="91">
        <v>0</v>
      </c>
      <c r="I308" s="6"/>
    </row>
    <row r="309" spans="1:9" ht="12.2" customHeight="1" x14ac:dyDescent="0.2">
      <c r="A309" s="5"/>
      <c r="B309" s="16"/>
      <c r="C309" s="16"/>
      <c r="D309" s="85" t="s">
        <v>1288</v>
      </c>
      <c r="E309" s="267" t="s">
        <v>1680</v>
      </c>
      <c r="F309" s="267"/>
      <c r="G309" s="87">
        <v>0.76</v>
      </c>
      <c r="H309" s="39"/>
      <c r="I309" s="6"/>
    </row>
    <row r="310" spans="1:9" ht="12.2" customHeight="1" x14ac:dyDescent="0.2">
      <c r="A310" s="5"/>
      <c r="B310" s="16"/>
      <c r="C310" s="16"/>
      <c r="D310" s="85" t="s">
        <v>1289</v>
      </c>
      <c r="E310" s="267" t="s">
        <v>1681</v>
      </c>
      <c r="F310" s="267"/>
      <c r="G310" s="87">
        <v>0.33</v>
      </c>
      <c r="H310" s="39"/>
      <c r="I310" s="6"/>
    </row>
    <row r="311" spans="1:9" ht="12.2" customHeight="1" x14ac:dyDescent="0.2">
      <c r="A311" s="5"/>
      <c r="B311" s="16"/>
      <c r="C311" s="16"/>
      <c r="D311" s="85" t="s">
        <v>1290</v>
      </c>
      <c r="E311" s="267" t="s">
        <v>1682</v>
      </c>
      <c r="F311" s="267"/>
      <c r="G311" s="87">
        <v>0.4</v>
      </c>
      <c r="H311" s="39"/>
      <c r="I311" s="6"/>
    </row>
    <row r="312" spans="1:9" ht="12.2" customHeight="1" x14ac:dyDescent="0.2">
      <c r="A312" s="5"/>
      <c r="B312" s="16"/>
      <c r="C312" s="16"/>
      <c r="D312" s="85" t="s">
        <v>1291</v>
      </c>
      <c r="E312" s="267" t="s">
        <v>1683</v>
      </c>
      <c r="F312" s="267"/>
      <c r="G312" s="87">
        <v>0.39</v>
      </c>
      <c r="H312" s="39"/>
      <c r="I312" s="6"/>
    </row>
    <row r="313" spans="1:9" ht="25.7" customHeight="1" x14ac:dyDescent="0.2">
      <c r="A313" s="6"/>
      <c r="C313" s="84" t="s">
        <v>302</v>
      </c>
      <c r="D313" s="248" t="s">
        <v>669</v>
      </c>
      <c r="E313" s="249"/>
      <c r="F313" s="249"/>
      <c r="G313" s="249"/>
      <c r="H313" s="92"/>
      <c r="I313" s="6"/>
    </row>
    <row r="314" spans="1:9" x14ac:dyDescent="0.2">
      <c r="A314" s="5" t="s">
        <v>90</v>
      </c>
      <c r="B314" s="16" t="s">
        <v>305</v>
      </c>
      <c r="C314" s="16" t="s">
        <v>382</v>
      </c>
      <c r="D314" s="243" t="s">
        <v>730</v>
      </c>
      <c r="E314" s="244"/>
      <c r="F314" s="16" t="s">
        <v>1044</v>
      </c>
      <c r="G314" s="27">
        <v>39.520000000000003</v>
      </c>
      <c r="H314" s="91">
        <v>0</v>
      </c>
      <c r="I314" s="6"/>
    </row>
    <row r="315" spans="1:9" ht="12.2" customHeight="1" x14ac:dyDescent="0.2">
      <c r="A315" s="5"/>
      <c r="B315" s="16"/>
      <c r="C315" s="16"/>
      <c r="D315" s="85" t="s">
        <v>1292</v>
      </c>
      <c r="E315" s="267" t="s">
        <v>1684</v>
      </c>
      <c r="F315" s="267"/>
      <c r="G315" s="87">
        <v>29.31</v>
      </c>
      <c r="H315" s="39"/>
      <c r="I315" s="6"/>
    </row>
    <row r="316" spans="1:9" ht="12.2" customHeight="1" x14ac:dyDescent="0.2">
      <c r="A316" s="5"/>
      <c r="B316" s="16"/>
      <c r="C316" s="16"/>
      <c r="D316" s="85" t="s">
        <v>1293</v>
      </c>
      <c r="E316" s="267" t="s">
        <v>1685</v>
      </c>
      <c r="F316" s="267"/>
      <c r="G316" s="87">
        <v>10.210000000000001</v>
      </c>
      <c r="H316" s="39"/>
      <c r="I316" s="6"/>
    </row>
    <row r="317" spans="1:9" x14ac:dyDescent="0.2">
      <c r="A317" s="5" t="s">
        <v>91</v>
      </c>
      <c r="B317" s="16" t="s">
        <v>305</v>
      </c>
      <c r="C317" s="16" t="s">
        <v>383</v>
      </c>
      <c r="D317" s="243" t="s">
        <v>731</v>
      </c>
      <c r="E317" s="244"/>
      <c r="F317" s="16" t="s">
        <v>1044</v>
      </c>
      <c r="G317" s="27">
        <v>10.199999999999999</v>
      </c>
      <c r="H317" s="91">
        <v>0</v>
      </c>
      <c r="I317" s="6"/>
    </row>
    <row r="318" spans="1:9" ht="12.2" customHeight="1" x14ac:dyDescent="0.2">
      <c r="A318" s="5"/>
      <c r="B318" s="16"/>
      <c r="C318" s="16"/>
      <c r="D318" s="85" t="s">
        <v>1294</v>
      </c>
      <c r="E318" s="267" t="s">
        <v>1686</v>
      </c>
      <c r="F318" s="267"/>
      <c r="G318" s="87">
        <v>10.199999999999999</v>
      </c>
      <c r="H318" s="39"/>
      <c r="I318" s="6"/>
    </row>
    <row r="319" spans="1:9" x14ac:dyDescent="0.2">
      <c r="A319" s="7" t="s">
        <v>92</v>
      </c>
      <c r="B319" s="17" t="s">
        <v>305</v>
      </c>
      <c r="C319" s="17" t="s">
        <v>384</v>
      </c>
      <c r="D319" s="241" t="s">
        <v>732</v>
      </c>
      <c r="E319" s="242"/>
      <c r="F319" s="17" t="s">
        <v>1041</v>
      </c>
      <c r="G319" s="28">
        <v>1.73</v>
      </c>
      <c r="H319" s="93">
        <v>0</v>
      </c>
      <c r="I319" s="6"/>
    </row>
    <row r="320" spans="1:9" ht="12.2" customHeight="1" x14ac:dyDescent="0.2">
      <c r="A320" s="7"/>
      <c r="B320" s="17"/>
      <c r="C320" s="17"/>
      <c r="D320" s="85" t="s">
        <v>1295</v>
      </c>
      <c r="E320" s="267" t="s">
        <v>1684</v>
      </c>
      <c r="F320" s="267"/>
      <c r="G320" s="88">
        <v>0.39</v>
      </c>
      <c r="H320" s="40"/>
      <c r="I320" s="6"/>
    </row>
    <row r="321" spans="1:9" ht="12.2" customHeight="1" x14ac:dyDescent="0.2">
      <c r="A321" s="7"/>
      <c r="B321" s="17"/>
      <c r="C321" s="17"/>
      <c r="D321" s="85" t="s">
        <v>1296</v>
      </c>
      <c r="E321" s="267" t="s">
        <v>1686</v>
      </c>
      <c r="F321" s="267"/>
      <c r="G321" s="88">
        <v>0.96</v>
      </c>
      <c r="H321" s="40"/>
      <c r="I321" s="6"/>
    </row>
    <row r="322" spans="1:9" ht="12.2" customHeight="1" x14ac:dyDescent="0.2">
      <c r="A322" s="7"/>
      <c r="B322" s="17"/>
      <c r="C322" s="17"/>
      <c r="D322" s="85" t="s">
        <v>1297</v>
      </c>
      <c r="E322" s="267" t="s">
        <v>1685</v>
      </c>
      <c r="F322" s="267"/>
      <c r="G322" s="88">
        <v>0.22</v>
      </c>
      <c r="H322" s="40"/>
      <c r="I322" s="6"/>
    </row>
    <row r="323" spans="1:9" ht="12.2" customHeight="1" x14ac:dyDescent="0.2">
      <c r="A323" s="7"/>
      <c r="B323" s="17"/>
      <c r="C323" s="17"/>
      <c r="D323" s="85" t="s">
        <v>1298</v>
      </c>
      <c r="E323" s="267"/>
      <c r="F323" s="267"/>
      <c r="G323" s="88">
        <v>0.16</v>
      </c>
      <c r="H323" s="40"/>
      <c r="I323" s="6"/>
    </row>
    <row r="324" spans="1:9" x14ac:dyDescent="0.2">
      <c r="A324" s="5" t="s">
        <v>93</v>
      </c>
      <c r="B324" s="16" t="s">
        <v>305</v>
      </c>
      <c r="C324" s="16" t="s">
        <v>385</v>
      </c>
      <c r="D324" s="243" t="s">
        <v>733</v>
      </c>
      <c r="E324" s="244"/>
      <c r="F324" s="16" t="s">
        <v>1044</v>
      </c>
      <c r="G324" s="27">
        <v>52.3</v>
      </c>
      <c r="H324" s="91">
        <v>0</v>
      </c>
      <c r="I324" s="6"/>
    </row>
    <row r="325" spans="1:9" ht="12.2" customHeight="1" x14ac:dyDescent="0.2">
      <c r="A325" s="5"/>
      <c r="B325" s="16"/>
      <c r="C325" s="16"/>
      <c r="D325" s="85" t="s">
        <v>1299</v>
      </c>
      <c r="E325" s="267" t="s">
        <v>1687</v>
      </c>
      <c r="F325" s="267"/>
      <c r="G325" s="87">
        <v>52.3</v>
      </c>
      <c r="H325" s="39"/>
      <c r="I325" s="6"/>
    </row>
    <row r="326" spans="1:9" x14ac:dyDescent="0.2">
      <c r="A326" s="5" t="s">
        <v>94</v>
      </c>
      <c r="B326" s="16" t="s">
        <v>305</v>
      </c>
      <c r="C326" s="16" t="s">
        <v>386</v>
      </c>
      <c r="D326" s="243" t="s">
        <v>734</v>
      </c>
      <c r="E326" s="244"/>
      <c r="F326" s="16" t="s">
        <v>1041</v>
      </c>
      <c r="G326" s="27">
        <v>4.33</v>
      </c>
      <c r="H326" s="91">
        <v>0</v>
      </c>
      <c r="I326" s="6"/>
    </row>
    <row r="327" spans="1:9" ht="12.2" customHeight="1" x14ac:dyDescent="0.2">
      <c r="A327" s="5"/>
      <c r="B327" s="16"/>
      <c r="C327" s="16"/>
      <c r="D327" s="85" t="s">
        <v>1300</v>
      </c>
      <c r="E327" s="267" t="s">
        <v>1688</v>
      </c>
      <c r="F327" s="267"/>
      <c r="G327" s="87">
        <v>2.5499999999999998</v>
      </c>
      <c r="H327" s="39"/>
      <c r="I327" s="6"/>
    </row>
    <row r="328" spans="1:9" ht="12.2" customHeight="1" x14ac:dyDescent="0.2">
      <c r="A328" s="5"/>
      <c r="B328" s="16"/>
      <c r="C328" s="16"/>
      <c r="D328" s="85" t="s">
        <v>1301</v>
      </c>
      <c r="E328" s="267" t="s">
        <v>1645</v>
      </c>
      <c r="F328" s="267"/>
      <c r="G328" s="87">
        <v>1.78</v>
      </c>
      <c r="H328" s="39"/>
      <c r="I328" s="6"/>
    </row>
    <row r="329" spans="1:9" x14ac:dyDescent="0.2">
      <c r="A329" s="5" t="s">
        <v>95</v>
      </c>
      <c r="B329" s="16" t="s">
        <v>305</v>
      </c>
      <c r="C329" s="16" t="s">
        <v>387</v>
      </c>
      <c r="D329" s="243" t="s">
        <v>735</v>
      </c>
      <c r="E329" s="244"/>
      <c r="F329" s="16" t="s">
        <v>1044</v>
      </c>
      <c r="G329" s="27">
        <v>69.5</v>
      </c>
      <c r="H329" s="91">
        <v>0</v>
      </c>
      <c r="I329" s="6"/>
    </row>
    <row r="330" spans="1:9" ht="12.2" customHeight="1" x14ac:dyDescent="0.2">
      <c r="A330" s="5"/>
      <c r="B330" s="16"/>
      <c r="C330" s="16"/>
      <c r="D330" s="85" t="s">
        <v>1302</v>
      </c>
      <c r="E330" s="267" t="s">
        <v>1688</v>
      </c>
      <c r="F330" s="267"/>
      <c r="G330" s="87">
        <v>33.979999999999997</v>
      </c>
      <c r="H330" s="39"/>
      <c r="I330" s="6"/>
    </row>
    <row r="331" spans="1:9" ht="12.2" customHeight="1" x14ac:dyDescent="0.2">
      <c r="A331" s="5"/>
      <c r="B331" s="16"/>
      <c r="C331" s="16"/>
      <c r="D331" s="85" t="s">
        <v>1303</v>
      </c>
      <c r="E331" s="267" t="s">
        <v>1645</v>
      </c>
      <c r="F331" s="267"/>
      <c r="G331" s="87">
        <v>35.520000000000003</v>
      </c>
      <c r="H331" s="39"/>
      <c r="I331" s="6"/>
    </row>
    <row r="332" spans="1:9" x14ac:dyDescent="0.2">
      <c r="A332" s="5" t="s">
        <v>96</v>
      </c>
      <c r="B332" s="16" t="s">
        <v>305</v>
      </c>
      <c r="C332" s="16" t="s">
        <v>388</v>
      </c>
      <c r="D332" s="243" t="s">
        <v>736</v>
      </c>
      <c r="E332" s="244"/>
      <c r="F332" s="16" t="s">
        <v>1044</v>
      </c>
      <c r="G332" s="27">
        <v>69.5</v>
      </c>
      <c r="H332" s="91">
        <v>0</v>
      </c>
      <c r="I332" s="6"/>
    </row>
    <row r="333" spans="1:9" ht="12.2" customHeight="1" x14ac:dyDescent="0.2">
      <c r="A333" s="5"/>
      <c r="B333" s="16"/>
      <c r="C333" s="16"/>
      <c r="D333" s="85" t="s">
        <v>1302</v>
      </c>
      <c r="E333" s="267" t="s">
        <v>1688</v>
      </c>
      <c r="F333" s="267"/>
      <c r="G333" s="87">
        <v>33.979999999999997</v>
      </c>
      <c r="H333" s="39"/>
      <c r="I333" s="6"/>
    </row>
    <row r="334" spans="1:9" ht="12.2" customHeight="1" x14ac:dyDescent="0.2">
      <c r="A334" s="5"/>
      <c r="B334" s="16"/>
      <c r="C334" s="16"/>
      <c r="D334" s="85" t="s">
        <v>1303</v>
      </c>
      <c r="E334" s="267" t="s">
        <v>1645</v>
      </c>
      <c r="F334" s="267"/>
      <c r="G334" s="87">
        <v>35.520000000000003</v>
      </c>
      <c r="H334" s="39"/>
      <c r="I334" s="6"/>
    </row>
    <row r="335" spans="1:9" x14ac:dyDescent="0.2">
      <c r="A335" s="5" t="s">
        <v>97</v>
      </c>
      <c r="B335" s="16" t="s">
        <v>305</v>
      </c>
      <c r="C335" s="16" t="s">
        <v>389</v>
      </c>
      <c r="D335" s="243" t="s">
        <v>737</v>
      </c>
      <c r="E335" s="244"/>
      <c r="F335" s="16" t="s">
        <v>1043</v>
      </c>
      <c r="G335" s="27">
        <v>0.18</v>
      </c>
      <c r="H335" s="91">
        <v>0</v>
      </c>
      <c r="I335" s="6"/>
    </row>
    <row r="336" spans="1:9" ht="12.2" customHeight="1" x14ac:dyDescent="0.2">
      <c r="A336" s="5"/>
      <c r="B336" s="16"/>
      <c r="C336" s="16"/>
      <c r="D336" s="85" t="s">
        <v>1304</v>
      </c>
      <c r="E336" s="267" t="s">
        <v>1688</v>
      </c>
      <c r="F336" s="267"/>
      <c r="G336" s="87">
        <v>0.18</v>
      </c>
      <c r="H336" s="39"/>
      <c r="I336" s="6"/>
    </row>
    <row r="337" spans="1:9" ht="25.7" customHeight="1" x14ac:dyDescent="0.2">
      <c r="A337" s="6"/>
      <c r="C337" s="84" t="s">
        <v>302</v>
      </c>
      <c r="D337" s="248" t="s">
        <v>669</v>
      </c>
      <c r="E337" s="249"/>
      <c r="F337" s="249"/>
      <c r="G337" s="249"/>
      <c r="H337" s="92"/>
      <c r="I337" s="6"/>
    </row>
    <row r="338" spans="1:9" x14ac:dyDescent="0.2">
      <c r="A338" s="5" t="s">
        <v>98</v>
      </c>
      <c r="B338" s="16" t="s">
        <v>305</v>
      </c>
      <c r="C338" s="16" t="s">
        <v>390</v>
      </c>
      <c r="D338" s="243" t="s">
        <v>738</v>
      </c>
      <c r="E338" s="244"/>
      <c r="F338" s="16" t="s">
        <v>1042</v>
      </c>
      <c r="G338" s="27">
        <v>73.83</v>
      </c>
      <c r="H338" s="91">
        <v>0</v>
      </c>
      <c r="I338" s="6"/>
    </row>
    <row r="339" spans="1:9" ht="12.2" customHeight="1" x14ac:dyDescent="0.2">
      <c r="A339" s="5"/>
      <c r="B339" s="16"/>
      <c r="C339" s="16"/>
      <c r="D339" s="85" t="s">
        <v>1305</v>
      </c>
      <c r="E339" s="267" t="s">
        <v>1689</v>
      </c>
      <c r="F339" s="267"/>
      <c r="G339" s="87">
        <v>73.83</v>
      </c>
      <c r="H339" s="39"/>
      <c r="I339" s="6"/>
    </row>
    <row r="340" spans="1:9" x14ac:dyDescent="0.2">
      <c r="A340" s="5" t="s">
        <v>99</v>
      </c>
      <c r="B340" s="16" t="s">
        <v>305</v>
      </c>
      <c r="C340" s="16" t="s">
        <v>391</v>
      </c>
      <c r="D340" s="243" t="s">
        <v>739</v>
      </c>
      <c r="E340" s="244"/>
      <c r="F340" s="16" t="s">
        <v>1042</v>
      </c>
      <c r="G340" s="27">
        <v>47.09</v>
      </c>
      <c r="H340" s="91">
        <v>0</v>
      </c>
      <c r="I340" s="6"/>
    </row>
    <row r="341" spans="1:9" ht="12.2" customHeight="1" x14ac:dyDescent="0.2">
      <c r="A341" s="5"/>
      <c r="B341" s="16"/>
      <c r="C341" s="16"/>
      <c r="D341" s="85" t="s">
        <v>1306</v>
      </c>
      <c r="E341" s="267" t="s">
        <v>1690</v>
      </c>
      <c r="F341" s="267"/>
      <c r="G341" s="87">
        <v>14.03</v>
      </c>
      <c r="H341" s="39"/>
      <c r="I341" s="6"/>
    </row>
    <row r="342" spans="1:9" ht="12.2" customHeight="1" x14ac:dyDescent="0.2">
      <c r="A342" s="5"/>
      <c r="B342" s="16"/>
      <c r="C342" s="16"/>
      <c r="D342" s="85" t="s">
        <v>1307</v>
      </c>
      <c r="E342" s="267" t="s">
        <v>1691</v>
      </c>
      <c r="F342" s="267"/>
      <c r="G342" s="87">
        <v>17.350000000000001</v>
      </c>
      <c r="H342" s="39"/>
      <c r="I342" s="6"/>
    </row>
    <row r="343" spans="1:9" ht="12.2" customHeight="1" x14ac:dyDescent="0.2">
      <c r="A343" s="5"/>
      <c r="B343" s="16"/>
      <c r="C343" s="16"/>
      <c r="D343" s="85" t="s">
        <v>1308</v>
      </c>
      <c r="E343" s="267" t="s">
        <v>1692</v>
      </c>
      <c r="F343" s="267"/>
      <c r="G343" s="87">
        <v>9.36</v>
      </c>
      <c r="H343" s="39"/>
      <c r="I343" s="6"/>
    </row>
    <row r="344" spans="1:9" ht="12.2" customHeight="1" x14ac:dyDescent="0.2">
      <c r="A344" s="5"/>
      <c r="B344" s="16"/>
      <c r="C344" s="16"/>
      <c r="D344" s="85" t="s">
        <v>1309</v>
      </c>
      <c r="E344" s="267" t="s">
        <v>1693</v>
      </c>
      <c r="F344" s="267"/>
      <c r="G344" s="87">
        <v>6.35</v>
      </c>
      <c r="H344" s="39"/>
      <c r="I344" s="6"/>
    </row>
    <row r="345" spans="1:9" x14ac:dyDescent="0.2">
      <c r="A345" s="5" t="s">
        <v>100</v>
      </c>
      <c r="B345" s="16" t="s">
        <v>305</v>
      </c>
      <c r="C345" s="16" t="s">
        <v>392</v>
      </c>
      <c r="D345" s="243" t="s">
        <v>740</v>
      </c>
      <c r="E345" s="244"/>
      <c r="F345" s="16" t="s">
        <v>1042</v>
      </c>
      <c r="G345" s="27">
        <v>16.829999999999998</v>
      </c>
      <c r="H345" s="91">
        <v>0</v>
      </c>
      <c r="I345" s="6"/>
    </row>
    <row r="346" spans="1:9" ht="12.2" customHeight="1" x14ac:dyDescent="0.2">
      <c r="A346" s="5"/>
      <c r="B346" s="16"/>
      <c r="C346" s="16"/>
      <c r="D346" s="85" t="s">
        <v>1310</v>
      </c>
      <c r="E346" s="267" t="s">
        <v>1694</v>
      </c>
      <c r="F346" s="267"/>
      <c r="G346" s="87">
        <v>7</v>
      </c>
      <c r="H346" s="39"/>
      <c r="I346" s="6"/>
    </row>
    <row r="347" spans="1:9" ht="12.2" customHeight="1" x14ac:dyDescent="0.2">
      <c r="A347" s="5"/>
      <c r="B347" s="16"/>
      <c r="C347" s="16"/>
      <c r="D347" s="85" t="s">
        <v>1311</v>
      </c>
      <c r="E347" s="267" t="s">
        <v>1695</v>
      </c>
      <c r="F347" s="267"/>
      <c r="G347" s="87">
        <v>1.49</v>
      </c>
      <c r="H347" s="39"/>
      <c r="I347" s="6"/>
    </row>
    <row r="348" spans="1:9" ht="12.2" customHeight="1" x14ac:dyDescent="0.2">
      <c r="A348" s="5"/>
      <c r="B348" s="16"/>
      <c r="C348" s="16"/>
      <c r="D348" s="85" t="s">
        <v>1312</v>
      </c>
      <c r="E348" s="267" t="s">
        <v>1696</v>
      </c>
      <c r="F348" s="267"/>
      <c r="G348" s="87">
        <v>8.34</v>
      </c>
      <c r="H348" s="39"/>
      <c r="I348" s="6"/>
    </row>
    <row r="349" spans="1:9" x14ac:dyDescent="0.2">
      <c r="A349" s="82"/>
      <c r="B349" s="15"/>
      <c r="C349" s="15" t="s">
        <v>49</v>
      </c>
      <c r="D349" s="237" t="s">
        <v>741</v>
      </c>
      <c r="E349" s="238"/>
      <c r="F349" s="15"/>
      <c r="G349" s="51"/>
      <c r="H349" s="38"/>
      <c r="I349" s="6"/>
    </row>
    <row r="350" spans="1:9" x14ac:dyDescent="0.2">
      <c r="A350" s="5" t="s">
        <v>101</v>
      </c>
      <c r="B350" s="16" t="s">
        <v>305</v>
      </c>
      <c r="C350" s="16" t="s">
        <v>393</v>
      </c>
      <c r="D350" s="243" t="s">
        <v>742</v>
      </c>
      <c r="E350" s="244"/>
      <c r="F350" s="16" t="s">
        <v>1041</v>
      </c>
      <c r="G350" s="27">
        <v>2.65</v>
      </c>
      <c r="H350" s="91">
        <v>0</v>
      </c>
      <c r="I350" s="6"/>
    </row>
    <row r="351" spans="1:9" ht="12.2" customHeight="1" x14ac:dyDescent="0.2">
      <c r="A351" s="5"/>
      <c r="B351" s="16"/>
      <c r="C351" s="16"/>
      <c r="D351" s="85" t="s">
        <v>1313</v>
      </c>
      <c r="E351" s="267" t="s">
        <v>1697</v>
      </c>
      <c r="F351" s="267"/>
      <c r="G351" s="87">
        <v>1.1499999999999999</v>
      </c>
      <c r="H351" s="39"/>
      <c r="I351" s="6"/>
    </row>
    <row r="352" spans="1:9" ht="12.2" customHeight="1" x14ac:dyDescent="0.2">
      <c r="A352" s="5"/>
      <c r="B352" s="16"/>
      <c r="C352" s="16"/>
      <c r="D352" s="85" t="s">
        <v>1314</v>
      </c>
      <c r="E352" s="267" t="s">
        <v>1698</v>
      </c>
      <c r="F352" s="267"/>
      <c r="G352" s="87">
        <v>1.5</v>
      </c>
      <c r="H352" s="39"/>
      <c r="I352" s="6"/>
    </row>
    <row r="353" spans="1:9" x14ac:dyDescent="0.2">
      <c r="A353" s="5" t="s">
        <v>102</v>
      </c>
      <c r="B353" s="16" t="s">
        <v>305</v>
      </c>
      <c r="C353" s="16" t="s">
        <v>394</v>
      </c>
      <c r="D353" s="243" t="s">
        <v>743</v>
      </c>
      <c r="E353" s="244"/>
      <c r="F353" s="16" t="s">
        <v>1043</v>
      </c>
      <c r="G353" s="27">
        <v>0.24</v>
      </c>
      <c r="H353" s="91">
        <v>0</v>
      </c>
      <c r="I353" s="6"/>
    </row>
    <row r="354" spans="1:9" ht="12.2" customHeight="1" x14ac:dyDescent="0.2">
      <c r="A354" s="5"/>
      <c r="B354" s="16"/>
      <c r="C354" s="16"/>
      <c r="D354" s="85" t="s">
        <v>1315</v>
      </c>
      <c r="E354" s="267" t="s">
        <v>1699</v>
      </c>
      <c r="F354" s="267"/>
      <c r="G354" s="87">
        <v>0.24</v>
      </c>
      <c r="H354" s="39"/>
      <c r="I354" s="6"/>
    </row>
    <row r="355" spans="1:9" ht="25.7" customHeight="1" x14ac:dyDescent="0.2">
      <c r="A355" s="6"/>
      <c r="C355" s="84" t="s">
        <v>302</v>
      </c>
      <c r="D355" s="248" t="s">
        <v>669</v>
      </c>
      <c r="E355" s="249"/>
      <c r="F355" s="249"/>
      <c r="G355" s="249"/>
      <c r="H355" s="92"/>
      <c r="I355" s="6"/>
    </row>
    <row r="356" spans="1:9" x14ac:dyDescent="0.2">
      <c r="A356" s="5" t="s">
        <v>103</v>
      </c>
      <c r="B356" s="16" t="s">
        <v>305</v>
      </c>
      <c r="C356" s="16" t="s">
        <v>395</v>
      </c>
      <c r="D356" s="243" t="s">
        <v>744</v>
      </c>
      <c r="E356" s="244"/>
      <c r="F356" s="16" t="s">
        <v>1042</v>
      </c>
      <c r="G356" s="27">
        <v>15.19</v>
      </c>
      <c r="H356" s="91">
        <v>0</v>
      </c>
      <c r="I356" s="6"/>
    </row>
    <row r="357" spans="1:9" ht="12.2" customHeight="1" x14ac:dyDescent="0.2">
      <c r="A357" s="5"/>
      <c r="B357" s="16"/>
      <c r="C357" s="16"/>
      <c r="D357" s="85" t="s">
        <v>1316</v>
      </c>
      <c r="E357" s="267" t="s">
        <v>1697</v>
      </c>
      <c r="F357" s="267"/>
      <c r="G357" s="87">
        <v>6.97</v>
      </c>
      <c r="H357" s="39"/>
      <c r="I357" s="6"/>
    </row>
    <row r="358" spans="1:9" ht="12.2" customHeight="1" x14ac:dyDescent="0.2">
      <c r="A358" s="5"/>
      <c r="B358" s="16"/>
      <c r="C358" s="16"/>
      <c r="D358" s="85" t="s">
        <v>1317</v>
      </c>
      <c r="E358" s="267" t="s">
        <v>1697</v>
      </c>
      <c r="F358" s="267"/>
      <c r="G358" s="87">
        <v>8.2200000000000006</v>
      </c>
      <c r="H358" s="39"/>
      <c r="I358" s="6"/>
    </row>
    <row r="359" spans="1:9" x14ac:dyDescent="0.2">
      <c r="A359" s="5" t="s">
        <v>104</v>
      </c>
      <c r="B359" s="16" t="s">
        <v>305</v>
      </c>
      <c r="C359" s="16" t="s">
        <v>396</v>
      </c>
      <c r="D359" s="243" t="s">
        <v>745</v>
      </c>
      <c r="E359" s="244"/>
      <c r="F359" s="16" t="s">
        <v>1042</v>
      </c>
      <c r="G359" s="27">
        <v>15.19</v>
      </c>
      <c r="H359" s="91">
        <v>0</v>
      </c>
      <c r="I359" s="6"/>
    </row>
    <row r="360" spans="1:9" ht="12.2" customHeight="1" x14ac:dyDescent="0.2">
      <c r="A360" s="5"/>
      <c r="B360" s="16"/>
      <c r="C360" s="16"/>
      <c r="D360" s="85" t="s">
        <v>1316</v>
      </c>
      <c r="E360" s="267" t="s">
        <v>1697</v>
      </c>
      <c r="F360" s="267"/>
      <c r="G360" s="87">
        <v>6.97</v>
      </c>
      <c r="H360" s="39"/>
      <c r="I360" s="6"/>
    </row>
    <row r="361" spans="1:9" ht="12.2" customHeight="1" x14ac:dyDescent="0.2">
      <c r="A361" s="5"/>
      <c r="B361" s="16"/>
      <c r="C361" s="16"/>
      <c r="D361" s="85" t="s">
        <v>1317</v>
      </c>
      <c r="E361" s="267" t="s">
        <v>1697</v>
      </c>
      <c r="F361" s="267"/>
      <c r="G361" s="87">
        <v>8.2200000000000006</v>
      </c>
      <c r="H361" s="39"/>
      <c r="I361" s="6"/>
    </row>
    <row r="362" spans="1:9" x14ac:dyDescent="0.2">
      <c r="A362" s="5" t="s">
        <v>105</v>
      </c>
      <c r="B362" s="16" t="s">
        <v>305</v>
      </c>
      <c r="C362" s="16" t="s">
        <v>397</v>
      </c>
      <c r="D362" s="243" t="s">
        <v>746</v>
      </c>
      <c r="E362" s="244"/>
      <c r="F362" s="16" t="s">
        <v>1046</v>
      </c>
      <c r="G362" s="27">
        <v>1.51</v>
      </c>
      <c r="H362" s="91">
        <v>0</v>
      </c>
      <c r="I362" s="6"/>
    </row>
    <row r="363" spans="1:9" ht="12.2" customHeight="1" x14ac:dyDescent="0.2">
      <c r="A363" s="5"/>
      <c r="B363" s="16"/>
      <c r="C363" s="16"/>
      <c r="D363" s="85" t="s">
        <v>1318</v>
      </c>
      <c r="E363" s="267" t="s">
        <v>1700</v>
      </c>
      <c r="F363" s="267"/>
      <c r="G363" s="87">
        <v>1.51</v>
      </c>
      <c r="H363" s="39"/>
      <c r="I363" s="6"/>
    </row>
    <row r="364" spans="1:9" ht="12.95" customHeight="1" x14ac:dyDescent="0.2">
      <c r="A364" s="6"/>
      <c r="C364" s="84" t="s">
        <v>302</v>
      </c>
      <c r="D364" s="248" t="s">
        <v>747</v>
      </c>
      <c r="E364" s="249"/>
      <c r="F364" s="249"/>
      <c r="G364" s="249"/>
      <c r="H364" s="92"/>
      <c r="I364" s="6"/>
    </row>
    <row r="365" spans="1:9" x14ac:dyDescent="0.2">
      <c r="A365" s="82"/>
      <c r="B365" s="15"/>
      <c r="C365" s="15" t="s">
        <v>62</v>
      </c>
      <c r="D365" s="237" t="s">
        <v>986</v>
      </c>
      <c r="E365" s="238"/>
      <c r="F365" s="15"/>
      <c r="G365" s="51"/>
      <c r="H365" s="38"/>
      <c r="I365" s="6"/>
    </row>
    <row r="366" spans="1:9" x14ac:dyDescent="0.2">
      <c r="A366" s="5" t="s">
        <v>106</v>
      </c>
      <c r="B366" s="16" t="s">
        <v>306</v>
      </c>
      <c r="C366" s="16" t="s">
        <v>581</v>
      </c>
      <c r="D366" s="243" t="s">
        <v>987</v>
      </c>
      <c r="E366" s="244"/>
      <c r="F366" s="16" t="s">
        <v>1042</v>
      </c>
      <c r="G366" s="27">
        <v>8.36</v>
      </c>
      <c r="H366" s="91">
        <v>0</v>
      </c>
      <c r="I366" s="6"/>
    </row>
    <row r="367" spans="1:9" ht="12.2" customHeight="1" x14ac:dyDescent="0.2">
      <c r="A367" s="5"/>
      <c r="B367" s="16"/>
      <c r="C367" s="16"/>
      <c r="D367" s="85" t="s">
        <v>1319</v>
      </c>
      <c r="E367" s="267" t="s">
        <v>1595</v>
      </c>
      <c r="F367" s="267"/>
      <c r="G367" s="87">
        <v>8.36</v>
      </c>
      <c r="H367" s="39"/>
      <c r="I367" s="6"/>
    </row>
    <row r="368" spans="1:9" ht="12.95" customHeight="1" x14ac:dyDescent="0.2">
      <c r="A368" s="6"/>
      <c r="C368" s="84" t="s">
        <v>302</v>
      </c>
      <c r="D368" s="248" t="s">
        <v>988</v>
      </c>
      <c r="E368" s="249"/>
      <c r="F368" s="249"/>
      <c r="G368" s="249"/>
      <c r="H368" s="92"/>
      <c r="I368" s="6"/>
    </row>
    <row r="369" spans="1:9" x14ac:dyDescent="0.2">
      <c r="A369" s="5" t="s">
        <v>107</v>
      </c>
      <c r="B369" s="16" t="s">
        <v>306</v>
      </c>
      <c r="C369" s="16" t="s">
        <v>582</v>
      </c>
      <c r="D369" s="243" t="s">
        <v>989</v>
      </c>
      <c r="E369" s="244"/>
      <c r="F369" s="16" t="s">
        <v>1042</v>
      </c>
      <c r="G369" s="27">
        <v>68.459999999999994</v>
      </c>
      <c r="H369" s="91">
        <v>0</v>
      </c>
      <c r="I369" s="6"/>
    </row>
    <row r="370" spans="1:9" ht="12.2" customHeight="1" x14ac:dyDescent="0.2">
      <c r="A370" s="5"/>
      <c r="B370" s="16"/>
      <c r="C370" s="16"/>
      <c r="D370" s="85" t="s">
        <v>1320</v>
      </c>
      <c r="E370" s="267" t="s">
        <v>1601</v>
      </c>
      <c r="F370" s="267"/>
      <c r="G370" s="87">
        <v>18.260000000000002</v>
      </c>
      <c r="H370" s="39"/>
      <c r="I370" s="6"/>
    </row>
    <row r="371" spans="1:9" ht="12.2" customHeight="1" x14ac:dyDescent="0.2">
      <c r="A371" s="5"/>
      <c r="B371" s="16"/>
      <c r="C371" s="16"/>
      <c r="D371" s="85" t="s">
        <v>1321</v>
      </c>
      <c r="E371" s="267" t="s">
        <v>1602</v>
      </c>
      <c r="F371" s="267"/>
      <c r="G371" s="87">
        <v>22.5</v>
      </c>
      <c r="H371" s="39"/>
      <c r="I371" s="6"/>
    </row>
    <row r="372" spans="1:9" ht="12.2" customHeight="1" x14ac:dyDescent="0.2">
      <c r="A372" s="5"/>
      <c r="B372" s="16"/>
      <c r="C372" s="16"/>
      <c r="D372" s="85" t="s">
        <v>1322</v>
      </c>
      <c r="E372" s="267" t="s">
        <v>1603</v>
      </c>
      <c r="F372" s="267"/>
      <c r="G372" s="87">
        <v>11.96</v>
      </c>
      <c r="H372" s="39"/>
      <c r="I372" s="6"/>
    </row>
    <row r="373" spans="1:9" ht="12.2" customHeight="1" x14ac:dyDescent="0.2">
      <c r="A373" s="5"/>
      <c r="B373" s="16"/>
      <c r="C373" s="16"/>
      <c r="D373" s="85" t="s">
        <v>1323</v>
      </c>
      <c r="E373" s="267" t="s">
        <v>1603</v>
      </c>
      <c r="F373" s="267"/>
      <c r="G373" s="87">
        <v>7.38</v>
      </c>
      <c r="H373" s="39"/>
      <c r="I373" s="6"/>
    </row>
    <row r="374" spans="1:9" ht="12.2" customHeight="1" x14ac:dyDescent="0.2">
      <c r="A374" s="5"/>
      <c r="B374" s="16"/>
      <c r="C374" s="16"/>
      <c r="D374" s="85" t="s">
        <v>1319</v>
      </c>
      <c r="E374" s="267" t="s">
        <v>1595</v>
      </c>
      <c r="F374" s="267"/>
      <c r="G374" s="87">
        <v>8.36</v>
      </c>
      <c r="H374" s="39"/>
      <c r="I374" s="6"/>
    </row>
    <row r="375" spans="1:9" ht="25.7" customHeight="1" x14ac:dyDescent="0.2">
      <c r="A375" s="6"/>
      <c r="C375" s="84" t="s">
        <v>302</v>
      </c>
      <c r="D375" s="248" t="s">
        <v>990</v>
      </c>
      <c r="E375" s="249"/>
      <c r="F375" s="249"/>
      <c r="G375" s="249"/>
      <c r="H375" s="92"/>
      <c r="I375" s="6"/>
    </row>
    <row r="376" spans="1:9" x14ac:dyDescent="0.2">
      <c r="A376" s="5" t="s">
        <v>108</v>
      </c>
      <c r="B376" s="16" t="s">
        <v>306</v>
      </c>
      <c r="C376" s="16" t="s">
        <v>583</v>
      </c>
      <c r="D376" s="243" t="s">
        <v>991</v>
      </c>
      <c r="E376" s="244"/>
      <c r="F376" s="16" t="s">
        <v>1042</v>
      </c>
      <c r="G376" s="27">
        <v>26.62</v>
      </c>
      <c r="H376" s="91">
        <v>0</v>
      </c>
      <c r="I376" s="6"/>
    </row>
    <row r="377" spans="1:9" ht="12.2" customHeight="1" x14ac:dyDescent="0.2">
      <c r="A377" s="5"/>
      <c r="B377" s="16"/>
      <c r="C377" s="16"/>
      <c r="D377" s="85" t="s">
        <v>1320</v>
      </c>
      <c r="E377" s="267" t="s">
        <v>1601</v>
      </c>
      <c r="F377" s="267"/>
      <c r="G377" s="87">
        <v>18.260000000000002</v>
      </c>
      <c r="H377" s="39"/>
      <c r="I377" s="6"/>
    </row>
    <row r="378" spans="1:9" ht="12.2" customHeight="1" x14ac:dyDescent="0.2">
      <c r="A378" s="5"/>
      <c r="B378" s="16"/>
      <c r="C378" s="16"/>
      <c r="D378" s="85" t="s">
        <v>1319</v>
      </c>
      <c r="E378" s="267" t="s">
        <v>1595</v>
      </c>
      <c r="F378" s="267"/>
      <c r="G378" s="87">
        <v>8.36</v>
      </c>
      <c r="H378" s="39"/>
      <c r="I378" s="6"/>
    </row>
    <row r="379" spans="1:9" x14ac:dyDescent="0.2">
      <c r="A379" s="5" t="s">
        <v>109</v>
      </c>
      <c r="B379" s="16" t="s">
        <v>306</v>
      </c>
      <c r="C379" s="16" t="s">
        <v>584</v>
      </c>
      <c r="D379" s="243" t="s">
        <v>993</v>
      </c>
      <c r="E379" s="244"/>
      <c r="F379" s="16" t="s">
        <v>1042</v>
      </c>
      <c r="G379" s="27">
        <v>41.84</v>
      </c>
      <c r="H379" s="91">
        <v>0</v>
      </c>
      <c r="I379" s="6"/>
    </row>
    <row r="380" spans="1:9" ht="12.2" customHeight="1" x14ac:dyDescent="0.2">
      <c r="A380" s="5"/>
      <c r="B380" s="16"/>
      <c r="C380" s="16"/>
      <c r="D380" s="85" t="s">
        <v>1321</v>
      </c>
      <c r="E380" s="267" t="s">
        <v>1602</v>
      </c>
      <c r="F380" s="267"/>
      <c r="G380" s="87">
        <v>22.5</v>
      </c>
      <c r="H380" s="39"/>
      <c r="I380" s="6"/>
    </row>
    <row r="381" spans="1:9" ht="12.2" customHeight="1" x14ac:dyDescent="0.2">
      <c r="A381" s="5"/>
      <c r="B381" s="16"/>
      <c r="C381" s="16"/>
      <c r="D381" s="85" t="s">
        <v>1322</v>
      </c>
      <c r="E381" s="267" t="s">
        <v>1603</v>
      </c>
      <c r="F381" s="267"/>
      <c r="G381" s="87">
        <v>11.96</v>
      </c>
      <c r="H381" s="39"/>
      <c r="I381" s="6"/>
    </row>
    <row r="382" spans="1:9" ht="12.2" customHeight="1" x14ac:dyDescent="0.2">
      <c r="A382" s="5"/>
      <c r="B382" s="16"/>
      <c r="C382" s="16"/>
      <c r="D382" s="85" t="s">
        <v>1323</v>
      </c>
      <c r="E382" s="267" t="s">
        <v>1603</v>
      </c>
      <c r="F382" s="267"/>
      <c r="G382" s="87">
        <v>7.38</v>
      </c>
      <c r="H382" s="39"/>
      <c r="I382" s="6"/>
    </row>
    <row r="383" spans="1:9" x14ac:dyDescent="0.2">
      <c r="A383" s="82"/>
      <c r="B383" s="15"/>
      <c r="C383" s="15" t="s">
        <v>65</v>
      </c>
      <c r="D383" s="237" t="s">
        <v>994</v>
      </c>
      <c r="E383" s="238"/>
      <c r="F383" s="15"/>
      <c r="G383" s="51"/>
      <c r="H383" s="38"/>
      <c r="I383" s="6"/>
    </row>
    <row r="384" spans="1:9" x14ac:dyDescent="0.2">
      <c r="A384" s="5" t="s">
        <v>110</v>
      </c>
      <c r="B384" s="16" t="s">
        <v>306</v>
      </c>
      <c r="C384" s="16" t="s">
        <v>585</v>
      </c>
      <c r="D384" s="243" t="s">
        <v>995</v>
      </c>
      <c r="E384" s="244"/>
      <c r="F384" s="16" t="s">
        <v>1042</v>
      </c>
      <c r="G384" s="27">
        <v>41.84</v>
      </c>
      <c r="H384" s="91">
        <v>0</v>
      </c>
      <c r="I384" s="6"/>
    </row>
    <row r="385" spans="1:9" ht="12.2" customHeight="1" x14ac:dyDescent="0.2">
      <c r="A385" s="5"/>
      <c r="B385" s="16"/>
      <c r="C385" s="16"/>
      <c r="D385" s="85" t="s">
        <v>1321</v>
      </c>
      <c r="E385" s="267" t="s">
        <v>1602</v>
      </c>
      <c r="F385" s="267"/>
      <c r="G385" s="87">
        <v>22.5</v>
      </c>
      <c r="H385" s="39"/>
      <c r="I385" s="6"/>
    </row>
    <row r="386" spans="1:9" ht="12.2" customHeight="1" x14ac:dyDescent="0.2">
      <c r="A386" s="5"/>
      <c r="B386" s="16"/>
      <c r="C386" s="16"/>
      <c r="D386" s="85" t="s">
        <v>1322</v>
      </c>
      <c r="E386" s="267" t="s">
        <v>1603</v>
      </c>
      <c r="F386" s="267"/>
      <c r="G386" s="87">
        <v>11.96</v>
      </c>
      <c r="H386" s="39"/>
      <c r="I386" s="6"/>
    </row>
    <row r="387" spans="1:9" ht="12.2" customHeight="1" x14ac:dyDescent="0.2">
      <c r="A387" s="5"/>
      <c r="B387" s="16"/>
      <c r="C387" s="16"/>
      <c r="D387" s="85" t="s">
        <v>1323</v>
      </c>
      <c r="E387" s="267" t="s">
        <v>1603</v>
      </c>
      <c r="F387" s="267"/>
      <c r="G387" s="87">
        <v>7.38</v>
      </c>
      <c r="H387" s="39"/>
      <c r="I387" s="6"/>
    </row>
    <row r="388" spans="1:9" x14ac:dyDescent="0.2">
      <c r="A388" s="7" t="s">
        <v>111</v>
      </c>
      <c r="B388" s="17" t="s">
        <v>306</v>
      </c>
      <c r="C388" s="17" t="s">
        <v>586</v>
      </c>
      <c r="D388" s="241" t="s">
        <v>996</v>
      </c>
      <c r="E388" s="242"/>
      <c r="F388" s="17" t="s">
        <v>1042</v>
      </c>
      <c r="G388" s="28">
        <v>42.68</v>
      </c>
      <c r="H388" s="93">
        <v>0</v>
      </c>
      <c r="I388" s="6"/>
    </row>
    <row r="389" spans="1:9" ht="12.2" customHeight="1" x14ac:dyDescent="0.2">
      <c r="A389" s="7"/>
      <c r="B389" s="17"/>
      <c r="C389" s="17"/>
      <c r="D389" s="85" t="s">
        <v>1321</v>
      </c>
      <c r="E389" s="267" t="s">
        <v>1602</v>
      </c>
      <c r="F389" s="267"/>
      <c r="G389" s="88">
        <v>22.5</v>
      </c>
      <c r="H389" s="40"/>
      <c r="I389" s="6"/>
    </row>
    <row r="390" spans="1:9" ht="12.2" customHeight="1" x14ac:dyDescent="0.2">
      <c r="A390" s="7"/>
      <c r="B390" s="17"/>
      <c r="C390" s="17"/>
      <c r="D390" s="85" t="s">
        <v>1322</v>
      </c>
      <c r="E390" s="267" t="s">
        <v>1603</v>
      </c>
      <c r="F390" s="267"/>
      <c r="G390" s="88">
        <v>11.96</v>
      </c>
      <c r="H390" s="40"/>
      <c r="I390" s="6"/>
    </row>
    <row r="391" spans="1:9" ht="12.2" customHeight="1" x14ac:dyDescent="0.2">
      <c r="A391" s="7"/>
      <c r="B391" s="17"/>
      <c r="C391" s="17"/>
      <c r="D391" s="85" t="s">
        <v>1323</v>
      </c>
      <c r="E391" s="267" t="s">
        <v>1603</v>
      </c>
      <c r="F391" s="267"/>
      <c r="G391" s="88">
        <v>7.38</v>
      </c>
      <c r="H391" s="40"/>
      <c r="I391" s="6"/>
    </row>
    <row r="392" spans="1:9" ht="12.2" customHeight="1" x14ac:dyDescent="0.2">
      <c r="A392" s="7"/>
      <c r="B392" s="17"/>
      <c r="C392" s="17"/>
      <c r="D392" s="85" t="s">
        <v>1324</v>
      </c>
      <c r="E392" s="267"/>
      <c r="F392" s="267"/>
      <c r="G392" s="88">
        <v>0.84</v>
      </c>
      <c r="H392" s="40"/>
      <c r="I392" s="6"/>
    </row>
    <row r="393" spans="1:9" x14ac:dyDescent="0.2">
      <c r="A393" s="5" t="s">
        <v>112</v>
      </c>
      <c r="B393" s="16" t="s">
        <v>306</v>
      </c>
      <c r="C393" s="16" t="s">
        <v>587</v>
      </c>
      <c r="D393" s="243" t="s">
        <v>997</v>
      </c>
      <c r="E393" s="244"/>
      <c r="F393" s="16" t="s">
        <v>1042</v>
      </c>
      <c r="G393" s="27">
        <v>18.260000000000002</v>
      </c>
      <c r="H393" s="91">
        <v>0</v>
      </c>
      <c r="I393" s="6"/>
    </row>
    <row r="394" spans="1:9" ht="12.2" customHeight="1" x14ac:dyDescent="0.2">
      <c r="A394" s="5"/>
      <c r="B394" s="16"/>
      <c r="C394" s="16"/>
      <c r="D394" s="85" t="s">
        <v>1320</v>
      </c>
      <c r="E394" s="267" t="s">
        <v>1601</v>
      </c>
      <c r="F394" s="267"/>
      <c r="G394" s="87">
        <v>18.260000000000002</v>
      </c>
      <c r="H394" s="39"/>
      <c r="I394" s="6"/>
    </row>
    <row r="395" spans="1:9" x14ac:dyDescent="0.2">
      <c r="A395" s="5" t="s">
        <v>113</v>
      </c>
      <c r="B395" s="16" t="s">
        <v>306</v>
      </c>
      <c r="C395" s="16" t="s">
        <v>588</v>
      </c>
      <c r="D395" s="243" t="s">
        <v>999</v>
      </c>
      <c r="E395" s="244"/>
      <c r="F395" s="16" t="s">
        <v>1042</v>
      </c>
      <c r="G395" s="27">
        <v>9.4</v>
      </c>
      <c r="H395" s="91">
        <v>0</v>
      </c>
      <c r="I395" s="6"/>
    </row>
    <row r="396" spans="1:9" ht="12.2" customHeight="1" x14ac:dyDescent="0.2">
      <c r="A396" s="5"/>
      <c r="B396" s="16"/>
      <c r="C396" s="16"/>
      <c r="D396" s="85" t="s">
        <v>1159</v>
      </c>
      <c r="E396" s="267" t="s">
        <v>1582</v>
      </c>
      <c r="F396" s="267"/>
      <c r="G396" s="87">
        <v>9.4</v>
      </c>
      <c r="H396" s="39"/>
      <c r="I396" s="6"/>
    </row>
    <row r="397" spans="1:9" ht="12.95" customHeight="1" x14ac:dyDescent="0.2">
      <c r="A397" s="6"/>
      <c r="C397" s="84" t="s">
        <v>302</v>
      </c>
      <c r="D397" s="248" t="s">
        <v>1000</v>
      </c>
      <c r="E397" s="249"/>
      <c r="F397" s="249"/>
      <c r="G397" s="249"/>
      <c r="H397" s="92"/>
      <c r="I397" s="6"/>
    </row>
    <row r="398" spans="1:9" x14ac:dyDescent="0.2">
      <c r="A398" s="5" t="s">
        <v>114</v>
      </c>
      <c r="B398" s="16" t="s">
        <v>306</v>
      </c>
      <c r="C398" s="16" t="s">
        <v>589</v>
      </c>
      <c r="D398" s="243" t="s">
        <v>1001</v>
      </c>
      <c r="E398" s="244"/>
      <c r="F398" s="16" t="s">
        <v>1044</v>
      </c>
      <c r="G398" s="27">
        <v>55.72</v>
      </c>
      <c r="H398" s="91">
        <v>0</v>
      </c>
      <c r="I398" s="6"/>
    </row>
    <row r="399" spans="1:9" ht="12.2" customHeight="1" x14ac:dyDescent="0.2">
      <c r="A399" s="5"/>
      <c r="B399" s="16"/>
      <c r="C399" s="16"/>
      <c r="D399" s="85" t="s">
        <v>1325</v>
      </c>
      <c r="E399" s="267" t="s">
        <v>1595</v>
      </c>
      <c r="F399" s="267"/>
      <c r="G399" s="87">
        <v>55.72</v>
      </c>
      <c r="H399" s="39"/>
      <c r="I399" s="6"/>
    </row>
    <row r="400" spans="1:9" x14ac:dyDescent="0.2">
      <c r="A400" s="5" t="s">
        <v>115</v>
      </c>
      <c r="B400" s="16" t="s">
        <v>306</v>
      </c>
      <c r="C400" s="16" t="s">
        <v>590</v>
      </c>
      <c r="D400" s="243" t="s">
        <v>1003</v>
      </c>
      <c r="E400" s="244"/>
      <c r="F400" s="16" t="s">
        <v>1045</v>
      </c>
      <c r="G400" s="27">
        <v>2</v>
      </c>
      <c r="H400" s="91">
        <v>0</v>
      </c>
      <c r="I400" s="6"/>
    </row>
    <row r="401" spans="1:9" ht="12.2" customHeight="1" x14ac:dyDescent="0.2">
      <c r="A401" s="5"/>
      <c r="B401" s="16"/>
      <c r="C401" s="16"/>
      <c r="D401" s="85" t="s">
        <v>8</v>
      </c>
      <c r="E401" s="267" t="s">
        <v>1701</v>
      </c>
      <c r="F401" s="267"/>
      <c r="G401" s="87">
        <v>2</v>
      </c>
      <c r="H401" s="39"/>
      <c r="I401" s="6"/>
    </row>
    <row r="402" spans="1:9" x14ac:dyDescent="0.2">
      <c r="A402" s="82"/>
      <c r="B402" s="15"/>
      <c r="C402" s="15" t="s">
        <v>66</v>
      </c>
      <c r="D402" s="237" t="s">
        <v>749</v>
      </c>
      <c r="E402" s="238"/>
      <c r="F402" s="15"/>
      <c r="G402" s="51"/>
      <c r="H402" s="38"/>
      <c r="I402" s="6"/>
    </row>
    <row r="403" spans="1:9" x14ac:dyDescent="0.2">
      <c r="A403" s="5" t="s">
        <v>116</v>
      </c>
      <c r="B403" s="16" t="s">
        <v>305</v>
      </c>
      <c r="C403" s="16" t="s">
        <v>398</v>
      </c>
      <c r="D403" s="243" t="s">
        <v>750</v>
      </c>
      <c r="E403" s="244"/>
      <c r="F403" s="16" t="s">
        <v>1042</v>
      </c>
      <c r="G403" s="27">
        <v>256.18</v>
      </c>
      <c r="H403" s="91">
        <v>0</v>
      </c>
      <c r="I403" s="6"/>
    </row>
    <row r="404" spans="1:9" ht="12.2" customHeight="1" x14ac:dyDescent="0.2">
      <c r="A404" s="5"/>
      <c r="B404" s="16"/>
      <c r="C404" s="16"/>
      <c r="D404" s="85" t="s">
        <v>1326</v>
      </c>
      <c r="E404" s="267" t="s">
        <v>1702</v>
      </c>
      <c r="F404" s="267"/>
      <c r="G404" s="87">
        <v>214.07</v>
      </c>
      <c r="H404" s="39"/>
      <c r="I404" s="6"/>
    </row>
    <row r="405" spans="1:9" ht="12.2" customHeight="1" x14ac:dyDescent="0.2">
      <c r="A405" s="5"/>
      <c r="B405" s="16"/>
      <c r="C405" s="16"/>
      <c r="D405" s="85" t="s">
        <v>1327</v>
      </c>
      <c r="E405" s="267" t="s">
        <v>1703</v>
      </c>
      <c r="F405" s="267"/>
      <c r="G405" s="87">
        <v>15.54</v>
      </c>
      <c r="H405" s="39"/>
      <c r="I405" s="6"/>
    </row>
    <row r="406" spans="1:9" ht="12.2" customHeight="1" x14ac:dyDescent="0.2">
      <c r="A406" s="5"/>
      <c r="B406" s="16"/>
      <c r="C406" s="16"/>
      <c r="D406" s="85" t="s">
        <v>1328</v>
      </c>
      <c r="E406" s="267" t="s">
        <v>1704</v>
      </c>
      <c r="F406" s="267"/>
      <c r="G406" s="87">
        <v>3.35</v>
      </c>
      <c r="H406" s="39"/>
      <c r="I406" s="6"/>
    </row>
    <row r="407" spans="1:9" ht="12.2" customHeight="1" x14ac:dyDescent="0.2">
      <c r="A407" s="5"/>
      <c r="B407" s="16"/>
      <c r="C407" s="16"/>
      <c r="D407" s="85" t="s">
        <v>1329</v>
      </c>
      <c r="E407" s="267" t="s">
        <v>1705</v>
      </c>
      <c r="F407" s="267"/>
      <c r="G407" s="87">
        <v>10.33</v>
      </c>
      <c r="H407" s="39"/>
      <c r="I407" s="6"/>
    </row>
    <row r="408" spans="1:9" ht="12.2" customHeight="1" x14ac:dyDescent="0.2">
      <c r="A408" s="5"/>
      <c r="B408" s="16"/>
      <c r="C408" s="16"/>
      <c r="D408" s="85" t="s">
        <v>1330</v>
      </c>
      <c r="E408" s="267" t="s">
        <v>1706</v>
      </c>
      <c r="F408" s="267"/>
      <c r="G408" s="87">
        <v>14.21</v>
      </c>
      <c r="H408" s="39"/>
      <c r="I408" s="6"/>
    </row>
    <row r="409" spans="1:9" ht="12.2" customHeight="1" x14ac:dyDescent="0.2">
      <c r="A409" s="5"/>
      <c r="B409" s="16"/>
      <c r="C409" s="16"/>
      <c r="D409" s="85" t="s">
        <v>1225</v>
      </c>
      <c r="E409" s="267" t="s">
        <v>1631</v>
      </c>
      <c r="F409" s="267"/>
      <c r="G409" s="87">
        <v>-1.32</v>
      </c>
      <c r="H409" s="39"/>
      <c r="I409" s="6"/>
    </row>
    <row r="410" spans="1:9" x14ac:dyDescent="0.2">
      <c r="A410" s="82"/>
      <c r="B410" s="15"/>
      <c r="C410" s="15" t="s">
        <v>67</v>
      </c>
      <c r="D410" s="237" t="s">
        <v>751</v>
      </c>
      <c r="E410" s="238"/>
      <c r="F410" s="15"/>
      <c r="G410" s="51"/>
      <c r="H410" s="38"/>
      <c r="I410" s="6"/>
    </row>
    <row r="411" spans="1:9" x14ac:dyDescent="0.2">
      <c r="A411" s="5" t="s">
        <v>117</v>
      </c>
      <c r="B411" s="16" t="s">
        <v>305</v>
      </c>
      <c r="C411" s="16" t="s">
        <v>399</v>
      </c>
      <c r="D411" s="243" t="s">
        <v>752</v>
      </c>
      <c r="E411" s="244"/>
      <c r="F411" s="16" t="s">
        <v>1042</v>
      </c>
      <c r="G411" s="27">
        <v>91.14</v>
      </c>
      <c r="H411" s="91">
        <v>0</v>
      </c>
      <c r="I411" s="6"/>
    </row>
    <row r="412" spans="1:9" ht="12.2" customHeight="1" x14ac:dyDescent="0.2">
      <c r="A412" s="5"/>
      <c r="B412" s="16"/>
      <c r="C412" s="16"/>
      <c r="D412" s="85" t="s">
        <v>1331</v>
      </c>
      <c r="E412" s="267" t="s">
        <v>1707</v>
      </c>
      <c r="F412" s="267"/>
      <c r="G412" s="87">
        <v>29.34</v>
      </c>
      <c r="H412" s="39"/>
      <c r="I412" s="6"/>
    </row>
    <row r="413" spans="1:9" ht="12.2" customHeight="1" x14ac:dyDescent="0.2">
      <c r="A413" s="5"/>
      <c r="B413" s="16"/>
      <c r="C413" s="16"/>
      <c r="D413" s="85" t="s">
        <v>1332</v>
      </c>
      <c r="E413" s="267" t="s">
        <v>1625</v>
      </c>
      <c r="F413" s="267"/>
      <c r="G413" s="87">
        <v>-1.89</v>
      </c>
      <c r="H413" s="39"/>
      <c r="I413" s="6"/>
    </row>
    <row r="414" spans="1:9" ht="12.2" customHeight="1" x14ac:dyDescent="0.2">
      <c r="A414" s="5"/>
      <c r="B414" s="16"/>
      <c r="C414" s="16"/>
      <c r="D414" s="85" t="s">
        <v>1260</v>
      </c>
      <c r="E414" s="267" t="s">
        <v>1708</v>
      </c>
      <c r="F414" s="267"/>
      <c r="G414" s="87">
        <v>-3.36</v>
      </c>
      <c r="H414" s="39"/>
      <c r="I414" s="6"/>
    </row>
    <row r="415" spans="1:9" ht="12.2" customHeight="1" x14ac:dyDescent="0.2">
      <c r="A415" s="5"/>
      <c r="B415" s="16"/>
      <c r="C415" s="16"/>
      <c r="D415" s="85" t="s">
        <v>1333</v>
      </c>
      <c r="E415" s="267" t="s">
        <v>1694</v>
      </c>
      <c r="F415" s="267"/>
      <c r="G415" s="87">
        <v>26.25</v>
      </c>
      <c r="H415" s="39"/>
      <c r="I415" s="6"/>
    </row>
    <row r="416" spans="1:9" ht="12.2" customHeight="1" x14ac:dyDescent="0.2">
      <c r="A416" s="5"/>
      <c r="B416" s="16"/>
      <c r="C416" s="16"/>
      <c r="D416" s="85" t="s">
        <v>1250</v>
      </c>
      <c r="E416" s="267" t="s">
        <v>1654</v>
      </c>
      <c r="F416" s="267"/>
      <c r="G416" s="87">
        <v>-1.72</v>
      </c>
      <c r="H416" s="39"/>
      <c r="I416" s="6"/>
    </row>
    <row r="417" spans="1:9" ht="12.2" customHeight="1" x14ac:dyDescent="0.2">
      <c r="A417" s="5"/>
      <c r="B417" s="16"/>
      <c r="C417" s="16"/>
      <c r="D417" s="85" t="s">
        <v>1334</v>
      </c>
      <c r="E417" s="267" t="s">
        <v>1695</v>
      </c>
      <c r="F417" s="267"/>
      <c r="G417" s="87">
        <v>10.65</v>
      </c>
      <c r="H417" s="39"/>
      <c r="I417" s="6"/>
    </row>
    <row r="418" spans="1:9" ht="12.2" customHeight="1" x14ac:dyDescent="0.2">
      <c r="A418" s="5"/>
      <c r="B418" s="16"/>
      <c r="C418" s="16"/>
      <c r="D418" s="85" t="s">
        <v>1250</v>
      </c>
      <c r="E418" s="267" t="s">
        <v>1650</v>
      </c>
      <c r="F418" s="267"/>
      <c r="G418" s="87">
        <v>-1.72</v>
      </c>
      <c r="H418" s="39"/>
      <c r="I418" s="6"/>
    </row>
    <row r="419" spans="1:9" ht="12.2" customHeight="1" x14ac:dyDescent="0.2">
      <c r="A419" s="5"/>
      <c r="B419" s="16"/>
      <c r="C419" s="16"/>
      <c r="D419" s="85" t="s">
        <v>1335</v>
      </c>
      <c r="E419" s="267" t="s">
        <v>1696</v>
      </c>
      <c r="F419" s="267"/>
      <c r="G419" s="87">
        <v>23.98</v>
      </c>
      <c r="H419" s="39"/>
      <c r="I419" s="6"/>
    </row>
    <row r="420" spans="1:9" ht="12.2" customHeight="1" x14ac:dyDescent="0.2">
      <c r="A420" s="5"/>
      <c r="B420" s="16"/>
      <c r="C420" s="16"/>
      <c r="D420" s="85" t="s">
        <v>1252</v>
      </c>
      <c r="E420" s="267" t="s">
        <v>1659</v>
      </c>
      <c r="F420" s="267"/>
      <c r="G420" s="87">
        <v>-1.94</v>
      </c>
      <c r="H420" s="39"/>
      <c r="I420" s="6"/>
    </row>
    <row r="421" spans="1:9" ht="12.2" customHeight="1" x14ac:dyDescent="0.2">
      <c r="A421" s="5"/>
      <c r="B421" s="16"/>
      <c r="C421" s="16"/>
      <c r="D421" s="85" t="s">
        <v>1336</v>
      </c>
      <c r="E421" s="267" t="s">
        <v>1709</v>
      </c>
      <c r="F421" s="267"/>
      <c r="G421" s="87">
        <v>11.55</v>
      </c>
      <c r="H421" s="39"/>
      <c r="I421" s="6"/>
    </row>
    <row r="422" spans="1:9" x14ac:dyDescent="0.2">
      <c r="A422" s="5" t="s">
        <v>118</v>
      </c>
      <c r="B422" s="16" t="s">
        <v>305</v>
      </c>
      <c r="C422" s="16" t="s">
        <v>400</v>
      </c>
      <c r="D422" s="243" t="s">
        <v>754</v>
      </c>
      <c r="E422" s="244"/>
      <c r="F422" s="16" t="s">
        <v>1042</v>
      </c>
      <c r="G422" s="27">
        <v>334.45</v>
      </c>
      <c r="H422" s="91">
        <v>0</v>
      </c>
      <c r="I422" s="6"/>
    </row>
    <row r="423" spans="1:9" ht="12.2" customHeight="1" x14ac:dyDescent="0.2">
      <c r="A423" s="5"/>
      <c r="B423" s="16"/>
      <c r="C423" s="16"/>
      <c r="D423" s="85" t="s">
        <v>1337</v>
      </c>
      <c r="E423" s="267" t="s">
        <v>1629</v>
      </c>
      <c r="F423" s="267"/>
      <c r="G423" s="87">
        <v>3.11</v>
      </c>
      <c r="H423" s="39"/>
      <c r="I423" s="6"/>
    </row>
    <row r="424" spans="1:9" ht="12.2" customHeight="1" x14ac:dyDescent="0.2">
      <c r="A424" s="5"/>
      <c r="B424" s="16"/>
      <c r="C424" s="16"/>
      <c r="D424" s="85" t="s">
        <v>1225</v>
      </c>
      <c r="E424" s="267" t="s">
        <v>1631</v>
      </c>
      <c r="F424" s="267"/>
      <c r="G424" s="87">
        <v>-1.32</v>
      </c>
      <c r="H424" s="39"/>
      <c r="I424" s="6"/>
    </row>
    <row r="425" spans="1:9" ht="12.2" customHeight="1" x14ac:dyDescent="0.2">
      <c r="A425" s="5"/>
      <c r="B425" s="16"/>
      <c r="C425" s="16"/>
      <c r="D425" s="85" t="s">
        <v>1226</v>
      </c>
      <c r="E425" s="267" t="s">
        <v>1632</v>
      </c>
      <c r="F425" s="267"/>
      <c r="G425" s="87">
        <v>24.75</v>
      </c>
      <c r="H425" s="39"/>
      <c r="I425" s="6"/>
    </row>
    <row r="426" spans="1:9" ht="12.2" customHeight="1" x14ac:dyDescent="0.2">
      <c r="A426" s="5"/>
      <c r="B426" s="16"/>
      <c r="C426" s="16"/>
      <c r="D426" s="85" t="s">
        <v>1227</v>
      </c>
      <c r="E426" s="267" t="s">
        <v>1633</v>
      </c>
      <c r="F426" s="267"/>
      <c r="G426" s="87">
        <v>26.18</v>
      </c>
      <c r="H426" s="39"/>
      <c r="I426" s="6"/>
    </row>
    <row r="427" spans="1:9" ht="12.2" customHeight="1" x14ac:dyDescent="0.2">
      <c r="A427" s="5"/>
      <c r="B427" s="16"/>
      <c r="C427" s="16"/>
      <c r="D427" s="85" t="s">
        <v>1228</v>
      </c>
      <c r="E427" s="267" t="s">
        <v>1634</v>
      </c>
      <c r="F427" s="267"/>
      <c r="G427" s="87">
        <v>-0.42</v>
      </c>
      <c r="H427" s="39"/>
      <c r="I427" s="6"/>
    </row>
    <row r="428" spans="1:9" ht="12.2" customHeight="1" x14ac:dyDescent="0.2">
      <c r="A428" s="5"/>
      <c r="B428" s="16"/>
      <c r="C428" s="16"/>
      <c r="D428" s="85" t="s">
        <v>1229</v>
      </c>
      <c r="E428" s="267" t="s">
        <v>1635</v>
      </c>
      <c r="F428" s="267"/>
      <c r="G428" s="87">
        <v>-1.36</v>
      </c>
      <c r="H428" s="39"/>
      <c r="I428" s="6"/>
    </row>
    <row r="429" spans="1:9" ht="12.2" customHeight="1" x14ac:dyDescent="0.2">
      <c r="A429" s="5"/>
      <c r="B429" s="16"/>
      <c r="C429" s="16"/>
      <c r="D429" s="85" t="s">
        <v>1239</v>
      </c>
      <c r="E429" s="267" t="s">
        <v>1646</v>
      </c>
      <c r="F429" s="267"/>
      <c r="G429" s="87">
        <v>-0.78</v>
      </c>
      <c r="H429" s="39"/>
      <c r="I429" s="6"/>
    </row>
    <row r="430" spans="1:9" ht="12.2" customHeight="1" x14ac:dyDescent="0.2">
      <c r="A430" s="5"/>
      <c r="B430" s="16"/>
      <c r="C430" s="16"/>
      <c r="D430" s="85" t="s">
        <v>1230</v>
      </c>
      <c r="E430" s="267" t="s">
        <v>1636</v>
      </c>
      <c r="F430" s="267"/>
      <c r="G430" s="87">
        <v>72.44</v>
      </c>
      <c r="H430" s="39"/>
      <c r="I430" s="6"/>
    </row>
    <row r="431" spans="1:9" ht="12.2" customHeight="1" x14ac:dyDescent="0.2">
      <c r="A431" s="5"/>
      <c r="B431" s="16"/>
      <c r="C431" s="16"/>
      <c r="D431" s="85" t="s">
        <v>1231</v>
      </c>
      <c r="E431" s="267" t="s">
        <v>1637</v>
      </c>
      <c r="F431" s="267"/>
      <c r="G431" s="87">
        <v>-2.97</v>
      </c>
      <c r="H431" s="39"/>
      <c r="I431" s="6"/>
    </row>
    <row r="432" spans="1:9" ht="12.2" customHeight="1" x14ac:dyDescent="0.2">
      <c r="A432" s="5"/>
      <c r="B432" s="16"/>
      <c r="C432" s="16"/>
      <c r="D432" s="85" t="s">
        <v>1232</v>
      </c>
      <c r="E432" s="267" t="s">
        <v>1638</v>
      </c>
      <c r="F432" s="267"/>
      <c r="G432" s="87">
        <v>-1.65</v>
      </c>
      <c r="H432" s="39"/>
      <c r="I432" s="6"/>
    </row>
    <row r="433" spans="1:9" ht="12.2" customHeight="1" x14ac:dyDescent="0.2">
      <c r="A433" s="5"/>
      <c r="B433" s="16"/>
      <c r="C433" s="16"/>
      <c r="D433" s="85" t="s">
        <v>1233</v>
      </c>
      <c r="E433" s="267" t="s">
        <v>1639</v>
      </c>
      <c r="F433" s="267"/>
      <c r="G433" s="87">
        <v>-3.13</v>
      </c>
      <c r="H433" s="39"/>
      <c r="I433" s="6"/>
    </row>
    <row r="434" spans="1:9" ht="12.2" customHeight="1" x14ac:dyDescent="0.2">
      <c r="A434" s="5"/>
      <c r="B434" s="16"/>
      <c r="C434" s="16"/>
      <c r="D434" s="85" t="s">
        <v>1233</v>
      </c>
      <c r="E434" s="267" t="s">
        <v>1640</v>
      </c>
      <c r="F434" s="267"/>
      <c r="G434" s="87">
        <v>-3.13</v>
      </c>
      <c r="H434" s="39"/>
      <c r="I434" s="6"/>
    </row>
    <row r="435" spans="1:9" ht="12.2" customHeight="1" x14ac:dyDescent="0.2">
      <c r="A435" s="5"/>
      <c r="B435" s="16"/>
      <c r="C435" s="16"/>
      <c r="D435" s="85" t="s">
        <v>1234</v>
      </c>
      <c r="E435" s="267" t="s">
        <v>1641</v>
      </c>
      <c r="F435" s="267"/>
      <c r="G435" s="87">
        <v>-2.25</v>
      </c>
      <c r="H435" s="39"/>
      <c r="I435" s="6"/>
    </row>
    <row r="436" spans="1:9" ht="12.2" customHeight="1" x14ac:dyDescent="0.2">
      <c r="A436" s="5"/>
      <c r="B436" s="16"/>
      <c r="C436" s="16"/>
      <c r="D436" s="85" t="s">
        <v>1235</v>
      </c>
      <c r="E436" s="267" t="s">
        <v>1642</v>
      </c>
      <c r="F436" s="267"/>
      <c r="G436" s="87">
        <v>-1.47</v>
      </c>
      <c r="H436" s="39"/>
      <c r="I436" s="6"/>
    </row>
    <row r="437" spans="1:9" ht="12.2" customHeight="1" x14ac:dyDescent="0.2">
      <c r="A437" s="5"/>
      <c r="B437" s="16"/>
      <c r="C437" s="16"/>
      <c r="D437" s="85" t="s">
        <v>1236</v>
      </c>
      <c r="E437" s="267" t="s">
        <v>1643</v>
      </c>
      <c r="F437" s="267"/>
      <c r="G437" s="87">
        <v>20.79</v>
      </c>
      <c r="H437" s="39"/>
      <c r="I437" s="6"/>
    </row>
    <row r="438" spans="1:9" ht="12.2" customHeight="1" x14ac:dyDescent="0.2">
      <c r="A438" s="5"/>
      <c r="B438" s="16"/>
      <c r="C438" s="16"/>
      <c r="D438" s="85" t="s">
        <v>1237</v>
      </c>
      <c r="E438" s="267" t="s">
        <v>1644</v>
      </c>
      <c r="F438" s="267"/>
      <c r="G438" s="87">
        <v>-4.05</v>
      </c>
      <c r="H438" s="39"/>
      <c r="I438" s="6"/>
    </row>
    <row r="439" spans="1:9" ht="12.2" customHeight="1" x14ac:dyDescent="0.2">
      <c r="A439" s="5"/>
      <c r="B439" s="16"/>
      <c r="C439" s="16"/>
      <c r="D439" s="85" t="s">
        <v>1231</v>
      </c>
      <c r="E439" s="267" t="s">
        <v>1637</v>
      </c>
      <c r="F439" s="267"/>
      <c r="G439" s="87">
        <v>-2.97</v>
      </c>
      <c r="H439" s="39"/>
      <c r="I439" s="6"/>
    </row>
    <row r="440" spans="1:9" ht="12.2" customHeight="1" x14ac:dyDescent="0.2">
      <c r="A440" s="5"/>
      <c r="B440" s="16"/>
      <c r="C440" s="16"/>
      <c r="D440" s="85" t="s">
        <v>1338</v>
      </c>
      <c r="E440" s="267" t="s">
        <v>1649</v>
      </c>
      <c r="F440" s="267"/>
      <c r="G440" s="87">
        <v>18.96</v>
      </c>
      <c r="H440" s="39"/>
      <c r="I440" s="6"/>
    </row>
    <row r="441" spans="1:9" ht="12.2" customHeight="1" x14ac:dyDescent="0.2">
      <c r="A441" s="5"/>
      <c r="B441" s="16"/>
      <c r="C441" s="16"/>
      <c r="D441" s="85" t="s">
        <v>1250</v>
      </c>
      <c r="E441" s="267" t="s">
        <v>1650</v>
      </c>
      <c r="F441" s="267"/>
      <c r="G441" s="87">
        <v>-1.72</v>
      </c>
      <c r="H441" s="39"/>
      <c r="I441" s="6"/>
    </row>
    <row r="442" spans="1:9" ht="12.2" customHeight="1" x14ac:dyDescent="0.2">
      <c r="A442" s="5"/>
      <c r="B442" s="16"/>
      <c r="C442" s="16"/>
      <c r="D442" s="85" t="s">
        <v>1339</v>
      </c>
      <c r="E442" s="267" t="s">
        <v>1651</v>
      </c>
      <c r="F442" s="267"/>
      <c r="G442" s="87">
        <v>24.06</v>
      </c>
      <c r="H442" s="39"/>
      <c r="I442" s="6"/>
    </row>
    <row r="443" spans="1:9" ht="12.2" customHeight="1" x14ac:dyDescent="0.2">
      <c r="A443" s="5"/>
      <c r="B443" s="16"/>
      <c r="C443" s="16"/>
      <c r="D443" s="85" t="s">
        <v>1252</v>
      </c>
      <c r="E443" s="267" t="s">
        <v>1652</v>
      </c>
      <c r="F443" s="267"/>
      <c r="G443" s="87">
        <v>-1.94</v>
      </c>
      <c r="H443" s="39"/>
      <c r="I443" s="6"/>
    </row>
    <row r="444" spans="1:9" ht="12.2" customHeight="1" x14ac:dyDescent="0.2">
      <c r="A444" s="5"/>
      <c r="B444" s="16"/>
      <c r="C444" s="16"/>
      <c r="D444" s="85" t="s">
        <v>1340</v>
      </c>
      <c r="E444" s="267" t="s">
        <v>1664</v>
      </c>
      <c r="F444" s="267"/>
      <c r="G444" s="87">
        <v>17.22</v>
      </c>
      <c r="H444" s="39"/>
      <c r="I444" s="6"/>
    </row>
    <row r="445" spans="1:9" ht="12.2" customHeight="1" x14ac:dyDescent="0.2">
      <c r="A445" s="5"/>
      <c r="B445" s="16"/>
      <c r="C445" s="16"/>
      <c r="D445" s="85" t="s">
        <v>1250</v>
      </c>
      <c r="E445" s="267" t="s">
        <v>1653</v>
      </c>
      <c r="F445" s="267"/>
      <c r="G445" s="87">
        <v>-1.72</v>
      </c>
      <c r="H445" s="39"/>
      <c r="I445" s="6"/>
    </row>
    <row r="446" spans="1:9" ht="12.2" customHeight="1" x14ac:dyDescent="0.2">
      <c r="A446" s="5"/>
      <c r="B446" s="16"/>
      <c r="C446" s="16"/>
      <c r="D446" s="85" t="s">
        <v>1341</v>
      </c>
      <c r="E446" s="267" t="s">
        <v>1665</v>
      </c>
      <c r="F446" s="267"/>
      <c r="G446" s="87">
        <v>52.02</v>
      </c>
      <c r="H446" s="39"/>
      <c r="I446" s="6"/>
    </row>
    <row r="447" spans="1:9" ht="12.2" customHeight="1" x14ac:dyDescent="0.2">
      <c r="A447" s="5"/>
      <c r="B447" s="16"/>
      <c r="C447" s="16"/>
      <c r="D447" s="85" t="s">
        <v>1250</v>
      </c>
      <c r="E447" s="267" t="s">
        <v>1655</v>
      </c>
      <c r="F447" s="267"/>
      <c r="G447" s="87">
        <v>-1.72</v>
      </c>
      <c r="H447" s="39"/>
      <c r="I447" s="6"/>
    </row>
    <row r="448" spans="1:9" ht="12.2" customHeight="1" x14ac:dyDescent="0.2">
      <c r="A448" s="5"/>
      <c r="B448" s="16"/>
      <c r="C448" s="16"/>
      <c r="D448" s="85" t="s">
        <v>1250</v>
      </c>
      <c r="E448" s="267" t="s">
        <v>1656</v>
      </c>
      <c r="F448" s="267"/>
      <c r="G448" s="87">
        <v>-1.72</v>
      </c>
      <c r="H448" s="39"/>
      <c r="I448" s="6"/>
    </row>
    <row r="449" spans="1:9" ht="12.2" customHeight="1" x14ac:dyDescent="0.2">
      <c r="A449" s="5"/>
      <c r="B449" s="16"/>
      <c r="C449" s="16"/>
      <c r="D449" s="85" t="s">
        <v>1342</v>
      </c>
      <c r="E449" s="267" t="s">
        <v>1666</v>
      </c>
      <c r="F449" s="267"/>
      <c r="G449" s="87">
        <v>31.63</v>
      </c>
      <c r="H449" s="39"/>
      <c r="I449" s="6"/>
    </row>
    <row r="450" spans="1:9" ht="12.2" customHeight="1" x14ac:dyDescent="0.2">
      <c r="A450" s="5"/>
      <c r="B450" s="16"/>
      <c r="C450" s="16"/>
      <c r="D450" s="85" t="s">
        <v>1260</v>
      </c>
      <c r="E450" s="267" t="s">
        <v>1621</v>
      </c>
      <c r="F450" s="267"/>
      <c r="G450" s="87">
        <v>-3.36</v>
      </c>
      <c r="H450" s="39"/>
      <c r="I450" s="6"/>
    </row>
    <row r="451" spans="1:9" ht="12.2" customHeight="1" x14ac:dyDescent="0.2">
      <c r="A451" s="5"/>
      <c r="B451" s="16"/>
      <c r="C451" s="16"/>
      <c r="D451" s="85" t="s">
        <v>1343</v>
      </c>
      <c r="E451" s="267" t="s">
        <v>1667</v>
      </c>
      <c r="F451" s="267"/>
      <c r="G451" s="87">
        <v>59.4</v>
      </c>
      <c r="H451" s="39"/>
      <c r="I451" s="6"/>
    </row>
    <row r="452" spans="1:9" ht="12.2" customHeight="1" x14ac:dyDescent="0.2">
      <c r="A452" s="5"/>
      <c r="B452" s="16"/>
      <c r="C452" s="16"/>
      <c r="D452" s="85" t="s">
        <v>1250</v>
      </c>
      <c r="E452" s="267" t="s">
        <v>1654</v>
      </c>
      <c r="F452" s="267"/>
      <c r="G452" s="87">
        <v>-1.72</v>
      </c>
      <c r="H452" s="39"/>
      <c r="I452" s="6"/>
    </row>
    <row r="453" spans="1:9" ht="12.2" customHeight="1" x14ac:dyDescent="0.2">
      <c r="A453" s="5"/>
      <c r="B453" s="16"/>
      <c r="C453" s="16"/>
      <c r="D453" s="85" t="s">
        <v>1262</v>
      </c>
      <c r="E453" s="267" t="s">
        <v>1668</v>
      </c>
      <c r="F453" s="267"/>
      <c r="G453" s="87">
        <v>-2.63</v>
      </c>
      <c r="H453" s="39"/>
      <c r="I453" s="6"/>
    </row>
    <row r="454" spans="1:9" ht="12.2" customHeight="1" x14ac:dyDescent="0.2">
      <c r="A454" s="5"/>
      <c r="B454" s="16"/>
      <c r="C454" s="16"/>
      <c r="D454" s="85" t="s">
        <v>1263</v>
      </c>
      <c r="E454" s="267" t="s">
        <v>1669</v>
      </c>
      <c r="F454" s="267"/>
      <c r="G454" s="87">
        <v>12.48</v>
      </c>
      <c r="H454" s="39"/>
      <c r="I454" s="6"/>
    </row>
    <row r="455" spans="1:9" ht="12.2" customHeight="1" x14ac:dyDescent="0.2">
      <c r="A455" s="5"/>
      <c r="B455" s="16"/>
      <c r="C455" s="16"/>
      <c r="D455" s="85" t="s">
        <v>1344</v>
      </c>
      <c r="E455" s="267" t="s">
        <v>1670</v>
      </c>
      <c r="F455" s="267"/>
      <c r="G455" s="87">
        <v>48.18</v>
      </c>
      <c r="H455" s="39"/>
      <c r="I455" s="6"/>
    </row>
    <row r="456" spans="1:9" ht="12.2" customHeight="1" x14ac:dyDescent="0.2">
      <c r="A456" s="5"/>
      <c r="B456" s="16"/>
      <c r="C456" s="16"/>
      <c r="D456" s="85" t="s">
        <v>1252</v>
      </c>
      <c r="E456" s="267" t="s">
        <v>1657</v>
      </c>
      <c r="F456" s="267"/>
      <c r="G456" s="87">
        <v>-1.94</v>
      </c>
      <c r="H456" s="39"/>
      <c r="I456" s="6"/>
    </row>
    <row r="457" spans="1:9" ht="12.2" customHeight="1" x14ac:dyDescent="0.2">
      <c r="A457" s="5"/>
      <c r="B457" s="16"/>
      <c r="C457" s="16"/>
      <c r="D457" s="85" t="s">
        <v>1252</v>
      </c>
      <c r="E457" s="267" t="s">
        <v>1658</v>
      </c>
      <c r="F457" s="267"/>
      <c r="G457" s="87">
        <v>-1.94</v>
      </c>
      <c r="H457" s="39"/>
      <c r="I457" s="6"/>
    </row>
    <row r="458" spans="1:9" ht="12.2" customHeight="1" x14ac:dyDescent="0.2">
      <c r="A458" s="5"/>
      <c r="B458" s="16"/>
      <c r="C458" s="16"/>
      <c r="D458" s="85" t="s">
        <v>1345</v>
      </c>
      <c r="E458" s="267" t="s">
        <v>1671</v>
      </c>
      <c r="F458" s="267"/>
      <c r="G458" s="87">
        <v>40.44</v>
      </c>
      <c r="H458" s="39"/>
      <c r="I458" s="6"/>
    </row>
    <row r="459" spans="1:9" ht="12.2" customHeight="1" x14ac:dyDescent="0.2">
      <c r="A459" s="5"/>
      <c r="B459" s="16"/>
      <c r="C459" s="16"/>
      <c r="D459" s="85" t="s">
        <v>1252</v>
      </c>
      <c r="E459" s="267" t="s">
        <v>1659</v>
      </c>
      <c r="F459" s="267"/>
      <c r="G459" s="87">
        <v>-1.94</v>
      </c>
      <c r="H459" s="39"/>
      <c r="I459" s="6"/>
    </row>
    <row r="460" spans="1:9" ht="12.2" customHeight="1" x14ac:dyDescent="0.2">
      <c r="A460" s="5"/>
      <c r="B460" s="16"/>
      <c r="C460" s="16"/>
      <c r="D460" s="85" t="s">
        <v>1346</v>
      </c>
      <c r="E460" s="267" t="s">
        <v>1680</v>
      </c>
      <c r="F460" s="267"/>
      <c r="G460" s="87">
        <v>6.55</v>
      </c>
      <c r="H460" s="39"/>
      <c r="I460" s="6"/>
    </row>
    <row r="461" spans="1:9" ht="12.2" customHeight="1" x14ac:dyDescent="0.2">
      <c r="A461" s="5"/>
      <c r="B461" s="16"/>
      <c r="C461" s="16"/>
      <c r="D461" s="85" t="s">
        <v>1347</v>
      </c>
      <c r="E461" s="267" t="s">
        <v>1681</v>
      </c>
      <c r="F461" s="267"/>
      <c r="G461" s="87">
        <v>2.2000000000000002</v>
      </c>
      <c r="H461" s="39"/>
      <c r="I461" s="6"/>
    </row>
    <row r="462" spans="1:9" ht="12.2" customHeight="1" x14ac:dyDescent="0.2">
      <c r="A462" s="5"/>
      <c r="B462" s="16"/>
      <c r="C462" s="16"/>
      <c r="D462" s="85" t="s">
        <v>1348</v>
      </c>
      <c r="E462" s="267" t="s">
        <v>1682</v>
      </c>
      <c r="F462" s="267"/>
      <c r="G462" s="87">
        <v>4.54</v>
      </c>
      <c r="H462" s="39"/>
      <c r="I462" s="6"/>
    </row>
    <row r="463" spans="1:9" ht="12.2" customHeight="1" x14ac:dyDescent="0.2">
      <c r="A463" s="5"/>
      <c r="B463" s="16"/>
      <c r="C463" s="16"/>
      <c r="D463" s="85" t="s">
        <v>1349</v>
      </c>
      <c r="E463" s="267" t="s">
        <v>1688</v>
      </c>
      <c r="F463" s="267"/>
      <c r="G463" s="87">
        <v>8.49</v>
      </c>
      <c r="H463" s="39"/>
      <c r="I463" s="6"/>
    </row>
    <row r="464" spans="1:9" ht="12.2" customHeight="1" x14ac:dyDescent="0.2">
      <c r="A464" s="5"/>
      <c r="B464" s="16"/>
      <c r="C464" s="16"/>
      <c r="D464" s="85" t="s">
        <v>1350</v>
      </c>
      <c r="E464" s="267" t="s">
        <v>1710</v>
      </c>
      <c r="F464" s="267"/>
      <c r="G464" s="87">
        <v>-91.14</v>
      </c>
      <c r="H464" s="39"/>
      <c r="I464" s="6"/>
    </row>
    <row r="465" spans="1:9" x14ac:dyDescent="0.2">
      <c r="A465" s="82"/>
      <c r="B465" s="15"/>
      <c r="C465" s="15" t="s">
        <v>68</v>
      </c>
      <c r="D465" s="237" t="s">
        <v>755</v>
      </c>
      <c r="E465" s="238"/>
      <c r="F465" s="15"/>
      <c r="G465" s="51"/>
      <c r="H465" s="38"/>
      <c r="I465" s="6"/>
    </row>
    <row r="466" spans="1:9" x14ac:dyDescent="0.2">
      <c r="A466" s="5" t="s">
        <v>119</v>
      </c>
      <c r="B466" s="16" t="s">
        <v>305</v>
      </c>
      <c r="C466" s="16" t="s">
        <v>401</v>
      </c>
      <c r="D466" s="243" t="s">
        <v>756</v>
      </c>
      <c r="E466" s="244"/>
      <c r="F466" s="16" t="s">
        <v>1042</v>
      </c>
      <c r="G466" s="27">
        <v>1.37</v>
      </c>
      <c r="H466" s="91">
        <v>0</v>
      </c>
      <c r="I466" s="6"/>
    </row>
    <row r="467" spans="1:9" ht="12.2" customHeight="1" x14ac:dyDescent="0.2">
      <c r="A467" s="5"/>
      <c r="B467" s="16"/>
      <c r="C467" s="16"/>
      <c r="D467" s="85" t="s">
        <v>1351</v>
      </c>
      <c r="E467" s="267" t="s">
        <v>1711</v>
      </c>
      <c r="F467" s="267"/>
      <c r="G467" s="87">
        <v>1.37</v>
      </c>
      <c r="H467" s="39"/>
      <c r="I467" s="6"/>
    </row>
    <row r="468" spans="1:9" x14ac:dyDescent="0.2">
      <c r="A468" s="5" t="s">
        <v>120</v>
      </c>
      <c r="B468" s="16" t="s">
        <v>305</v>
      </c>
      <c r="C468" s="16" t="s">
        <v>402</v>
      </c>
      <c r="D468" s="243" t="s">
        <v>759</v>
      </c>
      <c r="E468" s="244"/>
      <c r="F468" s="16" t="s">
        <v>1042</v>
      </c>
      <c r="G468" s="27">
        <v>1.37</v>
      </c>
      <c r="H468" s="91">
        <v>0</v>
      </c>
      <c r="I468" s="6"/>
    </row>
    <row r="469" spans="1:9" ht="12.2" customHeight="1" x14ac:dyDescent="0.2">
      <c r="A469" s="5"/>
      <c r="B469" s="16"/>
      <c r="C469" s="16"/>
      <c r="D469" s="85" t="s">
        <v>1351</v>
      </c>
      <c r="E469" s="267" t="s">
        <v>1711</v>
      </c>
      <c r="F469" s="267"/>
      <c r="G469" s="87">
        <v>1.37</v>
      </c>
      <c r="H469" s="39"/>
      <c r="I469" s="6"/>
    </row>
    <row r="470" spans="1:9" x14ac:dyDescent="0.2">
      <c r="A470" s="5" t="s">
        <v>121</v>
      </c>
      <c r="B470" s="16" t="s">
        <v>305</v>
      </c>
      <c r="C470" s="16" t="s">
        <v>403</v>
      </c>
      <c r="D470" s="243" t="s">
        <v>760</v>
      </c>
      <c r="E470" s="244"/>
      <c r="F470" s="16" t="s">
        <v>1042</v>
      </c>
      <c r="G470" s="27">
        <v>1.37</v>
      </c>
      <c r="H470" s="91">
        <v>0</v>
      </c>
      <c r="I470" s="6"/>
    </row>
    <row r="471" spans="1:9" ht="12.2" customHeight="1" x14ac:dyDescent="0.2">
      <c r="A471" s="5"/>
      <c r="B471" s="16"/>
      <c r="C471" s="16"/>
      <c r="D471" s="85" t="s">
        <v>1351</v>
      </c>
      <c r="E471" s="267" t="s">
        <v>1711</v>
      </c>
      <c r="F471" s="267"/>
      <c r="G471" s="87">
        <v>1.37</v>
      </c>
      <c r="H471" s="39"/>
      <c r="I471" s="6"/>
    </row>
    <row r="472" spans="1:9" x14ac:dyDescent="0.2">
      <c r="A472" s="5" t="s">
        <v>122</v>
      </c>
      <c r="B472" s="16" t="s">
        <v>305</v>
      </c>
      <c r="C472" s="16" t="s">
        <v>404</v>
      </c>
      <c r="D472" s="243" t="s">
        <v>761</v>
      </c>
      <c r="E472" s="244"/>
      <c r="F472" s="16" t="s">
        <v>1042</v>
      </c>
      <c r="G472" s="27">
        <v>214.07</v>
      </c>
      <c r="H472" s="91">
        <v>0</v>
      </c>
      <c r="I472" s="6"/>
    </row>
    <row r="473" spans="1:9" ht="12.2" customHeight="1" x14ac:dyDescent="0.2">
      <c r="A473" s="5"/>
      <c r="B473" s="16"/>
      <c r="C473" s="16"/>
      <c r="D473" s="85" t="s">
        <v>1352</v>
      </c>
      <c r="E473" s="267" t="s">
        <v>1712</v>
      </c>
      <c r="F473" s="267"/>
      <c r="G473" s="87">
        <v>48.49</v>
      </c>
      <c r="H473" s="39"/>
      <c r="I473" s="6"/>
    </row>
    <row r="474" spans="1:9" ht="12.2" customHeight="1" x14ac:dyDescent="0.2">
      <c r="A474" s="5"/>
      <c r="B474" s="16"/>
      <c r="C474" s="16"/>
      <c r="D474" s="85" t="s">
        <v>1353</v>
      </c>
      <c r="E474" s="267" t="s">
        <v>1647</v>
      </c>
      <c r="F474" s="267"/>
      <c r="G474" s="87">
        <v>-5.13</v>
      </c>
      <c r="H474" s="39"/>
      <c r="I474" s="6"/>
    </row>
    <row r="475" spans="1:9" ht="12.2" customHeight="1" x14ac:dyDescent="0.2">
      <c r="A475" s="5"/>
      <c r="B475" s="16"/>
      <c r="C475" s="16"/>
      <c r="D475" s="85" t="s">
        <v>1231</v>
      </c>
      <c r="E475" s="267" t="s">
        <v>1637</v>
      </c>
      <c r="F475" s="267"/>
      <c r="G475" s="87">
        <v>-2.97</v>
      </c>
      <c r="H475" s="39"/>
      <c r="I475" s="6"/>
    </row>
    <row r="476" spans="1:9" ht="12.2" customHeight="1" x14ac:dyDescent="0.2">
      <c r="A476" s="5"/>
      <c r="B476" s="16"/>
      <c r="C476" s="16"/>
      <c r="D476" s="85" t="s">
        <v>1232</v>
      </c>
      <c r="E476" s="267" t="s">
        <v>1638</v>
      </c>
      <c r="F476" s="267"/>
      <c r="G476" s="87">
        <v>-1.65</v>
      </c>
      <c r="H476" s="39"/>
      <c r="I476" s="6"/>
    </row>
    <row r="477" spans="1:9" ht="12.2" customHeight="1" x14ac:dyDescent="0.2">
      <c r="A477" s="5"/>
      <c r="B477" s="16"/>
      <c r="C477" s="16"/>
      <c r="D477" s="85" t="s">
        <v>1231</v>
      </c>
      <c r="E477" s="267" t="s">
        <v>1637</v>
      </c>
      <c r="F477" s="267"/>
      <c r="G477" s="87">
        <v>-2.97</v>
      </c>
      <c r="H477" s="39"/>
      <c r="I477" s="6"/>
    </row>
    <row r="478" spans="1:9" ht="12.2" customHeight="1" x14ac:dyDescent="0.2">
      <c r="A478" s="5"/>
      <c r="B478" s="16"/>
      <c r="C478" s="16"/>
      <c r="D478" s="85" t="s">
        <v>1354</v>
      </c>
      <c r="E478" s="267" t="s">
        <v>1713</v>
      </c>
      <c r="F478" s="267"/>
      <c r="G478" s="87">
        <v>75.45</v>
      </c>
      <c r="H478" s="39"/>
      <c r="I478" s="6"/>
    </row>
    <row r="479" spans="1:9" ht="12.2" customHeight="1" x14ac:dyDescent="0.2">
      <c r="A479" s="5"/>
      <c r="B479" s="16"/>
      <c r="C479" s="16"/>
      <c r="D479" s="85" t="s">
        <v>1216</v>
      </c>
      <c r="E479" s="267" t="s">
        <v>1624</v>
      </c>
      <c r="F479" s="267"/>
      <c r="G479" s="87">
        <v>-2.4</v>
      </c>
      <c r="H479" s="39"/>
      <c r="I479" s="6"/>
    </row>
    <row r="480" spans="1:9" ht="12.2" customHeight="1" x14ac:dyDescent="0.2">
      <c r="A480" s="5"/>
      <c r="B480" s="16"/>
      <c r="C480" s="16"/>
      <c r="D480" s="85" t="s">
        <v>1233</v>
      </c>
      <c r="E480" s="267" t="s">
        <v>1639</v>
      </c>
      <c r="F480" s="267"/>
      <c r="G480" s="87">
        <v>-3.13</v>
      </c>
      <c r="H480" s="39"/>
      <c r="I480" s="6"/>
    </row>
    <row r="481" spans="1:9" ht="12.2" customHeight="1" x14ac:dyDescent="0.2">
      <c r="A481" s="5"/>
      <c r="B481" s="16"/>
      <c r="C481" s="16"/>
      <c r="D481" s="85" t="s">
        <v>1355</v>
      </c>
      <c r="E481" s="267" t="s">
        <v>1714</v>
      </c>
      <c r="F481" s="267"/>
      <c r="G481" s="87">
        <v>47.96</v>
      </c>
      <c r="H481" s="39"/>
      <c r="I481" s="6"/>
    </row>
    <row r="482" spans="1:9" ht="12.2" customHeight="1" x14ac:dyDescent="0.2">
      <c r="A482" s="5"/>
      <c r="B482" s="16"/>
      <c r="C482" s="16"/>
      <c r="D482" s="85" t="s">
        <v>1356</v>
      </c>
      <c r="E482" s="267" t="s">
        <v>1642</v>
      </c>
      <c r="F482" s="267"/>
      <c r="G482" s="87">
        <v>-2.4300000000000002</v>
      </c>
      <c r="H482" s="39"/>
      <c r="I482" s="6"/>
    </row>
    <row r="483" spans="1:9" ht="12.2" customHeight="1" x14ac:dyDescent="0.2">
      <c r="A483" s="5"/>
      <c r="B483" s="16"/>
      <c r="C483" s="16"/>
      <c r="D483" s="85" t="s">
        <v>1357</v>
      </c>
      <c r="E483" s="267" t="s">
        <v>1644</v>
      </c>
      <c r="F483" s="267"/>
      <c r="G483" s="87">
        <v>-4.12</v>
      </c>
      <c r="H483" s="39"/>
      <c r="I483" s="6"/>
    </row>
    <row r="484" spans="1:9" ht="12.2" customHeight="1" x14ac:dyDescent="0.2">
      <c r="A484" s="5"/>
      <c r="B484" s="16"/>
      <c r="C484" s="16"/>
      <c r="D484" s="85" t="s">
        <v>1358</v>
      </c>
      <c r="E484" s="267" t="s">
        <v>1715</v>
      </c>
      <c r="F484" s="267"/>
      <c r="G484" s="87">
        <v>68.180000000000007</v>
      </c>
      <c r="H484" s="39"/>
      <c r="I484" s="6"/>
    </row>
    <row r="485" spans="1:9" ht="12.2" customHeight="1" x14ac:dyDescent="0.2">
      <c r="A485" s="5"/>
      <c r="B485" s="16"/>
      <c r="C485" s="16"/>
      <c r="D485" s="85" t="s">
        <v>1228</v>
      </c>
      <c r="E485" s="267" t="s">
        <v>1634</v>
      </c>
      <c r="F485" s="267"/>
      <c r="G485" s="87">
        <v>-0.42</v>
      </c>
      <c r="H485" s="39"/>
      <c r="I485" s="6"/>
    </row>
    <row r="486" spans="1:9" ht="12.2" customHeight="1" x14ac:dyDescent="0.2">
      <c r="A486" s="5"/>
      <c r="B486" s="16"/>
      <c r="C486" s="16"/>
      <c r="D486" s="85" t="s">
        <v>1229</v>
      </c>
      <c r="E486" s="267" t="s">
        <v>1635</v>
      </c>
      <c r="F486" s="267"/>
      <c r="G486" s="87">
        <v>-1.36</v>
      </c>
      <c r="H486" s="39"/>
      <c r="I486" s="6"/>
    </row>
    <row r="487" spans="1:9" ht="12.2" customHeight="1" x14ac:dyDescent="0.2">
      <c r="A487" s="5"/>
      <c r="B487" s="16"/>
      <c r="C487" s="16"/>
      <c r="D487" s="85" t="s">
        <v>1359</v>
      </c>
      <c r="E487" s="267" t="s">
        <v>1668</v>
      </c>
      <c r="F487" s="267"/>
      <c r="G487" s="87">
        <v>-2.13</v>
      </c>
      <c r="H487" s="39"/>
      <c r="I487" s="6"/>
    </row>
    <row r="488" spans="1:9" ht="12.2" customHeight="1" x14ac:dyDescent="0.2">
      <c r="A488" s="5"/>
      <c r="B488" s="16"/>
      <c r="C488" s="16"/>
      <c r="D488" s="85" t="s">
        <v>1360</v>
      </c>
      <c r="E488" s="267" t="s">
        <v>1640</v>
      </c>
      <c r="F488" s="267"/>
      <c r="G488" s="87">
        <v>-3.22</v>
      </c>
      <c r="H488" s="39"/>
      <c r="I488" s="6"/>
    </row>
    <row r="489" spans="1:9" ht="12.2" customHeight="1" x14ac:dyDescent="0.2">
      <c r="A489" s="5"/>
      <c r="B489" s="16"/>
      <c r="C489" s="16"/>
      <c r="D489" s="85" t="s">
        <v>1234</v>
      </c>
      <c r="E489" s="267" t="s">
        <v>1641</v>
      </c>
      <c r="F489" s="267"/>
      <c r="G489" s="87">
        <v>-2.25</v>
      </c>
      <c r="H489" s="39"/>
      <c r="I489" s="6"/>
    </row>
    <row r="490" spans="1:9" ht="12.2" customHeight="1" x14ac:dyDescent="0.2">
      <c r="A490" s="5"/>
      <c r="B490" s="16"/>
      <c r="C490" s="16"/>
      <c r="D490" s="85" t="s">
        <v>1361</v>
      </c>
      <c r="E490" s="267" t="s">
        <v>1716</v>
      </c>
      <c r="F490" s="267"/>
      <c r="G490" s="87">
        <v>8.17</v>
      </c>
      <c r="H490" s="39"/>
      <c r="I490" s="6"/>
    </row>
    <row r="491" spans="1:9" x14ac:dyDescent="0.2">
      <c r="A491" s="5" t="s">
        <v>123</v>
      </c>
      <c r="B491" s="16" t="s">
        <v>305</v>
      </c>
      <c r="C491" s="16" t="s">
        <v>405</v>
      </c>
      <c r="D491" s="243" t="s">
        <v>762</v>
      </c>
      <c r="E491" s="244"/>
      <c r="F491" s="16" t="s">
        <v>1042</v>
      </c>
      <c r="G491" s="27">
        <v>214.07</v>
      </c>
      <c r="H491" s="91">
        <v>0</v>
      </c>
      <c r="I491" s="6"/>
    </row>
    <row r="492" spans="1:9" ht="12.2" customHeight="1" x14ac:dyDescent="0.2">
      <c r="A492" s="5"/>
      <c r="B492" s="16"/>
      <c r="C492" s="16"/>
      <c r="D492" s="85" t="s">
        <v>1326</v>
      </c>
      <c r="E492" s="267" t="s">
        <v>1702</v>
      </c>
      <c r="F492" s="267"/>
      <c r="G492" s="87">
        <v>214.07</v>
      </c>
      <c r="H492" s="39"/>
      <c r="I492" s="6"/>
    </row>
    <row r="493" spans="1:9" x14ac:dyDescent="0.2">
      <c r="A493" s="5" t="s">
        <v>124</v>
      </c>
      <c r="B493" s="16" t="s">
        <v>305</v>
      </c>
      <c r="C493" s="16" t="s">
        <v>406</v>
      </c>
      <c r="D493" s="243" t="s">
        <v>763</v>
      </c>
      <c r="E493" s="244"/>
      <c r="F493" s="16" t="s">
        <v>1042</v>
      </c>
      <c r="G493" s="27">
        <v>14.6</v>
      </c>
      <c r="H493" s="91">
        <v>0</v>
      </c>
      <c r="I493" s="6"/>
    </row>
    <row r="494" spans="1:9" ht="12.2" customHeight="1" x14ac:dyDescent="0.2">
      <c r="A494" s="5"/>
      <c r="B494" s="16"/>
      <c r="C494" s="16"/>
      <c r="D494" s="85" t="s">
        <v>1362</v>
      </c>
      <c r="E494" s="267" t="s">
        <v>1717</v>
      </c>
      <c r="F494" s="267"/>
      <c r="G494" s="87">
        <v>14.6</v>
      </c>
      <c r="H494" s="39"/>
      <c r="I494" s="6"/>
    </row>
    <row r="495" spans="1:9" x14ac:dyDescent="0.2">
      <c r="A495" s="5" t="s">
        <v>125</v>
      </c>
      <c r="B495" s="16" t="s">
        <v>305</v>
      </c>
      <c r="C495" s="16" t="s">
        <v>407</v>
      </c>
      <c r="D495" s="243" t="s">
        <v>764</v>
      </c>
      <c r="E495" s="244"/>
      <c r="F495" s="16" t="s">
        <v>1044</v>
      </c>
      <c r="G495" s="27">
        <v>73</v>
      </c>
      <c r="H495" s="91">
        <v>0</v>
      </c>
      <c r="I495" s="6"/>
    </row>
    <row r="496" spans="1:9" ht="12.2" customHeight="1" x14ac:dyDescent="0.2">
      <c r="A496" s="5"/>
      <c r="B496" s="16"/>
      <c r="C496" s="16"/>
      <c r="D496" s="85" t="s">
        <v>1363</v>
      </c>
      <c r="E496" s="267" t="s">
        <v>1647</v>
      </c>
      <c r="F496" s="267"/>
      <c r="G496" s="87">
        <v>7.05</v>
      </c>
      <c r="H496" s="39"/>
      <c r="I496" s="6"/>
    </row>
    <row r="497" spans="1:9" ht="12.2" customHeight="1" x14ac:dyDescent="0.2">
      <c r="A497" s="5"/>
      <c r="B497" s="16"/>
      <c r="C497" s="16"/>
      <c r="D497" s="85" t="s">
        <v>1364</v>
      </c>
      <c r="E497" s="267" t="s">
        <v>1637</v>
      </c>
      <c r="F497" s="267"/>
      <c r="G497" s="87">
        <v>5.0999999999999996</v>
      </c>
      <c r="H497" s="39"/>
      <c r="I497" s="6"/>
    </row>
    <row r="498" spans="1:9" ht="12.2" customHeight="1" x14ac:dyDescent="0.2">
      <c r="A498" s="5"/>
      <c r="B498" s="16"/>
      <c r="C498" s="16"/>
      <c r="D498" s="85" t="s">
        <v>1365</v>
      </c>
      <c r="E498" s="267" t="s">
        <v>1638</v>
      </c>
      <c r="F498" s="267"/>
      <c r="G498" s="87">
        <v>4.3</v>
      </c>
      <c r="H498" s="39"/>
      <c r="I498" s="6"/>
    </row>
    <row r="499" spans="1:9" ht="12.2" customHeight="1" x14ac:dyDescent="0.2">
      <c r="A499" s="5"/>
      <c r="B499" s="16"/>
      <c r="C499" s="16"/>
      <c r="D499" s="85" t="s">
        <v>1364</v>
      </c>
      <c r="E499" s="267" t="s">
        <v>1637</v>
      </c>
      <c r="F499" s="267"/>
      <c r="G499" s="87">
        <v>5.0999999999999996</v>
      </c>
      <c r="H499" s="39"/>
      <c r="I499" s="6"/>
    </row>
    <row r="500" spans="1:9" ht="12.2" customHeight="1" x14ac:dyDescent="0.2">
      <c r="A500" s="5"/>
      <c r="B500" s="16"/>
      <c r="C500" s="16"/>
      <c r="D500" s="85" t="s">
        <v>1366</v>
      </c>
      <c r="E500" s="267" t="s">
        <v>1624</v>
      </c>
      <c r="F500" s="267"/>
      <c r="G500" s="87">
        <v>6.4</v>
      </c>
      <c r="H500" s="39"/>
      <c r="I500" s="6"/>
    </row>
    <row r="501" spans="1:9" ht="12.2" customHeight="1" x14ac:dyDescent="0.2">
      <c r="A501" s="5"/>
      <c r="B501" s="16"/>
      <c r="C501" s="16"/>
      <c r="D501" s="85" t="s">
        <v>1367</v>
      </c>
      <c r="E501" s="267" t="s">
        <v>1639</v>
      </c>
      <c r="F501" s="267"/>
      <c r="G501" s="87">
        <v>5.2</v>
      </c>
      <c r="H501" s="39"/>
      <c r="I501" s="6"/>
    </row>
    <row r="502" spans="1:9" ht="12.2" customHeight="1" x14ac:dyDescent="0.2">
      <c r="A502" s="5"/>
      <c r="B502" s="16"/>
      <c r="C502" s="16"/>
      <c r="D502" s="85" t="s">
        <v>1368</v>
      </c>
      <c r="E502" s="267" t="s">
        <v>1642</v>
      </c>
      <c r="F502" s="267"/>
      <c r="G502" s="87">
        <v>8.6999999999999993</v>
      </c>
      <c r="H502" s="39"/>
      <c r="I502" s="6"/>
    </row>
    <row r="503" spans="1:9" ht="12.2" customHeight="1" x14ac:dyDescent="0.2">
      <c r="A503" s="5"/>
      <c r="B503" s="16"/>
      <c r="C503" s="16"/>
      <c r="D503" s="85" t="s">
        <v>1369</v>
      </c>
      <c r="E503" s="267" t="s">
        <v>1644</v>
      </c>
      <c r="F503" s="267"/>
      <c r="G503" s="87">
        <v>10.199999999999999</v>
      </c>
      <c r="H503" s="39"/>
      <c r="I503" s="6"/>
    </row>
    <row r="504" spans="1:9" ht="12.2" customHeight="1" x14ac:dyDescent="0.2">
      <c r="A504" s="5"/>
      <c r="B504" s="16"/>
      <c r="C504" s="16"/>
      <c r="D504" s="85" t="s">
        <v>1370</v>
      </c>
      <c r="E504" s="267" t="s">
        <v>1634</v>
      </c>
      <c r="F504" s="267"/>
      <c r="G504" s="87">
        <v>2</v>
      </c>
      <c r="H504" s="39"/>
      <c r="I504" s="6"/>
    </row>
    <row r="505" spans="1:9" ht="12.2" customHeight="1" x14ac:dyDescent="0.2">
      <c r="A505" s="5"/>
      <c r="B505" s="16"/>
      <c r="C505" s="16"/>
      <c r="D505" s="85" t="s">
        <v>1371</v>
      </c>
      <c r="E505" s="267" t="s">
        <v>1635</v>
      </c>
      <c r="F505" s="267"/>
      <c r="G505" s="87">
        <v>3.35</v>
      </c>
      <c r="H505" s="39"/>
      <c r="I505" s="6"/>
    </row>
    <row r="506" spans="1:9" ht="12.2" customHeight="1" x14ac:dyDescent="0.2">
      <c r="A506" s="5"/>
      <c r="B506" s="16"/>
      <c r="C506" s="16"/>
      <c r="D506" s="85" t="s">
        <v>1372</v>
      </c>
      <c r="E506" s="267" t="s">
        <v>1668</v>
      </c>
      <c r="F506" s="267"/>
      <c r="G506" s="87">
        <v>5.85</v>
      </c>
      <c r="H506" s="39"/>
      <c r="I506" s="6"/>
    </row>
    <row r="507" spans="1:9" ht="12.2" customHeight="1" x14ac:dyDescent="0.2">
      <c r="A507" s="5"/>
      <c r="B507" s="16"/>
      <c r="C507" s="16"/>
      <c r="D507" s="85" t="s">
        <v>1373</v>
      </c>
      <c r="E507" s="267" t="s">
        <v>1640</v>
      </c>
      <c r="F507" s="267"/>
      <c r="G507" s="87">
        <v>5.25</v>
      </c>
      <c r="H507" s="39"/>
      <c r="I507" s="6"/>
    </row>
    <row r="508" spans="1:9" ht="12.2" customHeight="1" x14ac:dyDescent="0.2">
      <c r="A508" s="5"/>
      <c r="B508" s="16"/>
      <c r="C508" s="16"/>
      <c r="D508" s="85" t="s">
        <v>1374</v>
      </c>
      <c r="E508" s="267" t="s">
        <v>1641</v>
      </c>
      <c r="F508" s="267"/>
      <c r="G508" s="87">
        <v>4.5</v>
      </c>
      <c r="H508" s="39"/>
      <c r="I508" s="6"/>
    </row>
    <row r="509" spans="1:9" x14ac:dyDescent="0.2">
      <c r="A509" s="5" t="s">
        <v>126</v>
      </c>
      <c r="B509" s="16" t="s">
        <v>305</v>
      </c>
      <c r="C509" s="16" t="s">
        <v>408</v>
      </c>
      <c r="D509" s="243" t="s">
        <v>766</v>
      </c>
      <c r="E509" s="244"/>
      <c r="F509" s="16" t="s">
        <v>1044</v>
      </c>
      <c r="G509" s="27">
        <v>25.73</v>
      </c>
      <c r="H509" s="91">
        <v>0</v>
      </c>
      <c r="I509" s="6"/>
    </row>
    <row r="510" spans="1:9" ht="12.2" customHeight="1" x14ac:dyDescent="0.2">
      <c r="A510" s="5"/>
      <c r="B510" s="16"/>
      <c r="C510" s="16"/>
      <c r="D510" s="85" t="s">
        <v>1375</v>
      </c>
      <c r="E510" s="267" t="s">
        <v>1718</v>
      </c>
      <c r="F510" s="267"/>
      <c r="G510" s="87">
        <v>21.81</v>
      </c>
      <c r="H510" s="39"/>
      <c r="I510" s="6"/>
    </row>
    <row r="511" spans="1:9" ht="12.2" customHeight="1" x14ac:dyDescent="0.2">
      <c r="A511" s="5"/>
      <c r="B511" s="16"/>
      <c r="C511" s="16"/>
      <c r="D511" s="85" t="s">
        <v>1376</v>
      </c>
      <c r="E511" s="267" t="s">
        <v>1718</v>
      </c>
      <c r="F511" s="267"/>
      <c r="G511" s="87">
        <v>3.92</v>
      </c>
      <c r="H511" s="39"/>
      <c r="I511" s="6"/>
    </row>
    <row r="512" spans="1:9" x14ac:dyDescent="0.2">
      <c r="A512" s="7" t="s">
        <v>127</v>
      </c>
      <c r="B512" s="17" t="s">
        <v>305</v>
      </c>
      <c r="C512" s="17" t="s">
        <v>409</v>
      </c>
      <c r="D512" s="241" t="s">
        <v>767</v>
      </c>
      <c r="E512" s="242"/>
      <c r="F512" s="17" t="s">
        <v>1044</v>
      </c>
      <c r="G512" s="28">
        <v>26.24</v>
      </c>
      <c r="H512" s="93">
        <v>0</v>
      </c>
      <c r="I512" s="6"/>
    </row>
    <row r="513" spans="1:9" ht="12.2" customHeight="1" x14ac:dyDescent="0.2">
      <c r="A513" s="7"/>
      <c r="B513" s="17"/>
      <c r="C513" s="17"/>
      <c r="D513" s="85" t="s">
        <v>1375</v>
      </c>
      <c r="E513" s="267" t="s">
        <v>1718</v>
      </c>
      <c r="F513" s="267"/>
      <c r="G513" s="88">
        <v>21.81</v>
      </c>
      <c r="H513" s="40"/>
      <c r="I513" s="6"/>
    </row>
    <row r="514" spans="1:9" ht="12.2" customHeight="1" x14ac:dyDescent="0.2">
      <c r="A514" s="7"/>
      <c r="B514" s="17"/>
      <c r="C514" s="17"/>
      <c r="D514" s="85" t="s">
        <v>1376</v>
      </c>
      <c r="E514" s="267" t="s">
        <v>1718</v>
      </c>
      <c r="F514" s="267"/>
      <c r="G514" s="88">
        <v>3.92</v>
      </c>
      <c r="H514" s="40"/>
      <c r="I514" s="6"/>
    </row>
    <row r="515" spans="1:9" ht="12.2" customHeight="1" x14ac:dyDescent="0.2">
      <c r="A515" s="7"/>
      <c r="B515" s="17"/>
      <c r="C515" s="17"/>
      <c r="D515" s="85" t="s">
        <v>1377</v>
      </c>
      <c r="E515" s="267"/>
      <c r="F515" s="267"/>
      <c r="G515" s="88">
        <v>0.51</v>
      </c>
      <c r="H515" s="40"/>
      <c r="I515" s="6"/>
    </row>
    <row r="516" spans="1:9" x14ac:dyDescent="0.2">
      <c r="A516" s="5" t="s">
        <v>128</v>
      </c>
      <c r="B516" s="16" t="s">
        <v>305</v>
      </c>
      <c r="C516" s="16" t="s">
        <v>410</v>
      </c>
      <c r="D516" s="243" t="s">
        <v>768</v>
      </c>
      <c r="E516" s="244"/>
      <c r="F516" s="16" t="s">
        <v>1042</v>
      </c>
      <c r="G516" s="27">
        <v>34.18</v>
      </c>
      <c r="H516" s="91">
        <v>0</v>
      </c>
      <c r="I516" s="6"/>
    </row>
    <row r="517" spans="1:9" ht="12.2" customHeight="1" x14ac:dyDescent="0.2">
      <c r="A517" s="5"/>
      <c r="B517" s="16"/>
      <c r="C517" s="16"/>
      <c r="D517" s="85" t="s">
        <v>1378</v>
      </c>
      <c r="E517" s="267" t="s">
        <v>1647</v>
      </c>
      <c r="F517" s="267"/>
      <c r="G517" s="87">
        <v>5.13</v>
      </c>
      <c r="H517" s="39"/>
      <c r="I517" s="6"/>
    </row>
    <row r="518" spans="1:9" ht="12.2" customHeight="1" x14ac:dyDescent="0.2">
      <c r="A518" s="5"/>
      <c r="B518" s="16"/>
      <c r="C518" s="16"/>
      <c r="D518" s="85" t="s">
        <v>1379</v>
      </c>
      <c r="E518" s="267" t="s">
        <v>1637</v>
      </c>
      <c r="F518" s="267"/>
      <c r="G518" s="87">
        <v>2.97</v>
      </c>
      <c r="H518" s="39"/>
      <c r="I518" s="6"/>
    </row>
    <row r="519" spans="1:9" ht="12.2" customHeight="1" x14ac:dyDescent="0.2">
      <c r="A519" s="5"/>
      <c r="B519" s="16"/>
      <c r="C519" s="16"/>
      <c r="D519" s="85" t="s">
        <v>1380</v>
      </c>
      <c r="E519" s="267" t="s">
        <v>1638</v>
      </c>
      <c r="F519" s="267"/>
      <c r="G519" s="87">
        <v>1.65</v>
      </c>
      <c r="H519" s="39"/>
      <c r="I519" s="6"/>
    </row>
    <row r="520" spans="1:9" ht="12.2" customHeight="1" x14ac:dyDescent="0.2">
      <c r="A520" s="5"/>
      <c r="B520" s="16"/>
      <c r="C520" s="16"/>
      <c r="D520" s="85" t="s">
        <v>1379</v>
      </c>
      <c r="E520" s="267" t="s">
        <v>1637</v>
      </c>
      <c r="F520" s="267"/>
      <c r="G520" s="87">
        <v>2.97</v>
      </c>
      <c r="H520" s="39"/>
      <c r="I520" s="6"/>
    </row>
    <row r="521" spans="1:9" ht="12.2" customHeight="1" x14ac:dyDescent="0.2">
      <c r="A521" s="5"/>
      <c r="B521" s="16"/>
      <c r="C521" s="16"/>
      <c r="D521" s="85" t="s">
        <v>1381</v>
      </c>
      <c r="E521" s="267" t="s">
        <v>1624</v>
      </c>
      <c r="F521" s="267"/>
      <c r="G521" s="87">
        <v>2.4</v>
      </c>
      <c r="H521" s="39"/>
      <c r="I521" s="6"/>
    </row>
    <row r="522" spans="1:9" ht="12.2" customHeight="1" x14ac:dyDescent="0.2">
      <c r="A522" s="5"/>
      <c r="B522" s="16"/>
      <c r="C522" s="16"/>
      <c r="D522" s="85" t="s">
        <v>1382</v>
      </c>
      <c r="E522" s="267" t="s">
        <v>1639</v>
      </c>
      <c r="F522" s="267"/>
      <c r="G522" s="87">
        <v>3.13</v>
      </c>
      <c r="H522" s="39"/>
      <c r="I522" s="6"/>
    </row>
    <row r="523" spans="1:9" ht="12.2" customHeight="1" x14ac:dyDescent="0.2">
      <c r="A523" s="5"/>
      <c r="B523" s="16"/>
      <c r="C523" s="16"/>
      <c r="D523" s="85" t="s">
        <v>1383</v>
      </c>
      <c r="E523" s="267" t="s">
        <v>1642</v>
      </c>
      <c r="F523" s="267"/>
      <c r="G523" s="87">
        <v>2.4300000000000002</v>
      </c>
      <c r="H523" s="39"/>
      <c r="I523" s="6"/>
    </row>
    <row r="524" spans="1:9" ht="12.2" customHeight="1" x14ac:dyDescent="0.2">
      <c r="A524" s="5"/>
      <c r="B524" s="16"/>
      <c r="C524" s="16"/>
      <c r="D524" s="85" t="s">
        <v>1384</v>
      </c>
      <c r="E524" s="267" t="s">
        <v>1644</v>
      </c>
      <c r="F524" s="267"/>
      <c r="G524" s="87">
        <v>4.12</v>
      </c>
      <c r="H524" s="39"/>
      <c r="I524" s="6"/>
    </row>
    <row r="525" spans="1:9" ht="12.2" customHeight="1" x14ac:dyDescent="0.2">
      <c r="A525" s="5"/>
      <c r="B525" s="16"/>
      <c r="C525" s="16"/>
      <c r="D525" s="85" t="s">
        <v>1385</v>
      </c>
      <c r="E525" s="267" t="s">
        <v>1634</v>
      </c>
      <c r="F525" s="267"/>
      <c r="G525" s="87">
        <v>0.42</v>
      </c>
      <c r="H525" s="39"/>
      <c r="I525" s="6"/>
    </row>
    <row r="526" spans="1:9" ht="12.2" customHeight="1" x14ac:dyDescent="0.2">
      <c r="A526" s="5"/>
      <c r="B526" s="16"/>
      <c r="C526" s="16"/>
      <c r="D526" s="85" t="s">
        <v>1386</v>
      </c>
      <c r="E526" s="267" t="s">
        <v>1635</v>
      </c>
      <c r="F526" s="267"/>
      <c r="G526" s="87">
        <v>1.36</v>
      </c>
      <c r="H526" s="39"/>
      <c r="I526" s="6"/>
    </row>
    <row r="527" spans="1:9" ht="12.2" customHeight="1" x14ac:dyDescent="0.2">
      <c r="A527" s="5"/>
      <c r="B527" s="16"/>
      <c r="C527" s="16"/>
      <c r="D527" s="85" t="s">
        <v>1387</v>
      </c>
      <c r="E527" s="267" t="s">
        <v>1668</v>
      </c>
      <c r="F527" s="267"/>
      <c r="G527" s="87">
        <v>2.13</v>
      </c>
      <c r="H527" s="39"/>
      <c r="I527" s="6"/>
    </row>
    <row r="528" spans="1:9" ht="12.2" customHeight="1" x14ac:dyDescent="0.2">
      <c r="A528" s="5"/>
      <c r="B528" s="16"/>
      <c r="C528" s="16"/>
      <c r="D528" s="85" t="s">
        <v>1388</v>
      </c>
      <c r="E528" s="267" t="s">
        <v>1640</v>
      </c>
      <c r="F528" s="267"/>
      <c r="G528" s="87">
        <v>3.22</v>
      </c>
      <c r="H528" s="39"/>
      <c r="I528" s="6"/>
    </row>
    <row r="529" spans="1:9" ht="12.2" customHeight="1" x14ac:dyDescent="0.2">
      <c r="A529" s="5"/>
      <c r="B529" s="16"/>
      <c r="C529" s="16"/>
      <c r="D529" s="85" t="s">
        <v>1389</v>
      </c>
      <c r="E529" s="267" t="s">
        <v>1641</v>
      </c>
      <c r="F529" s="267"/>
      <c r="G529" s="87">
        <v>2.25</v>
      </c>
      <c r="H529" s="39"/>
      <c r="I529" s="6"/>
    </row>
    <row r="530" spans="1:9" x14ac:dyDescent="0.2">
      <c r="A530" s="5" t="s">
        <v>129</v>
      </c>
      <c r="B530" s="16" t="s">
        <v>307</v>
      </c>
      <c r="C530" s="16" t="s">
        <v>404</v>
      </c>
      <c r="D530" s="243" t="s">
        <v>761</v>
      </c>
      <c r="E530" s="244"/>
      <c r="F530" s="16" t="s">
        <v>1042</v>
      </c>
      <c r="G530" s="27">
        <v>22.9</v>
      </c>
      <c r="H530" s="91">
        <v>0</v>
      </c>
      <c r="I530" s="6"/>
    </row>
    <row r="531" spans="1:9" ht="12.2" customHeight="1" x14ac:dyDescent="0.2">
      <c r="A531" s="5"/>
      <c r="B531" s="16"/>
      <c r="C531" s="16"/>
      <c r="D531" s="85" t="s">
        <v>1390</v>
      </c>
      <c r="E531" s="267" t="s">
        <v>1660</v>
      </c>
      <c r="F531" s="267"/>
      <c r="G531" s="87">
        <v>18.22</v>
      </c>
      <c r="H531" s="39"/>
      <c r="I531" s="6"/>
    </row>
    <row r="532" spans="1:9" ht="12.2" customHeight="1" x14ac:dyDescent="0.2">
      <c r="A532" s="5"/>
      <c r="B532" s="16"/>
      <c r="C532" s="16"/>
      <c r="D532" s="85" t="s">
        <v>1391</v>
      </c>
      <c r="E532" s="267" t="s">
        <v>1662</v>
      </c>
      <c r="F532" s="267"/>
      <c r="G532" s="87">
        <v>4.68</v>
      </c>
      <c r="H532" s="39"/>
      <c r="I532" s="6"/>
    </row>
    <row r="533" spans="1:9" x14ac:dyDescent="0.2">
      <c r="A533" s="5" t="s">
        <v>130</v>
      </c>
      <c r="B533" s="16" t="s">
        <v>307</v>
      </c>
      <c r="C533" s="16" t="s">
        <v>405</v>
      </c>
      <c r="D533" s="243" t="s">
        <v>762</v>
      </c>
      <c r="E533" s="244"/>
      <c r="F533" s="16" t="s">
        <v>1042</v>
      </c>
      <c r="G533" s="27">
        <v>22.9</v>
      </c>
      <c r="H533" s="91">
        <v>0</v>
      </c>
      <c r="I533" s="6"/>
    </row>
    <row r="534" spans="1:9" ht="12.2" customHeight="1" x14ac:dyDescent="0.2">
      <c r="A534" s="5"/>
      <c r="B534" s="16"/>
      <c r="C534" s="16"/>
      <c r="D534" s="85" t="s">
        <v>1392</v>
      </c>
      <c r="E534" s="267" t="s">
        <v>1719</v>
      </c>
      <c r="F534" s="267"/>
      <c r="G534" s="87">
        <v>22.9</v>
      </c>
      <c r="H534" s="39"/>
      <c r="I534" s="6"/>
    </row>
    <row r="535" spans="1:9" x14ac:dyDescent="0.2">
      <c r="A535" s="5" t="s">
        <v>131</v>
      </c>
      <c r="B535" s="16" t="s">
        <v>307</v>
      </c>
      <c r="C535" s="16" t="s">
        <v>408</v>
      </c>
      <c r="D535" s="243" t="s">
        <v>766</v>
      </c>
      <c r="E535" s="244"/>
      <c r="F535" s="16" t="s">
        <v>1044</v>
      </c>
      <c r="G535" s="27">
        <v>32</v>
      </c>
      <c r="H535" s="91">
        <v>0</v>
      </c>
      <c r="I535" s="6"/>
    </row>
    <row r="536" spans="1:9" ht="12.2" customHeight="1" x14ac:dyDescent="0.2">
      <c r="A536" s="5"/>
      <c r="B536" s="16"/>
      <c r="C536" s="16"/>
      <c r="D536" s="85" t="s">
        <v>1393</v>
      </c>
      <c r="E536" s="267" t="s">
        <v>1662</v>
      </c>
      <c r="F536" s="267"/>
      <c r="G536" s="87">
        <v>32</v>
      </c>
      <c r="H536" s="39"/>
      <c r="I536" s="6"/>
    </row>
    <row r="537" spans="1:9" x14ac:dyDescent="0.2">
      <c r="A537" s="7" t="s">
        <v>132</v>
      </c>
      <c r="B537" s="17" t="s">
        <v>307</v>
      </c>
      <c r="C537" s="17" t="s">
        <v>409</v>
      </c>
      <c r="D537" s="241" t="s">
        <v>767</v>
      </c>
      <c r="E537" s="242"/>
      <c r="F537" s="17" t="s">
        <v>1044</v>
      </c>
      <c r="G537" s="28">
        <v>32.64</v>
      </c>
      <c r="H537" s="93">
        <v>0</v>
      </c>
      <c r="I537" s="6"/>
    </row>
    <row r="538" spans="1:9" ht="12.2" customHeight="1" x14ac:dyDescent="0.2">
      <c r="A538" s="7"/>
      <c r="B538" s="17"/>
      <c r="C538" s="17"/>
      <c r="D538" s="85" t="s">
        <v>1393</v>
      </c>
      <c r="E538" s="267" t="s">
        <v>1662</v>
      </c>
      <c r="F538" s="267"/>
      <c r="G538" s="88">
        <v>32</v>
      </c>
      <c r="H538" s="40"/>
      <c r="I538" s="6"/>
    </row>
    <row r="539" spans="1:9" ht="12.2" customHeight="1" x14ac:dyDescent="0.2">
      <c r="A539" s="7"/>
      <c r="B539" s="17"/>
      <c r="C539" s="17"/>
      <c r="D539" s="85" t="s">
        <v>1394</v>
      </c>
      <c r="E539" s="267"/>
      <c r="F539" s="267"/>
      <c r="G539" s="88">
        <v>0.64</v>
      </c>
      <c r="H539" s="40"/>
      <c r="I539" s="6"/>
    </row>
    <row r="540" spans="1:9" x14ac:dyDescent="0.2">
      <c r="A540" s="82"/>
      <c r="B540" s="15"/>
      <c r="C540" s="15" t="s">
        <v>69</v>
      </c>
      <c r="D540" s="237" t="s">
        <v>769</v>
      </c>
      <c r="E540" s="238"/>
      <c r="F540" s="15"/>
      <c r="G540" s="51"/>
      <c r="H540" s="38"/>
      <c r="I540" s="6"/>
    </row>
    <row r="541" spans="1:9" x14ac:dyDescent="0.2">
      <c r="A541" s="5" t="s">
        <v>133</v>
      </c>
      <c r="B541" s="16" t="s">
        <v>305</v>
      </c>
      <c r="C541" s="16" t="s">
        <v>411</v>
      </c>
      <c r="D541" s="243" t="s">
        <v>770</v>
      </c>
      <c r="E541" s="244"/>
      <c r="F541" s="16" t="s">
        <v>1044</v>
      </c>
      <c r="G541" s="27">
        <v>22.1</v>
      </c>
      <c r="H541" s="91">
        <v>0</v>
      </c>
      <c r="I541" s="6"/>
    </row>
    <row r="542" spans="1:9" ht="12.2" customHeight="1" x14ac:dyDescent="0.2">
      <c r="A542" s="5"/>
      <c r="B542" s="16"/>
      <c r="C542" s="16"/>
      <c r="D542" s="85" t="s">
        <v>1395</v>
      </c>
      <c r="E542" s="267" t="s">
        <v>1720</v>
      </c>
      <c r="F542" s="267"/>
      <c r="G542" s="87">
        <v>22.1</v>
      </c>
      <c r="H542" s="39"/>
      <c r="I542" s="6"/>
    </row>
    <row r="543" spans="1:9" x14ac:dyDescent="0.2">
      <c r="A543" s="5" t="s">
        <v>134</v>
      </c>
      <c r="B543" s="16" t="s">
        <v>305</v>
      </c>
      <c r="C543" s="16" t="s">
        <v>412</v>
      </c>
      <c r="D543" s="243" t="s">
        <v>771</v>
      </c>
      <c r="E543" s="244"/>
      <c r="F543" s="16" t="s">
        <v>1041</v>
      </c>
      <c r="G543" s="27">
        <v>6.09</v>
      </c>
      <c r="H543" s="91">
        <v>0</v>
      </c>
      <c r="I543" s="6"/>
    </row>
    <row r="544" spans="1:9" ht="12.2" customHeight="1" x14ac:dyDescent="0.2">
      <c r="A544" s="5"/>
      <c r="B544" s="16"/>
      <c r="C544" s="16"/>
      <c r="D544" s="85" t="s">
        <v>1396</v>
      </c>
      <c r="E544" s="267" t="s">
        <v>1721</v>
      </c>
      <c r="F544" s="267"/>
      <c r="G544" s="87">
        <v>3.12</v>
      </c>
      <c r="H544" s="39"/>
      <c r="I544" s="6"/>
    </row>
    <row r="545" spans="1:9" ht="12.2" customHeight="1" x14ac:dyDescent="0.2">
      <c r="A545" s="5"/>
      <c r="B545" s="16"/>
      <c r="C545" s="16"/>
      <c r="D545" s="85" t="s">
        <v>1397</v>
      </c>
      <c r="E545" s="267" t="s">
        <v>1707</v>
      </c>
      <c r="F545" s="267"/>
      <c r="G545" s="87">
        <v>0.45</v>
      </c>
      <c r="H545" s="39"/>
      <c r="I545" s="6"/>
    </row>
    <row r="546" spans="1:9" ht="12.2" customHeight="1" x14ac:dyDescent="0.2">
      <c r="A546" s="5"/>
      <c r="B546" s="16"/>
      <c r="C546" s="16"/>
      <c r="D546" s="85" t="s">
        <v>1398</v>
      </c>
      <c r="E546" s="267" t="s">
        <v>1722</v>
      </c>
      <c r="F546" s="267"/>
      <c r="G546" s="87">
        <v>0.23</v>
      </c>
      <c r="H546" s="39"/>
      <c r="I546" s="6"/>
    </row>
    <row r="547" spans="1:9" ht="12.2" customHeight="1" x14ac:dyDescent="0.2">
      <c r="A547" s="5"/>
      <c r="B547" s="16"/>
      <c r="C547" s="16"/>
      <c r="D547" s="85" t="s">
        <v>1399</v>
      </c>
      <c r="E547" s="267" t="s">
        <v>1709</v>
      </c>
      <c r="F547" s="267"/>
      <c r="G547" s="87">
        <v>0.09</v>
      </c>
      <c r="H547" s="39"/>
      <c r="I547" s="6"/>
    </row>
    <row r="548" spans="1:9" ht="12.2" customHeight="1" x14ac:dyDescent="0.2">
      <c r="A548" s="5"/>
      <c r="B548" s="16"/>
      <c r="C548" s="16"/>
      <c r="D548" s="85" t="s">
        <v>1400</v>
      </c>
      <c r="E548" s="267" t="s">
        <v>1723</v>
      </c>
      <c r="F548" s="267"/>
      <c r="G548" s="87">
        <v>0.16</v>
      </c>
      <c r="H548" s="39"/>
      <c r="I548" s="6"/>
    </row>
    <row r="549" spans="1:9" ht="12.2" customHeight="1" x14ac:dyDescent="0.2">
      <c r="A549" s="5"/>
      <c r="B549" s="16"/>
      <c r="C549" s="16"/>
      <c r="D549" s="85" t="s">
        <v>1401</v>
      </c>
      <c r="E549" s="267" t="s">
        <v>1724</v>
      </c>
      <c r="F549" s="267"/>
      <c r="G549" s="87">
        <v>2.04</v>
      </c>
      <c r="H549" s="39"/>
      <c r="I549" s="6"/>
    </row>
    <row r="550" spans="1:9" x14ac:dyDescent="0.2">
      <c r="A550" s="5" t="s">
        <v>135</v>
      </c>
      <c r="B550" s="16" t="s">
        <v>305</v>
      </c>
      <c r="C550" s="16" t="s">
        <v>413</v>
      </c>
      <c r="D550" s="243" t="s">
        <v>773</v>
      </c>
      <c r="E550" s="244"/>
      <c r="F550" s="16" t="s">
        <v>1041</v>
      </c>
      <c r="G550" s="27">
        <v>0.52</v>
      </c>
      <c r="H550" s="91">
        <v>0</v>
      </c>
      <c r="I550" s="6"/>
    </row>
    <row r="551" spans="1:9" ht="12.2" customHeight="1" x14ac:dyDescent="0.2">
      <c r="A551" s="5"/>
      <c r="B551" s="16"/>
      <c r="C551" s="16"/>
      <c r="D551" s="85" t="s">
        <v>1402</v>
      </c>
      <c r="E551" s="267" t="s">
        <v>1605</v>
      </c>
      <c r="F551" s="267"/>
      <c r="G551" s="87">
        <v>0.52</v>
      </c>
      <c r="H551" s="39"/>
      <c r="I551" s="6"/>
    </row>
    <row r="552" spans="1:9" ht="12.95" customHeight="1" x14ac:dyDescent="0.2">
      <c r="A552" s="6"/>
      <c r="C552" s="84" t="s">
        <v>302</v>
      </c>
      <c r="D552" s="248" t="s">
        <v>775</v>
      </c>
      <c r="E552" s="249"/>
      <c r="F552" s="249"/>
      <c r="G552" s="249"/>
      <c r="H552" s="92"/>
      <c r="I552" s="6"/>
    </row>
    <row r="553" spans="1:9" x14ac:dyDescent="0.2">
      <c r="A553" s="5" t="s">
        <v>136</v>
      </c>
      <c r="B553" s="16" t="s">
        <v>305</v>
      </c>
      <c r="C553" s="16" t="s">
        <v>414</v>
      </c>
      <c r="D553" s="243" t="s">
        <v>776</v>
      </c>
      <c r="E553" s="244"/>
      <c r="F553" s="16" t="s">
        <v>1042</v>
      </c>
      <c r="G553" s="27">
        <v>177.23</v>
      </c>
      <c r="H553" s="91">
        <v>0</v>
      </c>
      <c r="I553" s="6"/>
    </row>
    <row r="554" spans="1:9" ht="12.2" customHeight="1" x14ac:dyDescent="0.2">
      <c r="A554" s="5"/>
      <c r="B554" s="16"/>
      <c r="C554" s="16"/>
      <c r="D554" s="85" t="s">
        <v>1403</v>
      </c>
      <c r="E554" s="267" t="s">
        <v>1725</v>
      </c>
      <c r="F554" s="267"/>
      <c r="G554" s="87">
        <v>81.27</v>
      </c>
      <c r="H554" s="39"/>
      <c r="I554" s="6"/>
    </row>
    <row r="555" spans="1:9" ht="12.2" customHeight="1" x14ac:dyDescent="0.2">
      <c r="A555" s="5"/>
      <c r="B555" s="16"/>
      <c r="C555" s="16"/>
      <c r="D555" s="85" t="s">
        <v>1404</v>
      </c>
      <c r="E555" s="267" t="s">
        <v>1726</v>
      </c>
      <c r="F555" s="267"/>
      <c r="G555" s="87">
        <v>13.85</v>
      </c>
      <c r="H555" s="39"/>
      <c r="I555" s="6"/>
    </row>
    <row r="556" spans="1:9" ht="12.2" customHeight="1" x14ac:dyDescent="0.2">
      <c r="A556" s="5"/>
      <c r="B556" s="16"/>
      <c r="C556" s="16"/>
      <c r="D556" s="85" t="s">
        <v>1405</v>
      </c>
      <c r="E556" s="267" t="s">
        <v>1727</v>
      </c>
      <c r="F556" s="267"/>
      <c r="G556" s="87">
        <v>12.08</v>
      </c>
      <c r="H556" s="39"/>
      <c r="I556" s="6"/>
    </row>
    <row r="557" spans="1:9" ht="12.2" customHeight="1" x14ac:dyDescent="0.2">
      <c r="A557" s="5"/>
      <c r="B557" s="16"/>
      <c r="C557" s="16"/>
      <c r="D557" s="85" t="s">
        <v>1406</v>
      </c>
      <c r="E557" s="267" t="s">
        <v>1728</v>
      </c>
      <c r="F557" s="267"/>
      <c r="G557" s="87">
        <v>6.11</v>
      </c>
      <c r="H557" s="39"/>
      <c r="I557" s="6"/>
    </row>
    <row r="558" spans="1:9" ht="12.2" customHeight="1" x14ac:dyDescent="0.2">
      <c r="A558" s="5"/>
      <c r="B558" s="16"/>
      <c r="C558" s="16"/>
      <c r="D558" s="85" t="s">
        <v>1310</v>
      </c>
      <c r="E558" s="267" t="s">
        <v>1694</v>
      </c>
      <c r="F558" s="267"/>
      <c r="G558" s="87">
        <v>7</v>
      </c>
      <c r="H558" s="39"/>
      <c r="I558" s="6"/>
    </row>
    <row r="559" spans="1:9" ht="12.2" customHeight="1" x14ac:dyDescent="0.2">
      <c r="A559" s="5"/>
      <c r="B559" s="16"/>
      <c r="C559" s="16"/>
      <c r="D559" s="85" t="s">
        <v>1311</v>
      </c>
      <c r="E559" s="267" t="s">
        <v>1695</v>
      </c>
      <c r="F559" s="267"/>
      <c r="G559" s="87">
        <v>1.49</v>
      </c>
      <c r="H559" s="39"/>
      <c r="I559" s="6"/>
    </row>
    <row r="560" spans="1:9" ht="12.2" customHeight="1" x14ac:dyDescent="0.2">
      <c r="A560" s="5"/>
      <c r="B560" s="16"/>
      <c r="C560" s="16"/>
      <c r="D560" s="85" t="s">
        <v>1306</v>
      </c>
      <c r="E560" s="267" t="s">
        <v>1690</v>
      </c>
      <c r="F560" s="267"/>
      <c r="G560" s="87">
        <v>14.03</v>
      </c>
      <c r="H560" s="39"/>
      <c r="I560" s="6"/>
    </row>
    <row r="561" spans="1:9" ht="12.2" customHeight="1" x14ac:dyDescent="0.2">
      <c r="A561" s="5"/>
      <c r="B561" s="16"/>
      <c r="C561" s="16"/>
      <c r="D561" s="85" t="s">
        <v>1307</v>
      </c>
      <c r="E561" s="267" t="s">
        <v>1691</v>
      </c>
      <c r="F561" s="267"/>
      <c r="G561" s="87">
        <v>17.350000000000001</v>
      </c>
      <c r="H561" s="39"/>
      <c r="I561" s="6"/>
    </row>
    <row r="562" spans="1:9" ht="12.2" customHeight="1" x14ac:dyDescent="0.2">
      <c r="A562" s="5"/>
      <c r="B562" s="16"/>
      <c r="C562" s="16"/>
      <c r="D562" s="85" t="s">
        <v>1308</v>
      </c>
      <c r="E562" s="267" t="s">
        <v>1692</v>
      </c>
      <c r="F562" s="267"/>
      <c r="G562" s="87">
        <v>9.36</v>
      </c>
      <c r="H562" s="39"/>
      <c r="I562" s="6"/>
    </row>
    <row r="563" spans="1:9" ht="12.2" customHeight="1" x14ac:dyDescent="0.2">
      <c r="A563" s="5"/>
      <c r="B563" s="16"/>
      <c r="C563" s="16"/>
      <c r="D563" s="85" t="s">
        <v>1312</v>
      </c>
      <c r="E563" s="267" t="s">
        <v>1696</v>
      </c>
      <c r="F563" s="267"/>
      <c r="G563" s="87">
        <v>8.34</v>
      </c>
      <c r="H563" s="39"/>
      <c r="I563" s="6"/>
    </row>
    <row r="564" spans="1:9" ht="12.2" customHeight="1" x14ac:dyDescent="0.2">
      <c r="A564" s="5"/>
      <c r="B564" s="16"/>
      <c r="C564" s="16"/>
      <c r="D564" s="85" t="s">
        <v>1309</v>
      </c>
      <c r="E564" s="267" t="s">
        <v>1693</v>
      </c>
      <c r="F564" s="267"/>
      <c r="G564" s="87">
        <v>6.35</v>
      </c>
      <c r="H564" s="39"/>
      <c r="I564" s="6"/>
    </row>
    <row r="565" spans="1:9" x14ac:dyDescent="0.2">
      <c r="A565" s="82"/>
      <c r="B565" s="15"/>
      <c r="C565" s="15" t="s">
        <v>415</v>
      </c>
      <c r="D565" s="237" t="s">
        <v>777</v>
      </c>
      <c r="E565" s="238"/>
      <c r="F565" s="15"/>
      <c r="G565" s="51"/>
      <c r="H565" s="38"/>
      <c r="I565" s="6"/>
    </row>
    <row r="566" spans="1:9" x14ac:dyDescent="0.2">
      <c r="A566" s="5" t="s">
        <v>137</v>
      </c>
      <c r="B566" s="16" t="s">
        <v>305</v>
      </c>
      <c r="C566" s="16" t="s">
        <v>416</v>
      </c>
      <c r="D566" s="243" t="s">
        <v>778</v>
      </c>
      <c r="E566" s="244"/>
      <c r="F566" s="16" t="s">
        <v>1042</v>
      </c>
      <c r="G566" s="27">
        <v>143.77000000000001</v>
      </c>
      <c r="H566" s="91">
        <v>0</v>
      </c>
      <c r="I566" s="6"/>
    </row>
    <row r="567" spans="1:9" ht="12.2" customHeight="1" x14ac:dyDescent="0.2">
      <c r="A567" s="5"/>
      <c r="B567" s="16"/>
      <c r="C567" s="16"/>
      <c r="D567" s="85" t="s">
        <v>1407</v>
      </c>
      <c r="E567" s="267" t="s">
        <v>1729</v>
      </c>
      <c r="F567" s="267"/>
      <c r="G567" s="87">
        <v>143.77000000000001</v>
      </c>
      <c r="H567" s="39"/>
      <c r="I567" s="6"/>
    </row>
    <row r="568" spans="1:9" x14ac:dyDescent="0.2">
      <c r="A568" s="5" t="s">
        <v>138</v>
      </c>
      <c r="B568" s="16" t="s">
        <v>305</v>
      </c>
      <c r="C568" s="16" t="s">
        <v>417</v>
      </c>
      <c r="D568" s="243" t="s">
        <v>780</v>
      </c>
      <c r="E568" s="244"/>
      <c r="F568" s="16" t="s">
        <v>1042</v>
      </c>
      <c r="G568" s="27">
        <v>201.62</v>
      </c>
      <c r="H568" s="91">
        <v>0</v>
      </c>
      <c r="I568" s="6"/>
    </row>
    <row r="569" spans="1:9" ht="12.2" customHeight="1" x14ac:dyDescent="0.2">
      <c r="A569" s="5"/>
      <c r="B569" s="16"/>
      <c r="C569" s="16"/>
      <c r="D569" s="85" t="s">
        <v>1408</v>
      </c>
      <c r="E569" s="267" t="s">
        <v>1615</v>
      </c>
      <c r="F569" s="267"/>
      <c r="G569" s="87">
        <v>18.63</v>
      </c>
      <c r="H569" s="39"/>
      <c r="I569" s="6"/>
    </row>
    <row r="570" spans="1:9" ht="12.2" customHeight="1" x14ac:dyDescent="0.2">
      <c r="A570" s="5"/>
      <c r="B570" s="16"/>
      <c r="C570" s="16"/>
      <c r="D570" s="85" t="s">
        <v>1409</v>
      </c>
      <c r="E570" s="267" t="s">
        <v>1730</v>
      </c>
      <c r="F570" s="267"/>
      <c r="G570" s="87">
        <v>122.76</v>
      </c>
      <c r="H570" s="39"/>
      <c r="I570" s="6"/>
    </row>
    <row r="571" spans="1:9" ht="12.2" customHeight="1" x14ac:dyDescent="0.2">
      <c r="A571" s="5"/>
      <c r="B571" s="16"/>
      <c r="C571" s="16"/>
      <c r="D571" s="85" t="s">
        <v>1410</v>
      </c>
      <c r="E571" s="267" t="s">
        <v>1731</v>
      </c>
      <c r="F571" s="267"/>
      <c r="G571" s="87">
        <v>45.33</v>
      </c>
      <c r="H571" s="39"/>
      <c r="I571" s="6"/>
    </row>
    <row r="572" spans="1:9" ht="12.2" customHeight="1" x14ac:dyDescent="0.2">
      <c r="A572" s="5"/>
      <c r="B572" s="16"/>
      <c r="C572" s="16"/>
      <c r="D572" s="85" t="s">
        <v>1411</v>
      </c>
      <c r="E572" s="267" t="s">
        <v>1732</v>
      </c>
      <c r="F572" s="267"/>
      <c r="G572" s="87">
        <v>14.9</v>
      </c>
      <c r="H572" s="39"/>
      <c r="I572" s="6"/>
    </row>
    <row r="573" spans="1:9" x14ac:dyDescent="0.2">
      <c r="A573" s="5" t="s">
        <v>139</v>
      </c>
      <c r="B573" s="16" t="s">
        <v>305</v>
      </c>
      <c r="C573" s="16" t="s">
        <v>418</v>
      </c>
      <c r="D573" s="243" t="s">
        <v>782</v>
      </c>
      <c r="E573" s="244"/>
      <c r="F573" s="16" t="s">
        <v>1042</v>
      </c>
      <c r="G573" s="27">
        <v>143.77000000000001</v>
      </c>
      <c r="H573" s="91">
        <v>0</v>
      </c>
      <c r="I573" s="6"/>
    </row>
    <row r="574" spans="1:9" ht="12.2" customHeight="1" x14ac:dyDescent="0.2">
      <c r="A574" s="5"/>
      <c r="B574" s="16"/>
      <c r="C574" s="16"/>
      <c r="D574" s="85" t="s">
        <v>1407</v>
      </c>
      <c r="E574" s="267" t="s">
        <v>1733</v>
      </c>
      <c r="F574" s="267"/>
      <c r="G574" s="87">
        <v>143.77000000000001</v>
      </c>
      <c r="H574" s="39"/>
      <c r="I574" s="6"/>
    </row>
    <row r="575" spans="1:9" x14ac:dyDescent="0.2">
      <c r="A575" s="5" t="s">
        <v>140</v>
      </c>
      <c r="B575" s="16" t="s">
        <v>305</v>
      </c>
      <c r="C575" s="16" t="s">
        <v>419</v>
      </c>
      <c r="D575" s="243" t="s">
        <v>784</v>
      </c>
      <c r="E575" s="244"/>
      <c r="F575" s="16" t="s">
        <v>1042</v>
      </c>
      <c r="G575" s="27">
        <v>384.6</v>
      </c>
      <c r="H575" s="91">
        <v>0</v>
      </c>
      <c r="I575" s="6"/>
    </row>
    <row r="576" spans="1:9" ht="12.2" customHeight="1" x14ac:dyDescent="0.2">
      <c r="A576" s="5"/>
      <c r="B576" s="16"/>
      <c r="C576" s="16"/>
      <c r="D576" s="85" t="s">
        <v>1408</v>
      </c>
      <c r="E576" s="267" t="s">
        <v>1615</v>
      </c>
      <c r="F576" s="267"/>
      <c r="G576" s="87">
        <v>18.63</v>
      </c>
      <c r="H576" s="39"/>
      <c r="I576" s="6"/>
    </row>
    <row r="577" spans="1:9" ht="12.2" customHeight="1" x14ac:dyDescent="0.2">
      <c r="A577" s="5"/>
      <c r="B577" s="16"/>
      <c r="C577" s="16"/>
      <c r="D577" s="85" t="s">
        <v>1412</v>
      </c>
      <c r="E577" s="267" t="s">
        <v>1730</v>
      </c>
      <c r="F577" s="267"/>
      <c r="G577" s="87">
        <v>245.52</v>
      </c>
      <c r="H577" s="39"/>
      <c r="I577" s="6"/>
    </row>
    <row r="578" spans="1:9" ht="12.2" customHeight="1" x14ac:dyDescent="0.2">
      <c r="A578" s="5"/>
      <c r="B578" s="16"/>
      <c r="C578" s="16"/>
      <c r="D578" s="85" t="s">
        <v>1413</v>
      </c>
      <c r="E578" s="267" t="s">
        <v>1731</v>
      </c>
      <c r="F578" s="267"/>
      <c r="G578" s="87">
        <v>90.65</v>
      </c>
      <c r="H578" s="39"/>
      <c r="I578" s="6"/>
    </row>
    <row r="579" spans="1:9" ht="12.2" customHeight="1" x14ac:dyDescent="0.2">
      <c r="A579" s="5"/>
      <c r="B579" s="16"/>
      <c r="C579" s="16"/>
      <c r="D579" s="85" t="s">
        <v>1210</v>
      </c>
      <c r="E579" s="267" t="s">
        <v>1732</v>
      </c>
      <c r="F579" s="267"/>
      <c r="G579" s="87">
        <v>29.8</v>
      </c>
      <c r="H579" s="39"/>
      <c r="I579" s="6"/>
    </row>
    <row r="580" spans="1:9" x14ac:dyDescent="0.2">
      <c r="A580" s="5" t="s">
        <v>141</v>
      </c>
      <c r="B580" s="16" t="s">
        <v>305</v>
      </c>
      <c r="C580" s="16" t="s">
        <v>420</v>
      </c>
      <c r="D580" s="243" t="s">
        <v>785</v>
      </c>
      <c r="E580" s="244"/>
      <c r="F580" s="16" t="s">
        <v>1042</v>
      </c>
      <c r="G580" s="27">
        <v>177.36</v>
      </c>
      <c r="H580" s="91">
        <v>0</v>
      </c>
      <c r="I580" s="6"/>
    </row>
    <row r="581" spans="1:9" ht="12.2" customHeight="1" x14ac:dyDescent="0.2">
      <c r="A581" s="5"/>
      <c r="B581" s="16"/>
      <c r="C581" s="16"/>
      <c r="D581" s="85" t="s">
        <v>1409</v>
      </c>
      <c r="E581" s="267" t="s">
        <v>1730</v>
      </c>
      <c r="F581" s="267"/>
      <c r="G581" s="87">
        <v>122.76</v>
      </c>
      <c r="H581" s="39"/>
      <c r="I581" s="6"/>
    </row>
    <row r="582" spans="1:9" ht="12.2" customHeight="1" x14ac:dyDescent="0.2">
      <c r="A582" s="5"/>
      <c r="B582" s="16"/>
      <c r="C582" s="16"/>
      <c r="D582" s="85" t="s">
        <v>1216</v>
      </c>
      <c r="E582" s="267" t="s">
        <v>1624</v>
      </c>
      <c r="F582" s="267"/>
      <c r="G582" s="87">
        <v>-2.4</v>
      </c>
      <c r="H582" s="39"/>
      <c r="I582" s="6"/>
    </row>
    <row r="583" spans="1:9" ht="12.2" customHeight="1" x14ac:dyDescent="0.2">
      <c r="A583" s="5"/>
      <c r="B583" s="16"/>
      <c r="C583" s="16"/>
      <c r="D583" s="85" t="s">
        <v>1410</v>
      </c>
      <c r="E583" s="267" t="s">
        <v>1731</v>
      </c>
      <c r="F583" s="267"/>
      <c r="G583" s="87">
        <v>45.33</v>
      </c>
      <c r="H583" s="39"/>
      <c r="I583" s="6"/>
    </row>
    <row r="584" spans="1:9" ht="12.2" customHeight="1" x14ac:dyDescent="0.2">
      <c r="A584" s="5"/>
      <c r="B584" s="16"/>
      <c r="C584" s="16"/>
      <c r="D584" s="85" t="s">
        <v>1414</v>
      </c>
      <c r="E584" s="267" t="s">
        <v>1627</v>
      </c>
      <c r="F584" s="267"/>
      <c r="G584" s="87">
        <v>-3.23</v>
      </c>
      <c r="H584" s="39"/>
      <c r="I584" s="6"/>
    </row>
    <row r="585" spans="1:9" ht="12.2" customHeight="1" x14ac:dyDescent="0.2">
      <c r="A585" s="5"/>
      <c r="B585" s="16"/>
      <c r="C585" s="16"/>
      <c r="D585" s="85" t="s">
        <v>1411</v>
      </c>
      <c r="E585" s="267" t="s">
        <v>1732</v>
      </c>
      <c r="F585" s="267"/>
      <c r="G585" s="87">
        <v>14.9</v>
      </c>
      <c r="H585" s="39"/>
      <c r="I585" s="6"/>
    </row>
    <row r="586" spans="1:9" x14ac:dyDescent="0.2">
      <c r="A586" s="5" t="s">
        <v>142</v>
      </c>
      <c r="B586" s="16" t="s">
        <v>305</v>
      </c>
      <c r="C586" s="16" t="s">
        <v>421</v>
      </c>
      <c r="D586" s="243" t="s">
        <v>787</v>
      </c>
      <c r="E586" s="244"/>
      <c r="F586" s="16" t="s">
        <v>1042</v>
      </c>
      <c r="G586" s="27">
        <v>177.36</v>
      </c>
      <c r="H586" s="91">
        <v>0</v>
      </c>
      <c r="I586" s="6"/>
    </row>
    <row r="587" spans="1:9" ht="12.2" customHeight="1" x14ac:dyDescent="0.2">
      <c r="A587" s="5"/>
      <c r="B587" s="16"/>
      <c r="C587" s="16"/>
      <c r="D587" s="85" t="s">
        <v>1409</v>
      </c>
      <c r="E587" s="267" t="s">
        <v>1730</v>
      </c>
      <c r="F587" s="267"/>
      <c r="G587" s="87">
        <v>122.76</v>
      </c>
      <c r="H587" s="39"/>
      <c r="I587" s="6"/>
    </row>
    <row r="588" spans="1:9" ht="12.2" customHeight="1" x14ac:dyDescent="0.2">
      <c r="A588" s="5"/>
      <c r="B588" s="16"/>
      <c r="C588" s="16"/>
      <c r="D588" s="85" t="s">
        <v>1216</v>
      </c>
      <c r="E588" s="267" t="s">
        <v>1624</v>
      </c>
      <c r="F588" s="267"/>
      <c r="G588" s="87">
        <v>-2.4</v>
      </c>
      <c r="H588" s="39"/>
      <c r="I588" s="6"/>
    </row>
    <row r="589" spans="1:9" ht="12.2" customHeight="1" x14ac:dyDescent="0.2">
      <c r="A589" s="5"/>
      <c r="B589" s="16"/>
      <c r="C589" s="16"/>
      <c r="D589" s="85" t="s">
        <v>1410</v>
      </c>
      <c r="E589" s="267" t="s">
        <v>1731</v>
      </c>
      <c r="F589" s="267"/>
      <c r="G589" s="87">
        <v>45.33</v>
      </c>
      <c r="H589" s="39"/>
      <c r="I589" s="6"/>
    </row>
    <row r="590" spans="1:9" ht="12.2" customHeight="1" x14ac:dyDescent="0.2">
      <c r="A590" s="5"/>
      <c r="B590" s="16"/>
      <c r="C590" s="16"/>
      <c r="D590" s="85" t="s">
        <v>1414</v>
      </c>
      <c r="E590" s="267" t="s">
        <v>1627</v>
      </c>
      <c r="F590" s="267"/>
      <c r="G590" s="87">
        <v>-3.23</v>
      </c>
      <c r="H590" s="39"/>
      <c r="I590" s="6"/>
    </row>
    <row r="591" spans="1:9" ht="12.2" customHeight="1" x14ac:dyDescent="0.2">
      <c r="A591" s="5"/>
      <c r="B591" s="16"/>
      <c r="C591" s="16"/>
      <c r="D591" s="85" t="s">
        <v>1411</v>
      </c>
      <c r="E591" s="267" t="s">
        <v>1732</v>
      </c>
      <c r="F591" s="267"/>
      <c r="G591" s="87">
        <v>14.9</v>
      </c>
      <c r="H591" s="39"/>
      <c r="I591" s="6"/>
    </row>
    <row r="592" spans="1:9" x14ac:dyDescent="0.2">
      <c r="A592" s="5" t="s">
        <v>143</v>
      </c>
      <c r="B592" s="16" t="s">
        <v>305</v>
      </c>
      <c r="C592" s="16" t="s">
        <v>422</v>
      </c>
      <c r="D592" s="243" t="s">
        <v>789</v>
      </c>
      <c r="E592" s="244"/>
      <c r="F592" s="16" t="s">
        <v>1042</v>
      </c>
      <c r="G592" s="27">
        <v>69.989999999999995</v>
      </c>
      <c r="H592" s="91">
        <v>0</v>
      </c>
      <c r="I592" s="6"/>
    </row>
    <row r="593" spans="1:9" ht="12.2" customHeight="1" x14ac:dyDescent="0.2">
      <c r="A593" s="5"/>
      <c r="B593" s="16"/>
      <c r="C593" s="16"/>
      <c r="D593" s="85" t="s">
        <v>1415</v>
      </c>
      <c r="E593" s="267" t="s">
        <v>1734</v>
      </c>
      <c r="F593" s="267"/>
      <c r="G593" s="87">
        <v>52.76</v>
      </c>
      <c r="H593" s="39"/>
      <c r="I593" s="6"/>
    </row>
    <row r="594" spans="1:9" ht="12.2" customHeight="1" x14ac:dyDescent="0.2">
      <c r="A594" s="5"/>
      <c r="B594" s="16"/>
      <c r="C594" s="16"/>
      <c r="D594" s="85" t="s">
        <v>1416</v>
      </c>
      <c r="E594" s="267" t="s">
        <v>1734</v>
      </c>
      <c r="F594" s="267"/>
      <c r="G594" s="87">
        <v>17.23</v>
      </c>
      <c r="H594" s="39"/>
      <c r="I594" s="6"/>
    </row>
    <row r="595" spans="1:9" x14ac:dyDescent="0.2">
      <c r="A595" s="7" t="s">
        <v>144</v>
      </c>
      <c r="B595" s="17" t="s">
        <v>305</v>
      </c>
      <c r="C595" s="17" t="s">
        <v>423</v>
      </c>
      <c r="D595" s="241" t="s">
        <v>791</v>
      </c>
      <c r="E595" s="242"/>
      <c r="F595" s="17" t="s">
        <v>1042</v>
      </c>
      <c r="G595" s="28">
        <v>72.44</v>
      </c>
      <c r="H595" s="93">
        <v>0</v>
      </c>
      <c r="I595" s="6"/>
    </row>
    <row r="596" spans="1:9" ht="12.2" customHeight="1" x14ac:dyDescent="0.2">
      <c r="A596" s="7"/>
      <c r="B596" s="17"/>
      <c r="C596" s="17"/>
      <c r="D596" s="85" t="s">
        <v>1415</v>
      </c>
      <c r="E596" s="267" t="s">
        <v>1734</v>
      </c>
      <c r="F596" s="267"/>
      <c r="G596" s="88">
        <v>52.76</v>
      </c>
      <c r="H596" s="40"/>
      <c r="I596" s="6"/>
    </row>
    <row r="597" spans="1:9" ht="12.2" customHeight="1" x14ac:dyDescent="0.2">
      <c r="A597" s="7"/>
      <c r="B597" s="17"/>
      <c r="C597" s="17"/>
      <c r="D597" s="85" t="s">
        <v>1416</v>
      </c>
      <c r="E597" s="267" t="s">
        <v>1734</v>
      </c>
      <c r="F597" s="267"/>
      <c r="G597" s="88">
        <v>17.23</v>
      </c>
      <c r="H597" s="40"/>
      <c r="I597" s="6"/>
    </row>
    <row r="598" spans="1:9" ht="12.2" customHeight="1" x14ac:dyDescent="0.2">
      <c r="A598" s="7"/>
      <c r="B598" s="17"/>
      <c r="C598" s="17"/>
      <c r="D598" s="85" t="s">
        <v>1417</v>
      </c>
      <c r="E598" s="267"/>
      <c r="F598" s="267"/>
      <c r="G598" s="88">
        <v>2.4500000000000002</v>
      </c>
      <c r="H598" s="40"/>
      <c r="I598" s="6"/>
    </row>
    <row r="599" spans="1:9" x14ac:dyDescent="0.2">
      <c r="A599" s="5" t="s">
        <v>145</v>
      </c>
      <c r="B599" s="16" t="s">
        <v>305</v>
      </c>
      <c r="C599" s="16" t="s">
        <v>424</v>
      </c>
      <c r="D599" s="243" t="s">
        <v>792</v>
      </c>
      <c r="E599" s="244"/>
      <c r="F599" s="16" t="s">
        <v>1042</v>
      </c>
      <c r="G599" s="27">
        <v>105.38</v>
      </c>
      <c r="H599" s="91">
        <v>0</v>
      </c>
      <c r="I599" s="6"/>
    </row>
    <row r="600" spans="1:9" ht="12.2" customHeight="1" x14ac:dyDescent="0.2">
      <c r="A600" s="5"/>
      <c r="B600" s="16"/>
      <c r="C600" s="16"/>
      <c r="D600" s="85" t="s">
        <v>1418</v>
      </c>
      <c r="E600" s="267" t="s">
        <v>1722</v>
      </c>
      <c r="F600" s="267"/>
      <c r="G600" s="87">
        <v>23.24</v>
      </c>
      <c r="H600" s="39"/>
      <c r="I600" s="6"/>
    </row>
    <row r="601" spans="1:9" ht="12.2" customHeight="1" x14ac:dyDescent="0.2">
      <c r="A601" s="5"/>
      <c r="B601" s="16"/>
      <c r="C601" s="16"/>
      <c r="D601" s="85" t="s">
        <v>1419</v>
      </c>
      <c r="E601" s="267" t="s">
        <v>1709</v>
      </c>
      <c r="F601" s="267"/>
      <c r="G601" s="87">
        <v>13.29</v>
      </c>
      <c r="H601" s="39"/>
      <c r="I601" s="6"/>
    </row>
    <row r="602" spans="1:9" ht="12.2" customHeight="1" x14ac:dyDescent="0.2">
      <c r="A602" s="5"/>
      <c r="B602" s="16"/>
      <c r="C602" s="16"/>
      <c r="D602" s="85" t="s">
        <v>1420</v>
      </c>
      <c r="E602" s="267" t="s">
        <v>1694</v>
      </c>
      <c r="F602" s="267"/>
      <c r="G602" s="87">
        <v>33.25</v>
      </c>
      <c r="H602" s="39"/>
      <c r="I602" s="6"/>
    </row>
    <row r="603" spans="1:9" ht="12.2" customHeight="1" x14ac:dyDescent="0.2">
      <c r="A603" s="5"/>
      <c r="B603" s="16"/>
      <c r="C603" s="16"/>
      <c r="D603" s="85" t="s">
        <v>1421</v>
      </c>
      <c r="E603" s="267" t="s">
        <v>1735</v>
      </c>
      <c r="F603" s="267"/>
      <c r="G603" s="87">
        <v>-3.04</v>
      </c>
      <c r="H603" s="39"/>
      <c r="I603" s="6"/>
    </row>
    <row r="604" spans="1:9" ht="12.2" customHeight="1" x14ac:dyDescent="0.2">
      <c r="A604" s="5"/>
      <c r="B604" s="16"/>
      <c r="C604" s="16"/>
      <c r="D604" s="85" t="s">
        <v>1422</v>
      </c>
      <c r="E604" s="267" t="s">
        <v>1695</v>
      </c>
      <c r="F604" s="267"/>
      <c r="G604" s="87">
        <v>12.14</v>
      </c>
      <c r="H604" s="39"/>
      <c r="I604" s="6"/>
    </row>
    <row r="605" spans="1:9" ht="12.2" customHeight="1" x14ac:dyDescent="0.2">
      <c r="A605" s="5"/>
      <c r="B605" s="16"/>
      <c r="C605" s="16"/>
      <c r="D605" s="85" t="s">
        <v>1213</v>
      </c>
      <c r="E605" s="267" t="s">
        <v>1736</v>
      </c>
      <c r="F605" s="267"/>
      <c r="G605" s="87">
        <v>-1.68</v>
      </c>
      <c r="H605" s="39"/>
      <c r="I605" s="6"/>
    </row>
    <row r="606" spans="1:9" ht="12.2" customHeight="1" x14ac:dyDescent="0.2">
      <c r="A606" s="5"/>
      <c r="B606" s="16"/>
      <c r="C606" s="16"/>
      <c r="D606" s="85" t="s">
        <v>1423</v>
      </c>
      <c r="E606" s="267" t="s">
        <v>1696</v>
      </c>
      <c r="F606" s="267"/>
      <c r="G606" s="87">
        <v>32.32</v>
      </c>
      <c r="H606" s="39"/>
      <c r="I606" s="6"/>
    </row>
    <row r="607" spans="1:9" ht="12.2" customHeight="1" x14ac:dyDescent="0.2">
      <c r="A607" s="5"/>
      <c r="B607" s="16"/>
      <c r="C607" s="16"/>
      <c r="D607" s="85" t="s">
        <v>1424</v>
      </c>
      <c r="E607" s="267" t="s">
        <v>1735</v>
      </c>
      <c r="F607" s="267"/>
      <c r="G607" s="87">
        <v>-4.1399999999999997</v>
      </c>
      <c r="H607" s="39"/>
      <c r="I607" s="6"/>
    </row>
    <row r="608" spans="1:9" x14ac:dyDescent="0.2">
      <c r="A608" s="5" t="s">
        <v>146</v>
      </c>
      <c r="B608" s="16" t="s">
        <v>305</v>
      </c>
      <c r="C608" s="16" t="s">
        <v>425</v>
      </c>
      <c r="D608" s="243" t="s">
        <v>794</v>
      </c>
      <c r="E608" s="244"/>
      <c r="F608" s="16" t="s">
        <v>1043</v>
      </c>
      <c r="G608" s="27">
        <v>4</v>
      </c>
      <c r="H608" s="91">
        <v>0</v>
      </c>
      <c r="I608" s="6"/>
    </row>
    <row r="609" spans="1:9" x14ac:dyDescent="0.2">
      <c r="A609" s="82"/>
      <c r="B609" s="15"/>
      <c r="C609" s="15" t="s">
        <v>426</v>
      </c>
      <c r="D609" s="237" t="s">
        <v>795</v>
      </c>
      <c r="E609" s="238"/>
      <c r="F609" s="15"/>
      <c r="G609" s="51"/>
      <c r="H609" s="38"/>
      <c r="I609" s="6"/>
    </row>
    <row r="610" spans="1:9" x14ac:dyDescent="0.2">
      <c r="A610" s="5" t="s">
        <v>147</v>
      </c>
      <c r="B610" s="16" t="s">
        <v>305</v>
      </c>
      <c r="C610" s="16" t="s">
        <v>427</v>
      </c>
      <c r="D610" s="243" t="s">
        <v>796</v>
      </c>
      <c r="E610" s="244"/>
      <c r="F610" s="16" t="s">
        <v>1042</v>
      </c>
      <c r="G610" s="27">
        <v>117.06</v>
      </c>
      <c r="H610" s="91">
        <v>0</v>
      </c>
      <c r="I610" s="6"/>
    </row>
    <row r="611" spans="1:9" ht="12.2" customHeight="1" x14ac:dyDescent="0.2">
      <c r="A611" s="5"/>
      <c r="B611" s="16"/>
      <c r="C611" s="16"/>
      <c r="D611" s="85" t="s">
        <v>1415</v>
      </c>
      <c r="E611" s="267" t="s">
        <v>1734</v>
      </c>
      <c r="F611" s="267"/>
      <c r="G611" s="87">
        <v>52.76</v>
      </c>
      <c r="H611" s="39"/>
      <c r="I611" s="6"/>
    </row>
    <row r="612" spans="1:9" ht="12.2" customHeight="1" x14ac:dyDescent="0.2">
      <c r="A612" s="5"/>
      <c r="B612" s="16"/>
      <c r="C612" s="16"/>
      <c r="D612" s="85" t="s">
        <v>1425</v>
      </c>
      <c r="E612" s="267" t="s">
        <v>1737</v>
      </c>
      <c r="F612" s="267"/>
      <c r="G612" s="87">
        <v>64.3</v>
      </c>
      <c r="H612" s="39"/>
      <c r="I612" s="6"/>
    </row>
    <row r="613" spans="1:9" x14ac:dyDescent="0.2">
      <c r="A613" s="5" t="s">
        <v>148</v>
      </c>
      <c r="B613" s="16" t="s">
        <v>305</v>
      </c>
      <c r="C613" s="16" t="s">
        <v>428</v>
      </c>
      <c r="D613" s="243" t="s">
        <v>797</v>
      </c>
      <c r="E613" s="244"/>
      <c r="F613" s="16" t="s">
        <v>1042</v>
      </c>
      <c r="G613" s="27">
        <v>64.930000000000007</v>
      </c>
      <c r="H613" s="91">
        <v>0</v>
      </c>
      <c r="I613" s="6"/>
    </row>
    <row r="614" spans="1:9" ht="12.2" customHeight="1" x14ac:dyDescent="0.2">
      <c r="A614" s="5"/>
      <c r="B614" s="16"/>
      <c r="C614" s="16"/>
      <c r="D614" s="85" t="s">
        <v>1416</v>
      </c>
      <c r="E614" s="267" t="s">
        <v>1734</v>
      </c>
      <c r="F614" s="267"/>
      <c r="G614" s="87">
        <v>17.23</v>
      </c>
      <c r="H614" s="39"/>
      <c r="I614" s="6"/>
    </row>
    <row r="615" spans="1:9" ht="12.2" customHeight="1" x14ac:dyDescent="0.2">
      <c r="A615" s="5"/>
      <c r="B615" s="16"/>
      <c r="C615" s="16"/>
      <c r="D615" s="85" t="s">
        <v>1426</v>
      </c>
      <c r="E615" s="267" t="s">
        <v>1737</v>
      </c>
      <c r="F615" s="267"/>
      <c r="G615" s="87">
        <v>47.7</v>
      </c>
      <c r="H615" s="39"/>
      <c r="I615" s="6"/>
    </row>
    <row r="616" spans="1:9" x14ac:dyDescent="0.2">
      <c r="A616" s="5" t="s">
        <v>149</v>
      </c>
      <c r="B616" s="16" t="s">
        <v>305</v>
      </c>
      <c r="C616" s="16" t="s">
        <v>429</v>
      </c>
      <c r="D616" s="243" t="s">
        <v>799</v>
      </c>
      <c r="E616" s="244"/>
      <c r="F616" s="16" t="s">
        <v>1042</v>
      </c>
      <c r="G616" s="27">
        <v>117.06</v>
      </c>
      <c r="H616" s="91">
        <v>0</v>
      </c>
      <c r="I616" s="6"/>
    </row>
    <row r="617" spans="1:9" ht="12.2" customHeight="1" x14ac:dyDescent="0.2">
      <c r="A617" s="5"/>
      <c r="B617" s="16"/>
      <c r="C617" s="16"/>
      <c r="D617" s="85" t="s">
        <v>1415</v>
      </c>
      <c r="E617" s="267" t="s">
        <v>1734</v>
      </c>
      <c r="F617" s="267"/>
      <c r="G617" s="87">
        <v>52.76</v>
      </c>
      <c r="H617" s="39"/>
      <c r="I617" s="6"/>
    </row>
    <row r="618" spans="1:9" ht="12.2" customHeight="1" x14ac:dyDescent="0.2">
      <c r="A618" s="5"/>
      <c r="B618" s="16"/>
      <c r="C618" s="16"/>
      <c r="D618" s="85" t="s">
        <v>1425</v>
      </c>
      <c r="E618" s="267" t="s">
        <v>1737</v>
      </c>
      <c r="F618" s="267"/>
      <c r="G618" s="87">
        <v>64.3</v>
      </c>
      <c r="H618" s="39"/>
      <c r="I618" s="6"/>
    </row>
    <row r="619" spans="1:9" x14ac:dyDescent="0.2">
      <c r="A619" s="5" t="s">
        <v>150</v>
      </c>
      <c r="B619" s="16" t="s">
        <v>305</v>
      </c>
      <c r="C619" s="16" t="s">
        <v>430</v>
      </c>
      <c r="D619" s="243" t="s">
        <v>801</v>
      </c>
      <c r="E619" s="244"/>
      <c r="F619" s="16" t="s">
        <v>1042</v>
      </c>
      <c r="G619" s="27">
        <v>64.930000000000007</v>
      </c>
      <c r="H619" s="91">
        <v>0</v>
      </c>
      <c r="I619" s="6"/>
    </row>
    <row r="620" spans="1:9" ht="12.2" customHeight="1" x14ac:dyDescent="0.2">
      <c r="A620" s="5"/>
      <c r="B620" s="16"/>
      <c r="C620" s="16"/>
      <c r="D620" s="85" t="s">
        <v>1416</v>
      </c>
      <c r="E620" s="267" t="s">
        <v>1734</v>
      </c>
      <c r="F620" s="267"/>
      <c r="G620" s="87">
        <v>17.23</v>
      </c>
      <c r="H620" s="39"/>
      <c r="I620" s="6"/>
    </row>
    <row r="621" spans="1:9" ht="12.2" customHeight="1" x14ac:dyDescent="0.2">
      <c r="A621" s="5"/>
      <c r="B621" s="16"/>
      <c r="C621" s="16"/>
      <c r="D621" s="85" t="s">
        <v>1426</v>
      </c>
      <c r="E621" s="267" t="s">
        <v>1737</v>
      </c>
      <c r="F621" s="267"/>
      <c r="G621" s="87">
        <v>47.7</v>
      </c>
      <c r="H621" s="39"/>
      <c r="I621" s="6"/>
    </row>
    <row r="622" spans="1:9" x14ac:dyDescent="0.2">
      <c r="A622" s="7" t="s">
        <v>151</v>
      </c>
      <c r="B622" s="17" t="s">
        <v>305</v>
      </c>
      <c r="C622" s="17" t="s">
        <v>431</v>
      </c>
      <c r="D622" s="241" t="s">
        <v>803</v>
      </c>
      <c r="E622" s="242"/>
      <c r="F622" s="17" t="s">
        <v>1042</v>
      </c>
      <c r="G622" s="28">
        <v>212.53</v>
      </c>
      <c r="H622" s="93">
        <v>0</v>
      </c>
      <c r="I622" s="6"/>
    </row>
    <row r="623" spans="1:9" ht="12.2" customHeight="1" x14ac:dyDescent="0.2">
      <c r="A623" s="7"/>
      <c r="B623" s="17"/>
      <c r="C623" s="17"/>
      <c r="D623" s="85" t="s">
        <v>1427</v>
      </c>
      <c r="E623" s="267" t="s">
        <v>1734</v>
      </c>
      <c r="F623" s="267"/>
      <c r="G623" s="88">
        <v>60.67</v>
      </c>
      <c r="H623" s="40"/>
      <c r="I623" s="6"/>
    </row>
    <row r="624" spans="1:9" ht="12.2" customHeight="1" x14ac:dyDescent="0.2">
      <c r="A624" s="7"/>
      <c r="B624" s="17"/>
      <c r="C624" s="17"/>
      <c r="D624" s="85" t="s">
        <v>1428</v>
      </c>
      <c r="E624" s="267" t="s">
        <v>1734</v>
      </c>
      <c r="F624" s="267"/>
      <c r="G624" s="88">
        <v>20.68</v>
      </c>
      <c r="H624" s="40"/>
      <c r="I624" s="6"/>
    </row>
    <row r="625" spans="1:9" ht="12.2" customHeight="1" x14ac:dyDescent="0.2">
      <c r="A625" s="7"/>
      <c r="B625" s="17"/>
      <c r="C625" s="17"/>
      <c r="D625" s="85" t="s">
        <v>1429</v>
      </c>
      <c r="E625" s="267" t="s">
        <v>1737</v>
      </c>
      <c r="F625" s="267"/>
      <c r="G625" s="88">
        <v>73.94</v>
      </c>
      <c r="H625" s="40"/>
      <c r="I625" s="6"/>
    </row>
    <row r="626" spans="1:9" ht="12.2" customHeight="1" x14ac:dyDescent="0.2">
      <c r="A626" s="7"/>
      <c r="B626" s="17"/>
      <c r="C626" s="17"/>
      <c r="D626" s="85" t="s">
        <v>1430</v>
      </c>
      <c r="E626" s="267" t="s">
        <v>1737</v>
      </c>
      <c r="F626" s="267"/>
      <c r="G626" s="88">
        <v>57.24</v>
      </c>
      <c r="H626" s="40"/>
      <c r="I626" s="6"/>
    </row>
    <row r="627" spans="1:9" x14ac:dyDescent="0.2">
      <c r="A627" s="5" t="s">
        <v>152</v>
      </c>
      <c r="B627" s="16" t="s">
        <v>305</v>
      </c>
      <c r="C627" s="16" t="s">
        <v>432</v>
      </c>
      <c r="D627" s="243" t="s">
        <v>799</v>
      </c>
      <c r="E627" s="244"/>
      <c r="F627" s="16" t="s">
        <v>1042</v>
      </c>
      <c r="G627" s="27">
        <v>52.76</v>
      </c>
      <c r="H627" s="91">
        <v>0</v>
      </c>
      <c r="I627" s="6"/>
    </row>
    <row r="628" spans="1:9" ht="12.2" customHeight="1" x14ac:dyDescent="0.2">
      <c r="A628" s="5"/>
      <c r="B628" s="16"/>
      <c r="C628" s="16"/>
      <c r="D628" s="85" t="s">
        <v>1415</v>
      </c>
      <c r="E628" s="267" t="s">
        <v>1734</v>
      </c>
      <c r="F628" s="267"/>
      <c r="G628" s="87">
        <v>52.76</v>
      </c>
      <c r="H628" s="39"/>
      <c r="I628" s="6"/>
    </row>
    <row r="629" spans="1:9" x14ac:dyDescent="0.2">
      <c r="A629" s="5" t="s">
        <v>153</v>
      </c>
      <c r="B629" s="16" t="s">
        <v>305</v>
      </c>
      <c r="C629" s="16" t="s">
        <v>433</v>
      </c>
      <c r="D629" s="243" t="s">
        <v>801</v>
      </c>
      <c r="E629" s="244"/>
      <c r="F629" s="16" t="s">
        <v>1042</v>
      </c>
      <c r="G629" s="27">
        <v>17.23</v>
      </c>
      <c r="H629" s="91">
        <v>0</v>
      </c>
      <c r="I629" s="6"/>
    </row>
    <row r="630" spans="1:9" ht="12.2" customHeight="1" x14ac:dyDescent="0.2">
      <c r="A630" s="5"/>
      <c r="B630" s="16"/>
      <c r="C630" s="16"/>
      <c r="D630" s="85" t="s">
        <v>1416</v>
      </c>
      <c r="E630" s="267" t="s">
        <v>1734</v>
      </c>
      <c r="F630" s="267"/>
      <c r="G630" s="87">
        <v>17.23</v>
      </c>
      <c r="H630" s="39"/>
      <c r="I630" s="6"/>
    </row>
    <row r="631" spans="1:9" x14ac:dyDescent="0.2">
      <c r="A631" s="7" t="s">
        <v>154</v>
      </c>
      <c r="B631" s="17" t="s">
        <v>305</v>
      </c>
      <c r="C631" s="17" t="s">
        <v>434</v>
      </c>
      <c r="D631" s="241" t="s">
        <v>806</v>
      </c>
      <c r="E631" s="242"/>
      <c r="F631" s="17" t="s">
        <v>1042</v>
      </c>
      <c r="G631" s="28">
        <v>81.349999999999994</v>
      </c>
      <c r="H631" s="93">
        <v>0</v>
      </c>
      <c r="I631" s="6"/>
    </row>
    <row r="632" spans="1:9" ht="12.2" customHeight="1" x14ac:dyDescent="0.2">
      <c r="A632" s="7"/>
      <c r="B632" s="17"/>
      <c r="C632" s="17"/>
      <c r="D632" s="85" t="s">
        <v>1427</v>
      </c>
      <c r="E632" s="267" t="s">
        <v>1734</v>
      </c>
      <c r="F632" s="267"/>
      <c r="G632" s="88">
        <v>60.67</v>
      </c>
      <c r="H632" s="40"/>
      <c r="I632" s="6"/>
    </row>
    <row r="633" spans="1:9" ht="12.2" customHeight="1" x14ac:dyDescent="0.2">
      <c r="A633" s="7"/>
      <c r="B633" s="17"/>
      <c r="C633" s="17"/>
      <c r="D633" s="85" t="s">
        <v>1428</v>
      </c>
      <c r="E633" s="267" t="s">
        <v>1734</v>
      </c>
      <c r="F633" s="267"/>
      <c r="G633" s="88">
        <v>20.68</v>
      </c>
      <c r="H633" s="40"/>
      <c r="I633" s="6"/>
    </row>
    <row r="634" spans="1:9" x14ac:dyDescent="0.2">
      <c r="A634" s="7" t="s">
        <v>155</v>
      </c>
      <c r="B634" s="17" t="s">
        <v>305</v>
      </c>
      <c r="C634" s="17" t="s">
        <v>435</v>
      </c>
      <c r="D634" s="241" t="s">
        <v>807</v>
      </c>
      <c r="E634" s="242"/>
      <c r="F634" s="17" t="s">
        <v>1042</v>
      </c>
      <c r="G634" s="28">
        <v>81.349999999999994</v>
      </c>
      <c r="H634" s="93">
        <v>0</v>
      </c>
      <c r="I634" s="6"/>
    </row>
    <row r="635" spans="1:9" ht="12.2" customHeight="1" x14ac:dyDescent="0.2">
      <c r="A635" s="7"/>
      <c r="B635" s="17"/>
      <c r="C635" s="17"/>
      <c r="D635" s="85" t="s">
        <v>1427</v>
      </c>
      <c r="E635" s="267" t="s">
        <v>1734</v>
      </c>
      <c r="F635" s="267"/>
      <c r="G635" s="88">
        <v>60.67</v>
      </c>
      <c r="H635" s="40"/>
      <c r="I635" s="6"/>
    </row>
    <row r="636" spans="1:9" ht="12.2" customHeight="1" x14ac:dyDescent="0.2">
      <c r="A636" s="7"/>
      <c r="B636" s="17"/>
      <c r="C636" s="17"/>
      <c r="D636" s="85" t="s">
        <v>1428</v>
      </c>
      <c r="E636" s="267" t="s">
        <v>1734</v>
      </c>
      <c r="F636" s="267"/>
      <c r="G636" s="88">
        <v>20.68</v>
      </c>
      <c r="H636" s="40"/>
      <c r="I636" s="6"/>
    </row>
    <row r="637" spans="1:9" x14ac:dyDescent="0.2">
      <c r="A637" s="5" t="s">
        <v>156</v>
      </c>
      <c r="B637" s="16" t="s">
        <v>305</v>
      </c>
      <c r="C637" s="16" t="s">
        <v>436</v>
      </c>
      <c r="D637" s="243" t="s">
        <v>808</v>
      </c>
      <c r="E637" s="244"/>
      <c r="F637" s="16" t="s">
        <v>1042</v>
      </c>
      <c r="G637" s="27">
        <v>139.99</v>
      </c>
      <c r="H637" s="91">
        <v>0</v>
      </c>
      <c r="I637" s="6"/>
    </row>
    <row r="638" spans="1:9" ht="12.2" customHeight="1" x14ac:dyDescent="0.2">
      <c r="A638" s="5"/>
      <c r="B638" s="16"/>
      <c r="C638" s="16"/>
      <c r="D638" s="85" t="s">
        <v>1431</v>
      </c>
      <c r="E638" s="267" t="s">
        <v>1734</v>
      </c>
      <c r="F638" s="267"/>
      <c r="G638" s="87">
        <v>105.52</v>
      </c>
      <c r="H638" s="39"/>
      <c r="I638" s="6"/>
    </row>
    <row r="639" spans="1:9" ht="12.2" customHeight="1" x14ac:dyDescent="0.2">
      <c r="A639" s="5"/>
      <c r="B639" s="16"/>
      <c r="C639" s="16"/>
      <c r="D639" s="85" t="s">
        <v>1432</v>
      </c>
      <c r="E639" s="267" t="s">
        <v>1734</v>
      </c>
      <c r="F639" s="267"/>
      <c r="G639" s="87">
        <v>34.47</v>
      </c>
      <c r="H639" s="39"/>
      <c r="I639" s="6"/>
    </row>
    <row r="640" spans="1:9" x14ac:dyDescent="0.2">
      <c r="A640" s="7" t="s">
        <v>157</v>
      </c>
      <c r="B640" s="17" t="s">
        <v>305</v>
      </c>
      <c r="C640" s="17" t="s">
        <v>437</v>
      </c>
      <c r="D640" s="241" t="s">
        <v>809</v>
      </c>
      <c r="E640" s="242"/>
      <c r="F640" s="17" t="s">
        <v>1042</v>
      </c>
      <c r="G640" s="28">
        <v>156.43</v>
      </c>
      <c r="H640" s="93">
        <v>0</v>
      </c>
      <c r="I640" s="6"/>
    </row>
    <row r="641" spans="1:9" ht="12.2" customHeight="1" x14ac:dyDescent="0.2">
      <c r="A641" s="7"/>
      <c r="B641" s="17"/>
      <c r="C641" s="17"/>
      <c r="D641" s="85" t="s">
        <v>1433</v>
      </c>
      <c r="E641" s="267" t="s">
        <v>1734</v>
      </c>
      <c r="F641" s="267"/>
      <c r="G641" s="88">
        <v>117.13</v>
      </c>
      <c r="H641" s="40"/>
      <c r="I641" s="6"/>
    </row>
    <row r="642" spans="1:9" ht="12.2" customHeight="1" x14ac:dyDescent="0.2">
      <c r="A642" s="7"/>
      <c r="B642" s="17"/>
      <c r="C642" s="17"/>
      <c r="D642" s="85" t="s">
        <v>1434</v>
      </c>
      <c r="E642" s="267" t="s">
        <v>1734</v>
      </c>
      <c r="F642" s="267"/>
      <c r="G642" s="88">
        <v>39.299999999999997</v>
      </c>
      <c r="H642" s="40"/>
      <c r="I642" s="6"/>
    </row>
    <row r="643" spans="1:9" x14ac:dyDescent="0.2">
      <c r="A643" s="5" t="s">
        <v>158</v>
      </c>
      <c r="B643" s="16" t="s">
        <v>305</v>
      </c>
      <c r="C643" s="16" t="s">
        <v>438</v>
      </c>
      <c r="D643" s="243" t="s">
        <v>810</v>
      </c>
      <c r="E643" s="244"/>
      <c r="F643" s="16" t="s">
        <v>1045</v>
      </c>
      <c r="G643" s="27">
        <v>2</v>
      </c>
      <c r="H643" s="91">
        <v>0</v>
      </c>
      <c r="I643" s="6"/>
    </row>
    <row r="644" spans="1:9" ht="12.2" customHeight="1" x14ac:dyDescent="0.2">
      <c r="A644" s="5"/>
      <c r="B644" s="16"/>
      <c r="C644" s="16"/>
      <c r="D644" s="85" t="s">
        <v>8</v>
      </c>
      <c r="E644" s="267" t="s">
        <v>1738</v>
      </c>
      <c r="F644" s="267"/>
      <c r="G644" s="87">
        <v>2</v>
      </c>
      <c r="H644" s="39"/>
      <c r="I644" s="6"/>
    </row>
    <row r="645" spans="1:9" x14ac:dyDescent="0.2">
      <c r="A645" s="5" t="s">
        <v>159</v>
      </c>
      <c r="B645" s="16" t="s">
        <v>305</v>
      </c>
      <c r="C645" s="16" t="s">
        <v>439</v>
      </c>
      <c r="D645" s="243" t="s">
        <v>812</v>
      </c>
      <c r="E645" s="244"/>
      <c r="F645" s="16" t="s">
        <v>1042</v>
      </c>
      <c r="G645" s="27">
        <v>64.3</v>
      </c>
      <c r="H645" s="91">
        <v>0</v>
      </c>
      <c r="I645" s="6"/>
    </row>
    <row r="646" spans="1:9" ht="12.2" customHeight="1" x14ac:dyDescent="0.2">
      <c r="A646" s="5"/>
      <c r="B646" s="16"/>
      <c r="C646" s="16"/>
      <c r="D646" s="85" t="s">
        <v>1425</v>
      </c>
      <c r="E646" s="267" t="s">
        <v>1737</v>
      </c>
      <c r="F646" s="267"/>
      <c r="G646" s="87">
        <v>64.3</v>
      </c>
      <c r="H646" s="39"/>
      <c r="I646" s="6"/>
    </row>
    <row r="647" spans="1:9" x14ac:dyDescent="0.2">
      <c r="A647" s="5" t="s">
        <v>160</v>
      </c>
      <c r="B647" s="16" t="s">
        <v>305</v>
      </c>
      <c r="C647" s="16" t="s">
        <v>440</v>
      </c>
      <c r="D647" s="243" t="s">
        <v>814</v>
      </c>
      <c r="E647" s="244"/>
      <c r="F647" s="16" t="s">
        <v>1042</v>
      </c>
      <c r="G647" s="27">
        <v>47.7</v>
      </c>
      <c r="H647" s="91">
        <v>0</v>
      </c>
      <c r="I647" s="6"/>
    </row>
    <row r="648" spans="1:9" ht="12.2" customHeight="1" x14ac:dyDescent="0.2">
      <c r="A648" s="5"/>
      <c r="B648" s="16"/>
      <c r="C648" s="16"/>
      <c r="D648" s="85" t="s">
        <v>1426</v>
      </c>
      <c r="E648" s="267" t="s">
        <v>1737</v>
      </c>
      <c r="F648" s="267"/>
      <c r="G648" s="87">
        <v>47.7</v>
      </c>
      <c r="H648" s="39"/>
      <c r="I648" s="6"/>
    </row>
    <row r="649" spans="1:9" x14ac:dyDescent="0.2">
      <c r="A649" s="5" t="s">
        <v>161</v>
      </c>
      <c r="B649" s="16" t="s">
        <v>305</v>
      </c>
      <c r="C649" s="16" t="s">
        <v>441</v>
      </c>
      <c r="D649" s="243" t="s">
        <v>816</v>
      </c>
      <c r="E649" s="244"/>
      <c r="F649" s="16" t="s">
        <v>1044</v>
      </c>
      <c r="G649" s="27">
        <v>31.8</v>
      </c>
      <c r="H649" s="91">
        <v>0</v>
      </c>
      <c r="I649" s="6"/>
    </row>
    <row r="650" spans="1:9" ht="12.2" customHeight="1" x14ac:dyDescent="0.2">
      <c r="A650" s="5"/>
      <c r="B650" s="16"/>
      <c r="C650" s="16"/>
      <c r="D650" s="85" t="s">
        <v>1435</v>
      </c>
      <c r="E650" s="267" t="s">
        <v>1737</v>
      </c>
      <c r="F650" s="267"/>
      <c r="G650" s="87">
        <v>31.8</v>
      </c>
      <c r="H650" s="39"/>
      <c r="I650" s="6"/>
    </row>
    <row r="651" spans="1:9" x14ac:dyDescent="0.2">
      <c r="A651" s="5" t="s">
        <v>162</v>
      </c>
      <c r="B651" s="16" t="s">
        <v>305</v>
      </c>
      <c r="C651" s="16" t="s">
        <v>442</v>
      </c>
      <c r="D651" s="243" t="s">
        <v>817</v>
      </c>
      <c r="E651" s="244"/>
      <c r="F651" s="16" t="s">
        <v>1044</v>
      </c>
      <c r="G651" s="27">
        <v>31.8</v>
      </c>
      <c r="H651" s="91">
        <v>0</v>
      </c>
      <c r="I651" s="6"/>
    </row>
    <row r="652" spans="1:9" ht="12.2" customHeight="1" x14ac:dyDescent="0.2">
      <c r="A652" s="5"/>
      <c r="B652" s="16"/>
      <c r="C652" s="16"/>
      <c r="D652" s="85" t="s">
        <v>1435</v>
      </c>
      <c r="E652" s="267" t="s">
        <v>1737</v>
      </c>
      <c r="F652" s="267"/>
      <c r="G652" s="87">
        <v>31.8</v>
      </c>
      <c r="H652" s="39"/>
      <c r="I652" s="6"/>
    </row>
    <row r="653" spans="1:9" x14ac:dyDescent="0.2">
      <c r="A653" s="5" t="s">
        <v>163</v>
      </c>
      <c r="B653" s="16" t="s">
        <v>305</v>
      </c>
      <c r="C653" s="16" t="s">
        <v>443</v>
      </c>
      <c r="D653" s="243" t="s">
        <v>818</v>
      </c>
      <c r="E653" s="244"/>
      <c r="F653" s="16" t="s">
        <v>1044</v>
      </c>
      <c r="G653" s="27">
        <v>31.8</v>
      </c>
      <c r="H653" s="91">
        <v>0</v>
      </c>
      <c r="I653" s="6"/>
    </row>
    <row r="654" spans="1:9" ht="12.2" customHeight="1" x14ac:dyDescent="0.2">
      <c r="A654" s="5"/>
      <c r="B654" s="16"/>
      <c r="C654" s="16"/>
      <c r="D654" s="85" t="s">
        <v>1435</v>
      </c>
      <c r="E654" s="267" t="s">
        <v>1737</v>
      </c>
      <c r="F654" s="267"/>
      <c r="G654" s="87">
        <v>31.8</v>
      </c>
      <c r="H654" s="39"/>
      <c r="I654" s="6"/>
    </row>
    <row r="655" spans="1:9" x14ac:dyDescent="0.2">
      <c r="A655" s="5" t="s">
        <v>164</v>
      </c>
      <c r="B655" s="16" t="s">
        <v>305</v>
      </c>
      <c r="C655" s="16" t="s">
        <v>444</v>
      </c>
      <c r="D655" s="243" t="s">
        <v>819</v>
      </c>
      <c r="E655" s="244"/>
      <c r="F655" s="16" t="s">
        <v>1045</v>
      </c>
      <c r="G655" s="27">
        <v>2</v>
      </c>
      <c r="H655" s="91">
        <v>0</v>
      </c>
      <c r="I655" s="6"/>
    </row>
    <row r="656" spans="1:9" ht="12.2" customHeight="1" x14ac:dyDescent="0.2">
      <c r="A656" s="5"/>
      <c r="B656" s="16"/>
      <c r="C656" s="16"/>
      <c r="D656" s="85" t="s">
        <v>8</v>
      </c>
      <c r="E656" s="267" t="s">
        <v>1739</v>
      </c>
      <c r="F656" s="267"/>
      <c r="G656" s="87">
        <v>2</v>
      </c>
      <c r="H656" s="39"/>
      <c r="I656" s="6"/>
    </row>
    <row r="657" spans="1:9" x14ac:dyDescent="0.2">
      <c r="A657" s="5" t="s">
        <v>165</v>
      </c>
      <c r="B657" s="16" t="s">
        <v>305</v>
      </c>
      <c r="C657" s="16" t="s">
        <v>445</v>
      </c>
      <c r="D657" s="243" t="s">
        <v>820</v>
      </c>
      <c r="E657" s="244"/>
      <c r="F657" s="16" t="s">
        <v>1043</v>
      </c>
      <c r="G657" s="27">
        <v>2.41</v>
      </c>
      <c r="H657" s="91">
        <v>0</v>
      </c>
      <c r="I657" s="6"/>
    </row>
    <row r="658" spans="1:9" x14ac:dyDescent="0.2">
      <c r="A658" s="82"/>
      <c r="B658" s="15"/>
      <c r="C658" s="15" t="s">
        <v>446</v>
      </c>
      <c r="D658" s="237" t="s">
        <v>821</v>
      </c>
      <c r="E658" s="238"/>
      <c r="F658" s="15"/>
      <c r="G658" s="51"/>
      <c r="H658" s="38"/>
      <c r="I658" s="6"/>
    </row>
    <row r="659" spans="1:9" x14ac:dyDescent="0.2">
      <c r="A659" s="5" t="s">
        <v>166</v>
      </c>
      <c r="B659" s="16" t="s">
        <v>305</v>
      </c>
      <c r="C659" s="16" t="s">
        <v>447</v>
      </c>
      <c r="D659" s="243" t="s">
        <v>822</v>
      </c>
      <c r="E659" s="244"/>
      <c r="F659" s="16" t="s">
        <v>1042</v>
      </c>
      <c r="G659" s="27">
        <v>177.36</v>
      </c>
      <c r="H659" s="91">
        <v>0</v>
      </c>
      <c r="I659" s="6"/>
    </row>
    <row r="660" spans="1:9" ht="12.2" customHeight="1" x14ac:dyDescent="0.2">
      <c r="A660" s="5"/>
      <c r="B660" s="16"/>
      <c r="C660" s="16"/>
      <c r="D660" s="85" t="s">
        <v>1409</v>
      </c>
      <c r="E660" s="267" t="s">
        <v>1730</v>
      </c>
      <c r="F660" s="267"/>
      <c r="G660" s="87">
        <v>122.76</v>
      </c>
      <c r="H660" s="39"/>
      <c r="I660" s="6"/>
    </row>
    <row r="661" spans="1:9" ht="12.2" customHeight="1" x14ac:dyDescent="0.2">
      <c r="A661" s="5"/>
      <c r="B661" s="16"/>
      <c r="C661" s="16"/>
      <c r="D661" s="85" t="s">
        <v>1216</v>
      </c>
      <c r="E661" s="267" t="s">
        <v>1624</v>
      </c>
      <c r="F661" s="267"/>
      <c r="G661" s="87">
        <v>-2.4</v>
      </c>
      <c r="H661" s="39"/>
      <c r="I661" s="6"/>
    </row>
    <row r="662" spans="1:9" ht="12.2" customHeight="1" x14ac:dyDescent="0.2">
      <c r="A662" s="5"/>
      <c r="B662" s="16"/>
      <c r="C662" s="16"/>
      <c r="D662" s="85" t="s">
        <v>1414</v>
      </c>
      <c r="E662" s="267" t="s">
        <v>1627</v>
      </c>
      <c r="F662" s="267"/>
      <c r="G662" s="87">
        <v>-3.23</v>
      </c>
      <c r="H662" s="39"/>
      <c r="I662" s="6"/>
    </row>
    <row r="663" spans="1:9" ht="12.2" customHeight="1" x14ac:dyDescent="0.2">
      <c r="A663" s="5"/>
      <c r="B663" s="16"/>
      <c r="C663" s="16"/>
      <c r="D663" s="85" t="s">
        <v>1410</v>
      </c>
      <c r="E663" s="267" t="s">
        <v>1731</v>
      </c>
      <c r="F663" s="267"/>
      <c r="G663" s="87">
        <v>45.33</v>
      </c>
      <c r="H663" s="39"/>
      <c r="I663" s="6"/>
    </row>
    <row r="664" spans="1:9" ht="12.2" customHeight="1" x14ac:dyDescent="0.2">
      <c r="A664" s="5"/>
      <c r="B664" s="16"/>
      <c r="C664" s="16"/>
      <c r="D664" s="85" t="s">
        <v>1411</v>
      </c>
      <c r="E664" s="267" t="s">
        <v>1732</v>
      </c>
      <c r="F664" s="267"/>
      <c r="G664" s="87">
        <v>14.9</v>
      </c>
      <c r="H664" s="39"/>
      <c r="I664" s="6"/>
    </row>
    <row r="665" spans="1:9" x14ac:dyDescent="0.2">
      <c r="A665" s="7" t="s">
        <v>167</v>
      </c>
      <c r="B665" s="17" t="s">
        <v>305</v>
      </c>
      <c r="C665" s="17" t="s">
        <v>448</v>
      </c>
      <c r="D665" s="241" t="s">
        <v>824</v>
      </c>
      <c r="E665" s="242"/>
      <c r="F665" s="17" t="s">
        <v>1041</v>
      </c>
      <c r="G665" s="28">
        <v>33.07</v>
      </c>
      <c r="H665" s="93">
        <v>0</v>
      </c>
      <c r="I665" s="6"/>
    </row>
    <row r="666" spans="1:9" ht="12.2" customHeight="1" x14ac:dyDescent="0.2">
      <c r="A666" s="7"/>
      <c r="B666" s="17"/>
      <c r="C666" s="17"/>
      <c r="D666" s="85" t="s">
        <v>1436</v>
      </c>
      <c r="E666" s="267" t="s">
        <v>1730</v>
      </c>
      <c r="F666" s="267"/>
      <c r="G666" s="88">
        <v>24.55</v>
      </c>
      <c r="H666" s="40"/>
      <c r="I666" s="6"/>
    </row>
    <row r="667" spans="1:9" ht="12.2" customHeight="1" x14ac:dyDescent="0.2">
      <c r="A667" s="7"/>
      <c r="B667" s="17"/>
      <c r="C667" s="17"/>
      <c r="D667" s="85" t="s">
        <v>1437</v>
      </c>
      <c r="E667" s="267" t="s">
        <v>1740</v>
      </c>
      <c r="F667" s="267"/>
      <c r="G667" s="88">
        <v>-0.83</v>
      </c>
      <c r="H667" s="40"/>
      <c r="I667" s="6"/>
    </row>
    <row r="668" spans="1:9" ht="12.2" customHeight="1" x14ac:dyDescent="0.2">
      <c r="A668" s="7"/>
      <c r="B668" s="17"/>
      <c r="C668" s="17"/>
      <c r="D668" s="85" t="s">
        <v>1438</v>
      </c>
      <c r="E668" s="267" t="s">
        <v>1624</v>
      </c>
      <c r="F668" s="267"/>
      <c r="G668" s="88">
        <v>-0.48</v>
      </c>
      <c r="H668" s="40"/>
      <c r="I668" s="6"/>
    </row>
    <row r="669" spans="1:9" ht="12.2" customHeight="1" x14ac:dyDescent="0.2">
      <c r="A669" s="7"/>
      <c r="B669" s="17"/>
      <c r="C669" s="17"/>
      <c r="D669" s="85" t="s">
        <v>1439</v>
      </c>
      <c r="E669" s="267" t="s">
        <v>1627</v>
      </c>
      <c r="F669" s="267"/>
      <c r="G669" s="88">
        <v>-0.65</v>
      </c>
      <c r="H669" s="40"/>
      <c r="I669" s="6"/>
    </row>
    <row r="670" spans="1:9" ht="12.2" customHeight="1" x14ac:dyDescent="0.2">
      <c r="A670" s="7"/>
      <c r="B670" s="17"/>
      <c r="C670" s="17"/>
      <c r="D670" s="85" t="s">
        <v>1440</v>
      </c>
      <c r="E670" s="267" t="s">
        <v>1731</v>
      </c>
      <c r="F670" s="267"/>
      <c r="G670" s="88">
        <v>6.13</v>
      </c>
      <c r="H670" s="40"/>
      <c r="I670" s="6"/>
    </row>
    <row r="671" spans="1:9" ht="12.2" customHeight="1" x14ac:dyDescent="0.2">
      <c r="A671" s="7"/>
      <c r="B671" s="17"/>
      <c r="C671" s="17"/>
      <c r="D671" s="85" t="s">
        <v>1441</v>
      </c>
      <c r="E671" s="267" t="s">
        <v>1732</v>
      </c>
      <c r="F671" s="267"/>
      <c r="G671" s="88">
        <v>1.49</v>
      </c>
      <c r="H671" s="40"/>
      <c r="I671" s="6"/>
    </row>
    <row r="672" spans="1:9" ht="12.2" customHeight="1" x14ac:dyDescent="0.2">
      <c r="A672" s="7"/>
      <c r="B672" s="17"/>
      <c r="C672" s="17"/>
      <c r="D672" s="85" t="s">
        <v>1442</v>
      </c>
      <c r="E672" s="267" t="s">
        <v>1680</v>
      </c>
      <c r="F672" s="267"/>
      <c r="G672" s="88">
        <v>0.88</v>
      </c>
      <c r="H672" s="40"/>
      <c r="I672" s="6"/>
    </row>
    <row r="673" spans="1:9" ht="12.2" customHeight="1" x14ac:dyDescent="0.2">
      <c r="A673" s="7"/>
      <c r="B673" s="17"/>
      <c r="C673" s="17"/>
      <c r="D673" s="85" t="s">
        <v>1443</v>
      </c>
      <c r="E673" s="267" t="s">
        <v>1681</v>
      </c>
      <c r="F673" s="267"/>
      <c r="G673" s="88">
        <v>0.41</v>
      </c>
      <c r="H673" s="40"/>
      <c r="I673" s="6"/>
    </row>
    <row r="674" spans="1:9" ht="12.2" customHeight="1" x14ac:dyDescent="0.2">
      <c r="A674" s="7"/>
      <c r="B674" s="17"/>
      <c r="C674" s="17"/>
      <c r="D674" s="85" t="s">
        <v>1444</v>
      </c>
      <c r="E674" s="267"/>
      <c r="F674" s="267"/>
      <c r="G674" s="88">
        <v>1.57</v>
      </c>
      <c r="H674" s="40"/>
      <c r="I674" s="6"/>
    </row>
    <row r="675" spans="1:9" x14ac:dyDescent="0.2">
      <c r="A675" s="5" t="s">
        <v>168</v>
      </c>
      <c r="B675" s="16" t="s">
        <v>305</v>
      </c>
      <c r="C675" s="16" t="s">
        <v>449</v>
      </c>
      <c r="D675" s="243" t="s">
        <v>825</v>
      </c>
      <c r="E675" s="244"/>
      <c r="F675" s="16" t="s">
        <v>1042</v>
      </c>
      <c r="G675" s="27">
        <v>117.06</v>
      </c>
      <c r="H675" s="91">
        <v>0</v>
      </c>
      <c r="I675" s="6"/>
    </row>
    <row r="676" spans="1:9" ht="12.2" customHeight="1" x14ac:dyDescent="0.2">
      <c r="A676" s="5"/>
      <c r="B676" s="16"/>
      <c r="C676" s="16"/>
      <c r="D676" s="85" t="s">
        <v>1415</v>
      </c>
      <c r="E676" s="267" t="s">
        <v>1734</v>
      </c>
      <c r="F676" s="267"/>
      <c r="G676" s="87">
        <v>52.76</v>
      </c>
      <c r="H676" s="39"/>
      <c r="I676" s="6"/>
    </row>
    <row r="677" spans="1:9" ht="12.2" customHeight="1" x14ac:dyDescent="0.2">
      <c r="A677" s="5"/>
      <c r="B677" s="16"/>
      <c r="C677" s="16"/>
      <c r="D677" s="85" t="s">
        <v>1425</v>
      </c>
      <c r="E677" s="267" t="s">
        <v>1737</v>
      </c>
      <c r="F677" s="267"/>
      <c r="G677" s="87">
        <v>64.3</v>
      </c>
      <c r="H677" s="39"/>
      <c r="I677" s="6"/>
    </row>
    <row r="678" spans="1:9" x14ac:dyDescent="0.2">
      <c r="A678" s="7" t="s">
        <v>169</v>
      </c>
      <c r="B678" s="17" t="s">
        <v>305</v>
      </c>
      <c r="C678" s="17" t="s">
        <v>450</v>
      </c>
      <c r="D678" s="241" t="s">
        <v>826</v>
      </c>
      <c r="E678" s="242"/>
      <c r="F678" s="17" t="s">
        <v>1042</v>
      </c>
      <c r="G678" s="28">
        <v>122.91</v>
      </c>
      <c r="H678" s="93">
        <v>0</v>
      </c>
      <c r="I678" s="6"/>
    </row>
    <row r="679" spans="1:9" ht="12.2" customHeight="1" x14ac:dyDescent="0.2">
      <c r="A679" s="7"/>
      <c r="B679" s="17"/>
      <c r="C679" s="17"/>
      <c r="D679" s="85" t="s">
        <v>1415</v>
      </c>
      <c r="E679" s="267" t="s">
        <v>1734</v>
      </c>
      <c r="F679" s="267"/>
      <c r="G679" s="88">
        <v>52.76</v>
      </c>
      <c r="H679" s="40"/>
      <c r="I679" s="6"/>
    </row>
    <row r="680" spans="1:9" ht="12.2" customHeight="1" x14ac:dyDescent="0.2">
      <c r="A680" s="7"/>
      <c r="B680" s="17"/>
      <c r="C680" s="17"/>
      <c r="D680" s="85" t="s">
        <v>1425</v>
      </c>
      <c r="E680" s="267" t="s">
        <v>1737</v>
      </c>
      <c r="F680" s="267"/>
      <c r="G680" s="88">
        <v>64.3</v>
      </c>
      <c r="H680" s="40"/>
      <c r="I680" s="6"/>
    </row>
    <row r="681" spans="1:9" ht="12.2" customHeight="1" x14ac:dyDescent="0.2">
      <c r="A681" s="7"/>
      <c r="B681" s="17"/>
      <c r="C681" s="17"/>
      <c r="D681" s="85" t="s">
        <v>1445</v>
      </c>
      <c r="E681" s="267"/>
      <c r="F681" s="267"/>
      <c r="G681" s="88">
        <v>5.85</v>
      </c>
      <c r="H681" s="40"/>
      <c r="I681" s="6"/>
    </row>
    <row r="682" spans="1:9" x14ac:dyDescent="0.2">
      <c r="A682" s="5" t="s">
        <v>170</v>
      </c>
      <c r="B682" s="16" t="s">
        <v>305</v>
      </c>
      <c r="C682" s="16" t="s">
        <v>451</v>
      </c>
      <c r="D682" s="243" t="s">
        <v>827</v>
      </c>
      <c r="E682" s="244"/>
      <c r="F682" s="16" t="s">
        <v>1042</v>
      </c>
      <c r="G682" s="27">
        <v>14.11</v>
      </c>
      <c r="H682" s="91">
        <v>0</v>
      </c>
      <c r="I682" s="6"/>
    </row>
    <row r="683" spans="1:9" ht="12.2" customHeight="1" x14ac:dyDescent="0.2">
      <c r="A683" s="5"/>
      <c r="B683" s="16"/>
      <c r="C683" s="16"/>
      <c r="D683" s="85" t="s">
        <v>1446</v>
      </c>
      <c r="E683" s="267" t="s">
        <v>1741</v>
      </c>
      <c r="F683" s="267"/>
      <c r="G683" s="87">
        <v>14.11</v>
      </c>
      <c r="H683" s="39"/>
      <c r="I683" s="6"/>
    </row>
    <row r="684" spans="1:9" x14ac:dyDescent="0.2">
      <c r="A684" s="7" t="s">
        <v>171</v>
      </c>
      <c r="B684" s="17" t="s">
        <v>305</v>
      </c>
      <c r="C684" s="17" t="s">
        <v>452</v>
      </c>
      <c r="D684" s="241" t="s">
        <v>828</v>
      </c>
      <c r="E684" s="242"/>
      <c r="F684" s="17" t="s">
        <v>1042</v>
      </c>
      <c r="G684" s="28">
        <v>14.82</v>
      </c>
      <c r="H684" s="93">
        <v>0</v>
      </c>
      <c r="I684" s="6"/>
    </row>
    <row r="685" spans="1:9" ht="12.2" customHeight="1" x14ac:dyDescent="0.2">
      <c r="A685" s="7"/>
      <c r="B685" s="17"/>
      <c r="C685" s="17"/>
      <c r="D685" s="85" t="s">
        <v>1446</v>
      </c>
      <c r="E685" s="267" t="s">
        <v>1741</v>
      </c>
      <c r="F685" s="267"/>
      <c r="G685" s="88">
        <v>14.11</v>
      </c>
      <c r="H685" s="40"/>
      <c r="I685" s="6"/>
    </row>
    <row r="686" spans="1:9" ht="12.2" customHeight="1" x14ac:dyDescent="0.2">
      <c r="A686" s="7"/>
      <c r="B686" s="17"/>
      <c r="C686" s="17"/>
      <c r="D686" s="85" t="s">
        <v>1447</v>
      </c>
      <c r="E686" s="267"/>
      <c r="F686" s="267"/>
      <c r="G686" s="88">
        <v>0.71</v>
      </c>
      <c r="H686" s="40"/>
      <c r="I686" s="6"/>
    </row>
    <row r="687" spans="1:9" x14ac:dyDescent="0.2">
      <c r="A687" s="5" t="s">
        <v>172</v>
      </c>
      <c r="B687" s="16" t="s">
        <v>305</v>
      </c>
      <c r="C687" s="16" t="s">
        <v>453</v>
      </c>
      <c r="D687" s="243" t="s">
        <v>829</v>
      </c>
      <c r="E687" s="244"/>
      <c r="F687" s="16" t="s">
        <v>1042</v>
      </c>
      <c r="G687" s="27">
        <v>64.3</v>
      </c>
      <c r="H687" s="91">
        <v>0</v>
      </c>
      <c r="I687" s="6"/>
    </row>
    <row r="688" spans="1:9" ht="12.2" customHeight="1" x14ac:dyDescent="0.2">
      <c r="A688" s="5"/>
      <c r="B688" s="16"/>
      <c r="C688" s="16"/>
      <c r="D688" s="85" t="s">
        <v>1425</v>
      </c>
      <c r="E688" s="267" t="s">
        <v>1737</v>
      </c>
      <c r="F688" s="267"/>
      <c r="G688" s="87">
        <v>64.3</v>
      </c>
      <c r="H688" s="39"/>
      <c r="I688" s="6"/>
    </row>
    <row r="689" spans="1:9" x14ac:dyDescent="0.2">
      <c r="A689" s="7" t="s">
        <v>173</v>
      </c>
      <c r="B689" s="17" t="s">
        <v>305</v>
      </c>
      <c r="C689" s="17" t="s">
        <v>454</v>
      </c>
      <c r="D689" s="241" t="s">
        <v>830</v>
      </c>
      <c r="E689" s="242"/>
      <c r="F689" s="17" t="s">
        <v>1041</v>
      </c>
      <c r="G689" s="28">
        <v>1.35</v>
      </c>
      <c r="H689" s="93">
        <v>0</v>
      </c>
      <c r="I689" s="6"/>
    </row>
    <row r="690" spans="1:9" ht="12.2" customHeight="1" x14ac:dyDescent="0.2">
      <c r="A690" s="7"/>
      <c r="B690" s="17"/>
      <c r="C690" s="17"/>
      <c r="D690" s="85" t="s">
        <v>1448</v>
      </c>
      <c r="E690" s="267" t="s">
        <v>1737</v>
      </c>
      <c r="F690" s="267"/>
      <c r="G690" s="88">
        <v>1.29</v>
      </c>
      <c r="H690" s="40"/>
      <c r="I690" s="6"/>
    </row>
    <row r="691" spans="1:9" ht="12.2" customHeight="1" x14ac:dyDescent="0.2">
      <c r="A691" s="7"/>
      <c r="B691" s="17"/>
      <c r="C691" s="17"/>
      <c r="D691" s="85" t="s">
        <v>1449</v>
      </c>
      <c r="E691" s="267"/>
      <c r="F691" s="267"/>
      <c r="G691" s="88">
        <v>0.06</v>
      </c>
      <c r="H691" s="40"/>
      <c r="I691" s="6"/>
    </row>
    <row r="692" spans="1:9" x14ac:dyDescent="0.2">
      <c r="A692" s="7" t="s">
        <v>174</v>
      </c>
      <c r="B692" s="17" t="s">
        <v>305</v>
      </c>
      <c r="C692" s="17" t="s">
        <v>455</v>
      </c>
      <c r="D692" s="241" t="s">
        <v>831</v>
      </c>
      <c r="E692" s="242"/>
      <c r="F692" s="17" t="s">
        <v>1044</v>
      </c>
      <c r="G692" s="28">
        <v>16.079999999999998</v>
      </c>
      <c r="H692" s="93">
        <v>0</v>
      </c>
      <c r="I692" s="6"/>
    </row>
    <row r="693" spans="1:9" ht="12.2" customHeight="1" x14ac:dyDescent="0.2">
      <c r="A693" s="7"/>
      <c r="B693" s="17"/>
      <c r="C693" s="17"/>
      <c r="D693" s="85" t="s">
        <v>1450</v>
      </c>
      <c r="E693" s="267" t="s">
        <v>1742</v>
      </c>
      <c r="F693" s="267"/>
      <c r="G693" s="88">
        <v>15.31</v>
      </c>
      <c r="H693" s="40"/>
      <c r="I693" s="6"/>
    </row>
    <row r="694" spans="1:9" ht="12.2" customHeight="1" x14ac:dyDescent="0.2">
      <c r="A694" s="7"/>
      <c r="B694" s="17"/>
      <c r="C694" s="17"/>
      <c r="D694" s="85" t="s">
        <v>1451</v>
      </c>
      <c r="E694" s="267"/>
      <c r="F694" s="267"/>
      <c r="G694" s="88">
        <v>0.77</v>
      </c>
      <c r="H694" s="40"/>
      <c r="I694" s="6"/>
    </row>
    <row r="695" spans="1:9" x14ac:dyDescent="0.2">
      <c r="A695" s="5" t="s">
        <v>175</v>
      </c>
      <c r="B695" s="16" t="s">
        <v>305</v>
      </c>
      <c r="C695" s="16" t="s">
        <v>456</v>
      </c>
      <c r="D695" s="243" t="s">
        <v>832</v>
      </c>
      <c r="E695" s="244"/>
      <c r="F695" s="16" t="s">
        <v>1042</v>
      </c>
      <c r="G695" s="27">
        <v>1.37</v>
      </c>
      <c r="H695" s="91">
        <v>0</v>
      </c>
      <c r="I695" s="6"/>
    </row>
    <row r="696" spans="1:9" ht="12.2" customHeight="1" x14ac:dyDescent="0.2">
      <c r="A696" s="5"/>
      <c r="B696" s="16"/>
      <c r="C696" s="16"/>
      <c r="D696" s="85" t="s">
        <v>1351</v>
      </c>
      <c r="E696" s="267" t="s">
        <v>1711</v>
      </c>
      <c r="F696" s="267"/>
      <c r="G696" s="87">
        <v>1.37</v>
      </c>
      <c r="H696" s="39"/>
      <c r="I696" s="6"/>
    </row>
    <row r="697" spans="1:9" x14ac:dyDescent="0.2">
      <c r="A697" s="7" t="s">
        <v>176</v>
      </c>
      <c r="B697" s="17" t="s">
        <v>305</v>
      </c>
      <c r="C697" s="17" t="s">
        <v>457</v>
      </c>
      <c r="D697" s="241" t="s">
        <v>834</v>
      </c>
      <c r="E697" s="242"/>
      <c r="F697" s="17" t="s">
        <v>1042</v>
      </c>
      <c r="G697" s="28">
        <v>1.44</v>
      </c>
      <c r="H697" s="93">
        <v>0</v>
      </c>
      <c r="I697" s="6"/>
    </row>
    <row r="698" spans="1:9" ht="12.2" customHeight="1" x14ac:dyDescent="0.2">
      <c r="A698" s="7"/>
      <c r="B698" s="17"/>
      <c r="C698" s="17"/>
      <c r="D698" s="85" t="s">
        <v>1351</v>
      </c>
      <c r="E698" s="267" t="s">
        <v>1711</v>
      </c>
      <c r="F698" s="267"/>
      <c r="G698" s="88">
        <v>1.37</v>
      </c>
      <c r="H698" s="40"/>
      <c r="I698" s="6"/>
    </row>
    <row r="699" spans="1:9" ht="12.2" customHeight="1" x14ac:dyDescent="0.2">
      <c r="A699" s="7"/>
      <c r="B699" s="17"/>
      <c r="C699" s="17"/>
      <c r="D699" s="85" t="s">
        <v>1452</v>
      </c>
      <c r="E699" s="267"/>
      <c r="F699" s="267"/>
      <c r="G699" s="88">
        <v>7.0000000000000007E-2</v>
      </c>
      <c r="H699" s="40"/>
      <c r="I699" s="6"/>
    </row>
    <row r="700" spans="1:9" x14ac:dyDescent="0.2">
      <c r="A700" s="5" t="s">
        <v>177</v>
      </c>
      <c r="B700" s="16" t="s">
        <v>305</v>
      </c>
      <c r="C700" s="16" t="s">
        <v>458</v>
      </c>
      <c r="D700" s="243" t="s">
        <v>835</v>
      </c>
      <c r="E700" s="244"/>
      <c r="F700" s="16" t="s">
        <v>1042</v>
      </c>
      <c r="G700" s="27">
        <v>299.04000000000002</v>
      </c>
      <c r="H700" s="91">
        <v>0</v>
      </c>
      <c r="I700" s="6"/>
    </row>
    <row r="701" spans="1:9" ht="12.2" customHeight="1" x14ac:dyDescent="0.2">
      <c r="A701" s="5"/>
      <c r="B701" s="16"/>
      <c r="C701" s="16"/>
      <c r="D701" s="85" t="s">
        <v>1453</v>
      </c>
      <c r="E701" s="267" t="s">
        <v>1721</v>
      </c>
      <c r="F701" s="267"/>
      <c r="G701" s="87">
        <v>62.32</v>
      </c>
      <c r="H701" s="39"/>
      <c r="I701" s="6"/>
    </row>
    <row r="702" spans="1:9" ht="12.2" customHeight="1" x14ac:dyDescent="0.2">
      <c r="A702" s="5"/>
      <c r="B702" s="16"/>
      <c r="C702" s="16"/>
      <c r="D702" s="85" t="s">
        <v>1454</v>
      </c>
      <c r="E702" s="267" t="s">
        <v>1707</v>
      </c>
      <c r="F702" s="267"/>
      <c r="G702" s="87">
        <v>8.98</v>
      </c>
      <c r="H702" s="39"/>
      <c r="I702" s="6"/>
    </row>
    <row r="703" spans="1:9" ht="12.2" customHeight="1" x14ac:dyDescent="0.2">
      <c r="A703" s="5"/>
      <c r="B703" s="16"/>
      <c r="C703" s="16"/>
      <c r="D703" s="85" t="s">
        <v>1455</v>
      </c>
      <c r="E703" s="267" t="s">
        <v>1722</v>
      </c>
      <c r="F703" s="267"/>
      <c r="G703" s="87">
        <v>4.63</v>
      </c>
      <c r="H703" s="39"/>
      <c r="I703" s="6"/>
    </row>
    <row r="704" spans="1:9" ht="12.2" customHeight="1" x14ac:dyDescent="0.2">
      <c r="A704" s="5"/>
      <c r="B704" s="16"/>
      <c r="C704" s="16"/>
      <c r="D704" s="85" t="s">
        <v>1456</v>
      </c>
      <c r="E704" s="267" t="s">
        <v>1709</v>
      </c>
      <c r="F704" s="267"/>
      <c r="G704" s="87">
        <v>1.74</v>
      </c>
      <c r="H704" s="39"/>
      <c r="I704" s="6"/>
    </row>
    <row r="705" spans="1:9" ht="12.2" customHeight="1" x14ac:dyDescent="0.2">
      <c r="A705" s="5"/>
      <c r="B705" s="16"/>
      <c r="C705" s="16"/>
      <c r="D705" s="85" t="s">
        <v>1457</v>
      </c>
      <c r="E705" s="267" t="s">
        <v>1723</v>
      </c>
      <c r="F705" s="267"/>
      <c r="G705" s="87">
        <v>3.25</v>
      </c>
      <c r="H705" s="39"/>
      <c r="I705" s="6"/>
    </row>
    <row r="706" spans="1:9" ht="12.2" customHeight="1" x14ac:dyDescent="0.2">
      <c r="A706" s="5"/>
      <c r="B706" s="16"/>
      <c r="C706" s="16"/>
      <c r="D706" s="85" t="s">
        <v>1458</v>
      </c>
      <c r="E706" s="267" t="s">
        <v>1724</v>
      </c>
      <c r="F706" s="267"/>
      <c r="G706" s="87">
        <v>40.89</v>
      </c>
      <c r="H706" s="39"/>
      <c r="I706" s="6"/>
    </row>
    <row r="707" spans="1:9" ht="12.2" customHeight="1" x14ac:dyDescent="0.2">
      <c r="A707" s="5"/>
      <c r="B707" s="16"/>
      <c r="C707" s="16"/>
      <c r="D707" s="85" t="s">
        <v>1403</v>
      </c>
      <c r="E707" s="267" t="s">
        <v>1725</v>
      </c>
      <c r="F707" s="267"/>
      <c r="G707" s="87">
        <v>81.27</v>
      </c>
      <c r="H707" s="39"/>
      <c r="I707" s="6"/>
    </row>
    <row r="708" spans="1:9" ht="12.2" customHeight="1" x14ac:dyDescent="0.2">
      <c r="A708" s="5"/>
      <c r="B708" s="16"/>
      <c r="C708" s="16"/>
      <c r="D708" s="85" t="s">
        <v>1404</v>
      </c>
      <c r="E708" s="267" t="s">
        <v>1726</v>
      </c>
      <c r="F708" s="267"/>
      <c r="G708" s="87">
        <v>13.85</v>
      </c>
      <c r="H708" s="39"/>
      <c r="I708" s="6"/>
    </row>
    <row r="709" spans="1:9" ht="12.2" customHeight="1" x14ac:dyDescent="0.2">
      <c r="A709" s="5"/>
      <c r="B709" s="16"/>
      <c r="C709" s="16"/>
      <c r="D709" s="85" t="s">
        <v>1405</v>
      </c>
      <c r="E709" s="267" t="s">
        <v>1727</v>
      </c>
      <c r="F709" s="267"/>
      <c r="G709" s="87">
        <v>12.08</v>
      </c>
      <c r="H709" s="39"/>
      <c r="I709" s="6"/>
    </row>
    <row r="710" spans="1:9" ht="12.2" customHeight="1" x14ac:dyDescent="0.2">
      <c r="A710" s="5"/>
      <c r="B710" s="16"/>
      <c r="C710" s="16"/>
      <c r="D710" s="85" t="s">
        <v>1406</v>
      </c>
      <c r="E710" s="267" t="s">
        <v>1728</v>
      </c>
      <c r="F710" s="267"/>
      <c r="G710" s="87">
        <v>6.11</v>
      </c>
      <c r="H710" s="39"/>
      <c r="I710" s="6"/>
    </row>
    <row r="711" spans="1:9" ht="12.2" customHeight="1" x14ac:dyDescent="0.2">
      <c r="A711" s="5"/>
      <c r="B711" s="16"/>
      <c r="C711" s="16"/>
      <c r="D711" s="85" t="s">
        <v>1310</v>
      </c>
      <c r="E711" s="267" t="s">
        <v>1694</v>
      </c>
      <c r="F711" s="267"/>
      <c r="G711" s="87">
        <v>7</v>
      </c>
      <c r="H711" s="39"/>
      <c r="I711" s="6"/>
    </row>
    <row r="712" spans="1:9" ht="12.2" customHeight="1" x14ac:dyDescent="0.2">
      <c r="A712" s="5"/>
      <c r="B712" s="16"/>
      <c r="C712" s="16"/>
      <c r="D712" s="85" t="s">
        <v>1311</v>
      </c>
      <c r="E712" s="267" t="s">
        <v>1695</v>
      </c>
      <c r="F712" s="267"/>
      <c r="G712" s="87">
        <v>1.49</v>
      </c>
      <c r="H712" s="39"/>
      <c r="I712" s="6"/>
    </row>
    <row r="713" spans="1:9" ht="12.2" customHeight="1" x14ac:dyDescent="0.2">
      <c r="A713" s="5"/>
      <c r="B713" s="16"/>
      <c r="C713" s="16"/>
      <c r="D713" s="85" t="s">
        <v>1306</v>
      </c>
      <c r="E713" s="267" t="s">
        <v>1690</v>
      </c>
      <c r="F713" s="267"/>
      <c r="G713" s="87">
        <v>14.03</v>
      </c>
      <c r="H713" s="39"/>
      <c r="I713" s="6"/>
    </row>
    <row r="714" spans="1:9" ht="12.2" customHeight="1" x14ac:dyDescent="0.2">
      <c r="A714" s="5"/>
      <c r="B714" s="16"/>
      <c r="C714" s="16"/>
      <c r="D714" s="85" t="s">
        <v>1307</v>
      </c>
      <c r="E714" s="267" t="s">
        <v>1691</v>
      </c>
      <c r="F714" s="267"/>
      <c r="G714" s="87">
        <v>17.350000000000001</v>
      </c>
      <c r="H714" s="39"/>
      <c r="I714" s="6"/>
    </row>
    <row r="715" spans="1:9" ht="12.2" customHeight="1" x14ac:dyDescent="0.2">
      <c r="A715" s="5"/>
      <c r="B715" s="16"/>
      <c r="C715" s="16"/>
      <c r="D715" s="85" t="s">
        <v>1308</v>
      </c>
      <c r="E715" s="267" t="s">
        <v>1692</v>
      </c>
      <c r="F715" s="267"/>
      <c r="G715" s="87">
        <v>9.36</v>
      </c>
      <c r="H715" s="39"/>
      <c r="I715" s="6"/>
    </row>
    <row r="716" spans="1:9" ht="12.2" customHeight="1" x14ac:dyDescent="0.2">
      <c r="A716" s="5"/>
      <c r="B716" s="16"/>
      <c r="C716" s="16"/>
      <c r="D716" s="85" t="s">
        <v>1312</v>
      </c>
      <c r="E716" s="267" t="s">
        <v>1696</v>
      </c>
      <c r="F716" s="267"/>
      <c r="G716" s="87">
        <v>8.34</v>
      </c>
      <c r="H716" s="39"/>
      <c r="I716" s="6"/>
    </row>
    <row r="717" spans="1:9" ht="12.2" customHeight="1" x14ac:dyDescent="0.2">
      <c r="A717" s="5"/>
      <c r="B717" s="16"/>
      <c r="C717" s="16"/>
      <c r="D717" s="85" t="s">
        <v>1309</v>
      </c>
      <c r="E717" s="267" t="s">
        <v>1693</v>
      </c>
      <c r="F717" s="267"/>
      <c r="G717" s="87">
        <v>6.35</v>
      </c>
      <c r="H717" s="39"/>
      <c r="I717" s="6"/>
    </row>
    <row r="718" spans="1:9" x14ac:dyDescent="0.2">
      <c r="A718" s="7" t="s">
        <v>178</v>
      </c>
      <c r="B718" s="17" t="s">
        <v>305</v>
      </c>
      <c r="C718" s="17" t="s">
        <v>459</v>
      </c>
      <c r="D718" s="241" t="s">
        <v>837</v>
      </c>
      <c r="E718" s="242"/>
      <c r="F718" s="17" t="s">
        <v>1041</v>
      </c>
      <c r="G718" s="28">
        <v>42.2</v>
      </c>
      <c r="H718" s="93">
        <v>0</v>
      </c>
      <c r="I718" s="6"/>
    </row>
    <row r="719" spans="1:9" ht="12.2" customHeight="1" x14ac:dyDescent="0.2">
      <c r="A719" s="7"/>
      <c r="B719" s="17"/>
      <c r="C719" s="17"/>
      <c r="D719" s="85" t="s">
        <v>1459</v>
      </c>
      <c r="E719" s="267" t="s">
        <v>1721</v>
      </c>
      <c r="F719" s="267"/>
      <c r="G719" s="88">
        <v>11.22</v>
      </c>
      <c r="H719" s="40"/>
      <c r="I719" s="6"/>
    </row>
    <row r="720" spans="1:9" ht="12.2" customHeight="1" x14ac:dyDescent="0.2">
      <c r="A720" s="7"/>
      <c r="B720" s="17"/>
      <c r="C720" s="17"/>
      <c r="D720" s="85" t="s">
        <v>1460</v>
      </c>
      <c r="E720" s="267" t="s">
        <v>1707</v>
      </c>
      <c r="F720" s="267"/>
      <c r="G720" s="88">
        <v>1.62</v>
      </c>
      <c r="H720" s="40"/>
      <c r="I720" s="6"/>
    </row>
    <row r="721" spans="1:9" ht="12.2" customHeight="1" x14ac:dyDescent="0.2">
      <c r="A721" s="7"/>
      <c r="B721" s="17"/>
      <c r="C721" s="17"/>
      <c r="D721" s="85" t="s">
        <v>1461</v>
      </c>
      <c r="E721" s="267" t="s">
        <v>1722</v>
      </c>
      <c r="F721" s="267"/>
      <c r="G721" s="88">
        <v>0.83</v>
      </c>
      <c r="H721" s="40"/>
      <c r="I721" s="6"/>
    </row>
    <row r="722" spans="1:9" ht="12.2" customHeight="1" x14ac:dyDescent="0.2">
      <c r="A722" s="7"/>
      <c r="B722" s="17"/>
      <c r="C722" s="17"/>
      <c r="D722" s="85" t="s">
        <v>1462</v>
      </c>
      <c r="E722" s="267" t="s">
        <v>1709</v>
      </c>
      <c r="F722" s="267"/>
      <c r="G722" s="88">
        <v>0.31</v>
      </c>
      <c r="H722" s="40"/>
      <c r="I722" s="6"/>
    </row>
    <row r="723" spans="1:9" ht="12.2" customHeight="1" x14ac:dyDescent="0.2">
      <c r="A723" s="7"/>
      <c r="B723" s="17"/>
      <c r="C723" s="17"/>
      <c r="D723" s="85" t="s">
        <v>1463</v>
      </c>
      <c r="E723" s="267" t="s">
        <v>1723</v>
      </c>
      <c r="F723" s="267"/>
      <c r="G723" s="88">
        <v>0.57999999999999996</v>
      </c>
      <c r="H723" s="40"/>
      <c r="I723" s="6"/>
    </row>
    <row r="724" spans="1:9" ht="12.2" customHeight="1" x14ac:dyDescent="0.2">
      <c r="A724" s="7"/>
      <c r="B724" s="17"/>
      <c r="C724" s="17"/>
      <c r="D724" s="85" t="s">
        <v>1464</v>
      </c>
      <c r="E724" s="267" t="s">
        <v>1724</v>
      </c>
      <c r="F724" s="267"/>
      <c r="G724" s="88">
        <v>7.36</v>
      </c>
      <c r="H724" s="40"/>
      <c r="I724" s="6"/>
    </row>
    <row r="725" spans="1:9" ht="12.2" customHeight="1" x14ac:dyDescent="0.2">
      <c r="A725" s="7"/>
      <c r="B725" s="17"/>
      <c r="C725" s="17"/>
      <c r="D725" s="85" t="s">
        <v>1465</v>
      </c>
      <c r="E725" s="267" t="s">
        <v>1725</v>
      </c>
      <c r="F725" s="267"/>
      <c r="G725" s="88">
        <v>12.19</v>
      </c>
      <c r="H725" s="40"/>
      <c r="I725" s="6"/>
    </row>
    <row r="726" spans="1:9" ht="12.2" customHeight="1" x14ac:dyDescent="0.2">
      <c r="A726" s="7"/>
      <c r="B726" s="17"/>
      <c r="C726" s="17"/>
      <c r="D726" s="85" t="s">
        <v>1466</v>
      </c>
      <c r="E726" s="267" t="s">
        <v>1726</v>
      </c>
      <c r="F726" s="267"/>
      <c r="G726" s="88">
        <v>2.08</v>
      </c>
      <c r="H726" s="40"/>
      <c r="I726" s="6"/>
    </row>
    <row r="727" spans="1:9" ht="12.2" customHeight="1" x14ac:dyDescent="0.2">
      <c r="A727" s="7"/>
      <c r="B727" s="17"/>
      <c r="C727" s="17"/>
      <c r="D727" s="85" t="s">
        <v>1467</v>
      </c>
      <c r="E727" s="267" t="s">
        <v>1727</v>
      </c>
      <c r="F727" s="267"/>
      <c r="G727" s="88">
        <v>1.81</v>
      </c>
      <c r="H727" s="40"/>
      <c r="I727" s="6"/>
    </row>
    <row r="728" spans="1:9" ht="12.2" customHeight="1" x14ac:dyDescent="0.2">
      <c r="A728" s="7"/>
      <c r="B728" s="17"/>
      <c r="C728" s="17"/>
      <c r="D728" s="85" t="s">
        <v>1468</v>
      </c>
      <c r="E728" s="267" t="s">
        <v>1728</v>
      </c>
      <c r="F728" s="267"/>
      <c r="G728" s="88">
        <v>0.92</v>
      </c>
      <c r="H728" s="40"/>
      <c r="I728" s="6"/>
    </row>
    <row r="729" spans="1:9" ht="12.2" customHeight="1" x14ac:dyDescent="0.2">
      <c r="A729" s="7"/>
      <c r="B729" s="17"/>
      <c r="C729" s="17"/>
      <c r="D729" s="85" t="s">
        <v>1469</v>
      </c>
      <c r="E729" s="267" t="s">
        <v>1694</v>
      </c>
      <c r="F729" s="267"/>
      <c r="G729" s="88">
        <v>1.05</v>
      </c>
      <c r="H729" s="40"/>
      <c r="I729" s="6"/>
    </row>
    <row r="730" spans="1:9" ht="12.2" customHeight="1" x14ac:dyDescent="0.2">
      <c r="A730" s="7"/>
      <c r="B730" s="17"/>
      <c r="C730" s="17"/>
      <c r="D730" s="85" t="s">
        <v>1470</v>
      </c>
      <c r="E730" s="267" t="s">
        <v>1695</v>
      </c>
      <c r="F730" s="267"/>
      <c r="G730" s="88">
        <v>0.22</v>
      </c>
      <c r="H730" s="40"/>
      <c r="I730" s="6"/>
    </row>
    <row r="731" spans="1:9" ht="12.2" customHeight="1" x14ac:dyDescent="0.2">
      <c r="A731" s="7"/>
      <c r="B731" s="17"/>
      <c r="C731" s="17"/>
      <c r="D731" s="85" t="s">
        <v>1471</v>
      </c>
      <c r="E731" s="267"/>
      <c r="F731" s="267"/>
      <c r="G731" s="88">
        <v>2.0099999999999998</v>
      </c>
      <c r="H731" s="40"/>
      <c r="I731" s="6"/>
    </row>
    <row r="732" spans="1:9" x14ac:dyDescent="0.2">
      <c r="A732" s="7" t="s">
        <v>179</v>
      </c>
      <c r="B732" s="17" t="s">
        <v>305</v>
      </c>
      <c r="C732" s="17" t="s">
        <v>460</v>
      </c>
      <c r="D732" s="241" t="s">
        <v>838</v>
      </c>
      <c r="E732" s="242"/>
      <c r="F732" s="17" t="s">
        <v>1042</v>
      </c>
      <c r="G732" s="28">
        <v>58.2</v>
      </c>
      <c r="H732" s="93">
        <v>0</v>
      </c>
      <c r="I732" s="6"/>
    </row>
    <row r="733" spans="1:9" ht="12.2" customHeight="1" x14ac:dyDescent="0.2">
      <c r="A733" s="7"/>
      <c r="B733" s="17"/>
      <c r="C733" s="17"/>
      <c r="D733" s="85" t="s">
        <v>1306</v>
      </c>
      <c r="E733" s="267" t="s">
        <v>1690</v>
      </c>
      <c r="F733" s="267"/>
      <c r="G733" s="88">
        <v>14.03</v>
      </c>
      <c r="H733" s="40"/>
      <c r="I733" s="6"/>
    </row>
    <row r="734" spans="1:9" ht="12.2" customHeight="1" x14ac:dyDescent="0.2">
      <c r="A734" s="7"/>
      <c r="B734" s="17"/>
      <c r="C734" s="17"/>
      <c r="D734" s="85" t="s">
        <v>1307</v>
      </c>
      <c r="E734" s="267" t="s">
        <v>1691</v>
      </c>
      <c r="F734" s="267"/>
      <c r="G734" s="88">
        <v>17.350000000000001</v>
      </c>
      <c r="H734" s="40"/>
      <c r="I734" s="6"/>
    </row>
    <row r="735" spans="1:9" ht="12.2" customHeight="1" x14ac:dyDescent="0.2">
      <c r="A735" s="7"/>
      <c r="B735" s="17"/>
      <c r="C735" s="17"/>
      <c r="D735" s="85" t="s">
        <v>1308</v>
      </c>
      <c r="E735" s="267" t="s">
        <v>1692</v>
      </c>
      <c r="F735" s="267"/>
      <c r="G735" s="88">
        <v>9.36</v>
      </c>
      <c r="H735" s="40"/>
      <c r="I735" s="6"/>
    </row>
    <row r="736" spans="1:9" ht="12.2" customHeight="1" x14ac:dyDescent="0.2">
      <c r="A736" s="7"/>
      <c r="B736" s="17"/>
      <c r="C736" s="17"/>
      <c r="D736" s="85" t="s">
        <v>1312</v>
      </c>
      <c r="E736" s="267" t="s">
        <v>1696</v>
      </c>
      <c r="F736" s="267"/>
      <c r="G736" s="88">
        <v>8.34</v>
      </c>
      <c r="H736" s="40"/>
      <c r="I736" s="6"/>
    </row>
    <row r="737" spans="1:9" ht="12.2" customHeight="1" x14ac:dyDescent="0.2">
      <c r="A737" s="7"/>
      <c r="B737" s="17"/>
      <c r="C737" s="17"/>
      <c r="D737" s="85" t="s">
        <v>1309</v>
      </c>
      <c r="E737" s="267" t="s">
        <v>1693</v>
      </c>
      <c r="F737" s="267"/>
      <c r="G737" s="88">
        <v>6.35</v>
      </c>
      <c r="H737" s="40"/>
      <c r="I737" s="6"/>
    </row>
    <row r="738" spans="1:9" ht="12.2" customHeight="1" x14ac:dyDescent="0.2">
      <c r="A738" s="7"/>
      <c r="B738" s="17"/>
      <c r="C738" s="17"/>
      <c r="D738" s="85" t="s">
        <v>1472</v>
      </c>
      <c r="E738" s="267"/>
      <c r="F738" s="267"/>
      <c r="G738" s="88">
        <v>2.77</v>
      </c>
      <c r="H738" s="40"/>
      <c r="I738" s="6"/>
    </row>
    <row r="739" spans="1:9" x14ac:dyDescent="0.2">
      <c r="A739" s="7" t="s">
        <v>180</v>
      </c>
      <c r="B739" s="17" t="s">
        <v>305</v>
      </c>
      <c r="C739" s="17" t="s">
        <v>461</v>
      </c>
      <c r="D739" s="241" t="s">
        <v>839</v>
      </c>
      <c r="E739" s="242"/>
      <c r="F739" s="17" t="s">
        <v>1042</v>
      </c>
      <c r="G739" s="28">
        <v>58.2</v>
      </c>
      <c r="H739" s="93">
        <v>0</v>
      </c>
      <c r="I739" s="6"/>
    </row>
    <row r="740" spans="1:9" ht="12.2" customHeight="1" x14ac:dyDescent="0.2">
      <c r="A740" s="7"/>
      <c r="B740" s="17"/>
      <c r="C740" s="17"/>
      <c r="D740" s="85" t="s">
        <v>1306</v>
      </c>
      <c r="E740" s="267" t="s">
        <v>1690</v>
      </c>
      <c r="F740" s="267"/>
      <c r="G740" s="88">
        <v>14.03</v>
      </c>
      <c r="H740" s="40"/>
      <c r="I740" s="6"/>
    </row>
    <row r="741" spans="1:9" ht="12.2" customHeight="1" x14ac:dyDescent="0.2">
      <c r="A741" s="7"/>
      <c r="B741" s="17"/>
      <c r="C741" s="17"/>
      <c r="D741" s="85" t="s">
        <v>1307</v>
      </c>
      <c r="E741" s="267" t="s">
        <v>1691</v>
      </c>
      <c r="F741" s="267"/>
      <c r="G741" s="88">
        <v>17.350000000000001</v>
      </c>
      <c r="H741" s="40"/>
      <c r="I741" s="6"/>
    </row>
    <row r="742" spans="1:9" ht="12.2" customHeight="1" x14ac:dyDescent="0.2">
      <c r="A742" s="7"/>
      <c r="B742" s="17"/>
      <c r="C742" s="17"/>
      <c r="D742" s="85" t="s">
        <v>1308</v>
      </c>
      <c r="E742" s="267" t="s">
        <v>1692</v>
      </c>
      <c r="F742" s="267"/>
      <c r="G742" s="88">
        <v>9.36</v>
      </c>
      <c r="H742" s="40"/>
      <c r="I742" s="6"/>
    </row>
    <row r="743" spans="1:9" ht="12.2" customHeight="1" x14ac:dyDescent="0.2">
      <c r="A743" s="7"/>
      <c r="B743" s="17"/>
      <c r="C743" s="17"/>
      <c r="D743" s="85" t="s">
        <v>1312</v>
      </c>
      <c r="E743" s="267" t="s">
        <v>1696</v>
      </c>
      <c r="F743" s="267"/>
      <c r="G743" s="88">
        <v>8.34</v>
      </c>
      <c r="H743" s="40"/>
      <c r="I743" s="6"/>
    </row>
    <row r="744" spans="1:9" ht="12.2" customHeight="1" x14ac:dyDescent="0.2">
      <c r="A744" s="7"/>
      <c r="B744" s="17"/>
      <c r="C744" s="17"/>
      <c r="D744" s="85" t="s">
        <v>1309</v>
      </c>
      <c r="E744" s="267" t="s">
        <v>1693</v>
      </c>
      <c r="F744" s="267"/>
      <c r="G744" s="88">
        <v>6.35</v>
      </c>
      <c r="H744" s="40"/>
      <c r="I744" s="6"/>
    </row>
    <row r="745" spans="1:9" ht="12.2" customHeight="1" x14ac:dyDescent="0.2">
      <c r="A745" s="7"/>
      <c r="B745" s="17"/>
      <c r="C745" s="17"/>
      <c r="D745" s="85" t="s">
        <v>1472</v>
      </c>
      <c r="E745" s="267"/>
      <c r="F745" s="267"/>
      <c r="G745" s="88">
        <v>2.77</v>
      </c>
      <c r="H745" s="40"/>
      <c r="I745" s="6"/>
    </row>
    <row r="746" spans="1:9" x14ac:dyDescent="0.2">
      <c r="A746" s="5" t="s">
        <v>181</v>
      </c>
      <c r="B746" s="16" t="s">
        <v>305</v>
      </c>
      <c r="C746" s="16" t="s">
        <v>462</v>
      </c>
      <c r="D746" s="243" t="s">
        <v>840</v>
      </c>
      <c r="E746" s="244"/>
      <c r="F746" s="16" t="s">
        <v>1044</v>
      </c>
      <c r="G746" s="27">
        <v>276.61</v>
      </c>
      <c r="H746" s="91">
        <v>0</v>
      </c>
      <c r="I746" s="6"/>
    </row>
    <row r="747" spans="1:9" ht="12.2" customHeight="1" x14ac:dyDescent="0.2">
      <c r="A747" s="5"/>
      <c r="B747" s="16"/>
      <c r="C747" s="16"/>
      <c r="D747" s="85" t="s">
        <v>1473</v>
      </c>
      <c r="E747" s="267" t="s">
        <v>1721</v>
      </c>
      <c r="F747" s="267"/>
      <c r="G747" s="87">
        <v>36.76</v>
      </c>
      <c r="H747" s="39"/>
      <c r="I747" s="6"/>
    </row>
    <row r="748" spans="1:9" ht="12.2" customHeight="1" x14ac:dyDescent="0.2">
      <c r="A748" s="5"/>
      <c r="B748" s="16"/>
      <c r="C748" s="16"/>
      <c r="D748" s="85" t="s">
        <v>1474</v>
      </c>
      <c r="E748" s="267" t="s">
        <v>1707</v>
      </c>
      <c r="F748" s="267"/>
      <c r="G748" s="87">
        <v>13.97</v>
      </c>
      <c r="H748" s="39"/>
      <c r="I748" s="6"/>
    </row>
    <row r="749" spans="1:9" ht="12.2" customHeight="1" x14ac:dyDescent="0.2">
      <c r="A749" s="5"/>
      <c r="B749" s="16"/>
      <c r="C749" s="16"/>
      <c r="D749" s="85" t="s">
        <v>1475</v>
      </c>
      <c r="E749" s="267" t="s">
        <v>1722</v>
      </c>
      <c r="F749" s="267"/>
      <c r="G749" s="87">
        <v>8.86</v>
      </c>
      <c r="H749" s="39"/>
      <c r="I749" s="6"/>
    </row>
    <row r="750" spans="1:9" ht="12.2" customHeight="1" x14ac:dyDescent="0.2">
      <c r="A750" s="5"/>
      <c r="B750" s="16"/>
      <c r="C750" s="16"/>
      <c r="D750" s="85" t="s">
        <v>1476</v>
      </c>
      <c r="E750" s="267" t="s">
        <v>1709</v>
      </c>
      <c r="F750" s="267"/>
      <c r="G750" s="87">
        <v>5.5</v>
      </c>
      <c r="H750" s="39"/>
      <c r="I750" s="6"/>
    </row>
    <row r="751" spans="1:9" ht="12.2" customHeight="1" x14ac:dyDescent="0.2">
      <c r="A751" s="5"/>
      <c r="B751" s="16"/>
      <c r="C751" s="16"/>
      <c r="D751" s="85" t="s">
        <v>1477</v>
      </c>
      <c r="E751" s="267" t="s">
        <v>1723</v>
      </c>
      <c r="F751" s="267"/>
      <c r="G751" s="87">
        <v>8.49</v>
      </c>
      <c r="H751" s="39"/>
      <c r="I751" s="6"/>
    </row>
    <row r="752" spans="1:9" ht="12.2" customHeight="1" x14ac:dyDescent="0.2">
      <c r="A752" s="5"/>
      <c r="B752" s="16"/>
      <c r="C752" s="16"/>
      <c r="D752" s="85" t="s">
        <v>1478</v>
      </c>
      <c r="E752" s="267" t="s">
        <v>1724</v>
      </c>
      <c r="F752" s="267"/>
      <c r="G752" s="87">
        <v>27.43</v>
      </c>
      <c r="H752" s="39"/>
      <c r="I752" s="6"/>
    </row>
    <row r="753" spans="1:9" ht="12.2" customHeight="1" x14ac:dyDescent="0.2">
      <c r="A753" s="5"/>
      <c r="B753" s="16"/>
      <c r="C753" s="16"/>
      <c r="D753" s="85" t="s">
        <v>1479</v>
      </c>
      <c r="E753" s="267" t="s">
        <v>1725</v>
      </c>
      <c r="F753" s="267"/>
      <c r="G753" s="87">
        <v>38.11</v>
      </c>
      <c r="H753" s="39"/>
      <c r="I753" s="6"/>
    </row>
    <row r="754" spans="1:9" ht="12.2" customHeight="1" x14ac:dyDescent="0.2">
      <c r="A754" s="5"/>
      <c r="B754" s="16"/>
      <c r="C754" s="16"/>
      <c r="D754" s="85" t="s">
        <v>1480</v>
      </c>
      <c r="E754" s="267" t="s">
        <v>1726</v>
      </c>
      <c r="F754" s="267"/>
      <c r="G754" s="87">
        <v>15.36</v>
      </c>
      <c r="H754" s="39"/>
      <c r="I754" s="6"/>
    </row>
    <row r="755" spans="1:9" ht="12.2" customHeight="1" x14ac:dyDescent="0.2">
      <c r="A755" s="5"/>
      <c r="B755" s="16"/>
      <c r="C755" s="16"/>
      <c r="D755" s="85" t="s">
        <v>1481</v>
      </c>
      <c r="E755" s="267" t="s">
        <v>1727</v>
      </c>
      <c r="F755" s="267"/>
      <c r="G755" s="87">
        <v>22.54</v>
      </c>
      <c r="H755" s="39"/>
      <c r="I755" s="6"/>
    </row>
    <row r="756" spans="1:9" ht="12.2" customHeight="1" x14ac:dyDescent="0.2">
      <c r="A756" s="5"/>
      <c r="B756" s="16"/>
      <c r="C756" s="16"/>
      <c r="D756" s="85" t="s">
        <v>1482</v>
      </c>
      <c r="E756" s="267" t="s">
        <v>1728</v>
      </c>
      <c r="F756" s="267"/>
      <c r="G756" s="87">
        <v>12.17</v>
      </c>
      <c r="H756" s="39"/>
      <c r="I756" s="6"/>
    </row>
    <row r="757" spans="1:9" ht="12.2" customHeight="1" x14ac:dyDescent="0.2">
      <c r="A757" s="5"/>
      <c r="B757" s="16"/>
      <c r="C757" s="16"/>
      <c r="D757" s="85" t="s">
        <v>1483</v>
      </c>
      <c r="E757" s="267" t="s">
        <v>1694</v>
      </c>
      <c r="F757" s="267"/>
      <c r="G757" s="87">
        <v>12.5</v>
      </c>
      <c r="H757" s="39"/>
      <c r="I757" s="6"/>
    </row>
    <row r="758" spans="1:9" ht="12.2" customHeight="1" x14ac:dyDescent="0.2">
      <c r="A758" s="5"/>
      <c r="B758" s="16"/>
      <c r="C758" s="16"/>
      <c r="D758" s="85" t="s">
        <v>1484</v>
      </c>
      <c r="E758" s="267" t="s">
        <v>1695</v>
      </c>
      <c r="F758" s="267"/>
      <c r="G758" s="87">
        <v>5.07</v>
      </c>
      <c r="H758" s="39"/>
      <c r="I758" s="6"/>
    </row>
    <row r="759" spans="1:9" ht="12.2" customHeight="1" x14ac:dyDescent="0.2">
      <c r="A759" s="5"/>
      <c r="B759" s="16"/>
      <c r="C759" s="16"/>
      <c r="D759" s="85" t="s">
        <v>1485</v>
      </c>
      <c r="E759" s="267" t="s">
        <v>1690</v>
      </c>
      <c r="F759" s="267"/>
      <c r="G759" s="87">
        <v>15.03</v>
      </c>
      <c r="H759" s="39"/>
      <c r="I759" s="6"/>
    </row>
    <row r="760" spans="1:9" ht="12.2" customHeight="1" x14ac:dyDescent="0.2">
      <c r="A760" s="5"/>
      <c r="B760" s="16"/>
      <c r="C760" s="16"/>
      <c r="D760" s="85" t="s">
        <v>1486</v>
      </c>
      <c r="E760" s="267" t="s">
        <v>1691</v>
      </c>
      <c r="F760" s="267"/>
      <c r="G760" s="87">
        <v>16.68</v>
      </c>
      <c r="H760" s="39"/>
      <c r="I760" s="6"/>
    </row>
    <row r="761" spans="1:9" ht="12.2" customHeight="1" x14ac:dyDescent="0.2">
      <c r="A761" s="5"/>
      <c r="B761" s="16"/>
      <c r="C761" s="16"/>
      <c r="D761" s="85" t="s">
        <v>1487</v>
      </c>
      <c r="E761" s="267" t="s">
        <v>1692</v>
      </c>
      <c r="F761" s="267"/>
      <c r="G761" s="87">
        <v>12.57</v>
      </c>
      <c r="H761" s="39"/>
      <c r="I761" s="6"/>
    </row>
    <row r="762" spans="1:9" ht="12.2" customHeight="1" x14ac:dyDescent="0.2">
      <c r="A762" s="5"/>
      <c r="B762" s="16"/>
      <c r="C762" s="16"/>
      <c r="D762" s="85" t="s">
        <v>1488</v>
      </c>
      <c r="E762" s="267" t="s">
        <v>1696</v>
      </c>
      <c r="F762" s="267"/>
      <c r="G762" s="87">
        <v>11.42</v>
      </c>
      <c r="H762" s="39"/>
      <c r="I762" s="6"/>
    </row>
    <row r="763" spans="1:9" ht="12.2" customHeight="1" x14ac:dyDescent="0.2">
      <c r="A763" s="5"/>
      <c r="B763" s="16"/>
      <c r="C763" s="16"/>
      <c r="D763" s="85" t="s">
        <v>1489</v>
      </c>
      <c r="E763" s="267" t="s">
        <v>1693</v>
      </c>
      <c r="F763" s="267"/>
      <c r="G763" s="87">
        <v>14.15</v>
      </c>
      <c r="H763" s="39"/>
      <c r="I763" s="6"/>
    </row>
    <row r="764" spans="1:9" x14ac:dyDescent="0.2">
      <c r="A764" s="5" t="s">
        <v>182</v>
      </c>
      <c r="B764" s="16" t="s">
        <v>305</v>
      </c>
      <c r="C764" s="16" t="s">
        <v>463</v>
      </c>
      <c r="D764" s="243" t="s">
        <v>842</v>
      </c>
      <c r="E764" s="244"/>
      <c r="F764" s="16" t="s">
        <v>1042</v>
      </c>
      <c r="G764" s="27">
        <v>299.04000000000002</v>
      </c>
      <c r="H764" s="91">
        <v>0</v>
      </c>
      <c r="I764" s="6"/>
    </row>
    <row r="765" spans="1:9" ht="12.2" customHeight="1" x14ac:dyDescent="0.2">
      <c r="A765" s="5"/>
      <c r="B765" s="16"/>
      <c r="C765" s="16"/>
      <c r="D765" s="85" t="s">
        <v>1453</v>
      </c>
      <c r="E765" s="267" t="s">
        <v>1721</v>
      </c>
      <c r="F765" s="267"/>
      <c r="G765" s="87">
        <v>62.32</v>
      </c>
      <c r="H765" s="39"/>
      <c r="I765" s="6"/>
    </row>
    <row r="766" spans="1:9" ht="12.2" customHeight="1" x14ac:dyDescent="0.2">
      <c r="A766" s="5"/>
      <c r="B766" s="16"/>
      <c r="C766" s="16"/>
      <c r="D766" s="85" t="s">
        <v>1454</v>
      </c>
      <c r="E766" s="267" t="s">
        <v>1707</v>
      </c>
      <c r="F766" s="267"/>
      <c r="G766" s="87">
        <v>8.98</v>
      </c>
      <c r="H766" s="39"/>
      <c r="I766" s="6"/>
    </row>
    <row r="767" spans="1:9" ht="12.2" customHeight="1" x14ac:dyDescent="0.2">
      <c r="A767" s="5"/>
      <c r="B767" s="16"/>
      <c r="C767" s="16"/>
      <c r="D767" s="85" t="s">
        <v>1455</v>
      </c>
      <c r="E767" s="267" t="s">
        <v>1722</v>
      </c>
      <c r="F767" s="267"/>
      <c r="G767" s="87">
        <v>4.63</v>
      </c>
      <c r="H767" s="39"/>
      <c r="I767" s="6"/>
    </row>
    <row r="768" spans="1:9" ht="12.2" customHeight="1" x14ac:dyDescent="0.2">
      <c r="A768" s="5"/>
      <c r="B768" s="16"/>
      <c r="C768" s="16"/>
      <c r="D768" s="85" t="s">
        <v>1456</v>
      </c>
      <c r="E768" s="267" t="s">
        <v>1709</v>
      </c>
      <c r="F768" s="267"/>
      <c r="G768" s="87">
        <v>1.74</v>
      </c>
      <c r="H768" s="39"/>
      <c r="I768" s="6"/>
    </row>
    <row r="769" spans="1:9" ht="12.2" customHeight="1" x14ac:dyDescent="0.2">
      <c r="A769" s="5"/>
      <c r="B769" s="16"/>
      <c r="C769" s="16"/>
      <c r="D769" s="85" t="s">
        <v>1457</v>
      </c>
      <c r="E769" s="267" t="s">
        <v>1723</v>
      </c>
      <c r="F769" s="267"/>
      <c r="G769" s="87">
        <v>3.25</v>
      </c>
      <c r="H769" s="39"/>
      <c r="I769" s="6"/>
    </row>
    <row r="770" spans="1:9" ht="12.2" customHeight="1" x14ac:dyDescent="0.2">
      <c r="A770" s="5"/>
      <c r="B770" s="16"/>
      <c r="C770" s="16"/>
      <c r="D770" s="85" t="s">
        <v>1458</v>
      </c>
      <c r="E770" s="267" t="s">
        <v>1724</v>
      </c>
      <c r="F770" s="267"/>
      <c r="G770" s="87">
        <v>40.89</v>
      </c>
      <c r="H770" s="39"/>
      <c r="I770" s="6"/>
    </row>
    <row r="771" spans="1:9" ht="12.2" customHeight="1" x14ac:dyDescent="0.2">
      <c r="A771" s="5"/>
      <c r="B771" s="16"/>
      <c r="C771" s="16"/>
      <c r="D771" s="85" t="s">
        <v>1403</v>
      </c>
      <c r="E771" s="267" t="s">
        <v>1725</v>
      </c>
      <c r="F771" s="267"/>
      <c r="G771" s="87">
        <v>81.27</v>
      </c>
      <c r="H771" s="39"/>
      <c r="I771" s="6"/>
    </row>
    <row r="772" spans="1:9" ht="12.2" customHeight="1" x14ac:dyDescent="0.2">
      <c r="A772" s="5"/>
      <c r="B772" s="16"/>
      <c r="C772" s="16"/>
      <c r="D772" s="85" t="s">
        <v>1404</v>
      </c>
      <c r="E772" s="267" t="s">
        <v>1726</v>
      </c>
      <c r="F772" s="267"/>
      <c r="G772" s="87">
        <v>13.85</v>
      </c>
      <c r="H772" s="39"/>
      <c r="I772" s="6"/>
    </row>
    <row r="773" spans="1:9" ht="12.2" customHeight="1" x14ac:dyDescent="0.2">
      <c r="A773" s="5"/>
      <c r="B773" s="16"/>
      <c r="C773" s="16"/>
      <c r="D773" s="85" t="s">
        <v>1405</v>
      </c>
      <c r="E773" s="267" t="s">
        <v>1727</v>
      </c>
      <c r="F773" s="267"/>
      <c r="G773" s="87">
        <v>12.08</v>
      </c>
      <c r="H773" s="39"/>
      <c r="I773" s="6"/>
    </row>
    <row r="774" spans="1:9" ht="12.2" customHeight="1" x14ac:dyDescent="0.2">
      <c r="A774" s="5"/>
      <c r="B774" s="16"/>
      <c r="C774" s="16"/>
      <c r="D774" s="85" t="s">
        <v>1406</v>
      </c>
      <c r="E774" s="267" t="s">
        <v>1728</v>
      </c>
      <c r="F774" s="267"/>
      <c r="G774" s="87">
        <v>6.11</v>
      </c>
      <c r="H774" s="39"/>
      <c r="I774" s="6"/>
    </row>
    <row r="775" spans="1:9" ht="12.2" customHeight="1" x14ac:dyDescent="0.2">
      <c r="A775" s="5"/>
      <c r="B775" s="16"/>
      <c r="C775" s="16"/>
      <c r="D775" s="85" t="s">
        <v>1310</v>
      </c>
      <c r="E775" s="267" t="s">
        <v>1694</v>
      </c>
      <c r="F775" s="267"/>
      <c r="G775" s="87">
        <v>7</v>
      </c>
      <c r="H775" s="39"/>
      <c r="I775" s="6"/>
    </row>
    <row r="776" spans="1:9" ht="12.2" customHeight="1" x14ac:dyDescent="0.2">
      <c r="A776" s="5"/>
      <c r="B776" s="16"/>
      <c r="C776" s="16"/>
      <c r="D776" s="85" t="s">
        <v>1311</v>
      </c>
      <c r="E776" s="267" t="s">
        <v>1695</v>
      </c>
      <c r="F776" s="267"/>
      <c r="G776" s="87">
        <v>1.49</v>
      </c>
      <c r="H776" s="39"/>
      <c r="I776" s="6"/>
    </row>
    <row r="777" spans="1:9" ht="12.2" customHeight="1" x14ac:dyDescent="0.2">
      <c r="A777" s="5"/>
      <c r="B777" s="16"/>
      <c r="C777" s="16"/>
      <c r="D777" s="85" t="s">
        <v>1306</v>
      </c>
      <c r="E777" s="267" t="s">
        <v>1690</v>
      </c>
      <c r="F777" s="267"/>
      <c r="G777" s="87">
        <v>14.03</v>
      </c>
      <c r="H777" s="39"/>
      <c r="I777" s="6"/>
    </row>
    <row r="778" spans="1:9" ht="12.2" customHeight="1" x14ac:dyDescent="0.2">
      <c r="A778" s="5"/>
      <c r="B778" s="16"/>
      <c r="C778" s="16"/>
      <c r="D778" s="85" t="s">
        <v>1307</v>
      </c>
      <c r="E778" s="267" t="s">
        <v>1691</v>
      </c>
      <c r="F778" s="267"/>
      <c r="G778" s="87">
        <v>17.350000000000001</v>
      </c>
      <c r="H778" s="39"/>
      <c r="I778" s="6"/>
    </row>
    <row r="779" spans="1:9" ht="12.2" customHeight="1" x14ac:dyDescent="0.2">
      <c r="A779" s="5"/>
      <c r="B779" s="16"/>
      <c r="C779" s="16"/>
      <c r="D779" s="85" t="s">
        <v>1308</v>
      </c>
      <c r="E779" s="267" t="s">
        <v>1692</v>
      </c>
      <c r="F779" s="267"/>
      <c r="G779" s="87">
        <v>9.36</v>
      </c>
      <c r="H779" s="39"/>
      <c r="I779" s="6"/>
    </row>
    <row r="780" spans="1:9" ht="12.2" customHeight="1" x14ac:dyDescent="0.2">
      <c r="A780" s="5"/>
      <c r="B780" s="16"/>
      <c r="C780" s="16"/>
      <c r="D780" s="85" t="s">
        <v>1312</v>
      </c>
      <c r="E780" s="267" t="s">
        <v>1696</v>
      </c>
      <c r="F780" s="267"/>
      <c r="G780" s="87">
        <v>8.34</v>
      </c>
      <c r="H780" s="39"/>
      <c r="I780" s="6"/>
    </row>
    <row r="781" spans="1:9" ht="12.2" customHeight="1" x14ac:dyDescent="0.2">
      <c r="A781" s="5"/>
      <c r="B781" s="16"/>
      <c r="C781" s="16"/>
      <c r="D781" s="85" t="s">
        <v>1309</v>
      </c>
      <c r="E781" s="267" t="s">
        <v>1693</v>
      </c>
      <c r="F781" s="267"/>
      <c r="G781" s="87">
        <v>6.35</v>
      </c>
      <c r="H781" s="39"/>
      <c r="I781" s="6"/>
    </row>
    <row r="782" spans="1:9" x14ac:dyDescent="0.2">
      <c r="A782" s="5" t="s">
        <v>183</v>
      </c>
      <c r="B782" s="16" t="s">
        <v>305</v>
      </c>
      <c r="C782" s="16" t="s">
        <v>464</v>
      </c>
      <c r="D782" s="243" t="s">
        <v>844</v>
      </c>
      <c r="E782" s="244"/>
      <c r="F782" s="16" t="s">
        <v>1043</v>
      </c>
      <c r="G782" s="27">
        <v>3.66</v>
      </c>
      <c r="H782" s="91">
        <v>0</v>
      </c>
      <c r="I782" s="6"/>
    </row>
    <row r="783" spans="1:9" x14ac:dyDescent="0.2">
      <c r="A783" s="82"/>
      <c r="B783" s="15"/>
      <c r="C783" s="15" t="s">
        <v>465</v>
      </c>
      <c r="D783" s="237" t="s">
        <v>845</v>
      </c>
      <c r="E783" s="238"/>
      <c r="F783" s="15"/>
      <c r="G783" s="51"/>
      <c r="H783" s="38"/>
      <c r="I783" s="6"/>
    </row>
    <row r="784" spans="1:9" x14ac:dyDescent="0.2">
      <c r="A784" s="5" t="s">
        <v>184</v>
      </c>
      <c r="B784" s="16" t="s">
        <v>305</v>
      </c>
      <c r="C784" s="16" t="s">
        <v>466</v>
      </c>
      <c r="D784" s="243" t="s">
        <v>846</v>
      </c>
      <c r="E784" s="244"/>
      <c r="F784" s="16" t="s">
        <v>1045</v>
      </c>
      <c r="G784" s="27">
        <v>4</v>
      </c>
      <c r="H784" s="91">
        <v>0</v>
      </c>
      <c r="I784" s="6"/>
    </row>
    <row r="785" spans="1:9" ht="12.2" customHeight="1" x14ac:dyDescent="0.2">
      <c r="A785" s="5"/>
      <c r="B785" s="16"/>
      <c r="C785" s="16"/>
      <c r="D785" s="85" t="s">
        <v>8</v>
      </c>
      <c r="E785" s="267" t="s">
        <v>1743</v>
      </c>
      <c r="F785" s="267"/>
      <c r="G785" s="87">
        <v>2</v>
      </c>
      <c r="H785" s="39"/>
      <c r="I785" s="6"/>
    </row>
    <row r="786" spans="1:9" ht="12.2" customHeight="1" x14ac:dyDescent="0.2">
      <c r="A786" s="5"/>
      <c r="B786" s="16"/>
      <c r="C786" s="16"/>
      <c r="D786" s="85" t="s">
        <v>8</v>
      </c>
      <c r="E786" s="267" t="s">
        <v>1744</v>
      </c>
      <c r="F786" s="267"/>
      <c r="G786" s="87">
        <v>2</v>
      </c>
      <c r="H786" s="39"/>
      <c r="I786" s="6"/>
    </row>
    <row r="787" spans="1:9" x14ac:dyDescent="0.2">
      <c r="A787" s="5" t="s">
        <v>185</v>
      </c>
      <c r="B787" s="16" t="s">
        <v>305</v>
      </c>
      <c r="C787" s="16" t="s">
        <v>467</v>
      </c>
      <c r="D787" s="243" t="s">
        <v>848</v>
      </c>
      <c r="E787" s="244"/>
      <c r="F787" s="16" t="s">
        <v>1043</v>
      </c>
      <c r="G787" s="27">
        <v>0.34</v>
      </c>
      <c r="H787" s="91">
        <v>0</v>
      </c>
      <c r="I787" s="6"/>
    </row>
    <row r="788" spans="1:9" x14ac:dyDescent="0.2">
      <c r="A788" s="82"/>
      <c r="B788" s="15"/>
      <c r="C788" s="15" t="s">
        <v>468</v>
      </c>
      <c r="D788" s="237" t="s">
        <v>849</v>
      </c>
      <c r="E788" s="238"/>
      <c r="F788" s="15"/>
      <c r="G788" s="51"/>
      <c r="H788" s="38"/>
      <c r="I788" s="6"/>
    </row>
    <row r="789" spans="1:9" x14ac:dyDescent="0.2">
      <c r="A789" s="5" t="s">
        <v>186</v>
      </c>
      <c r="B789" s="16" t="s">
        <v>305</v>
      </c>
      <c r="C789" s="16" t="s">
        <v>469</v>
      </c>
      <c r="D789" s="243" t="s">
        <v>850</v>
      </c>
      <c r="E789" s="244"/>
      <c r="F789" s="16" t="s">
        <v>1042</v>
      </c>
      <c r="G789" s="27">
        <v>177.36</v>
      </c>
      <c r="H789" s="91">
        <v>0</v>
      </c>
      <c r="I789" s="6"/>
    </row>
    <row r="790" spans="1:9" ht="12.2" customHeight="1" x14ac:dyDescent="0.2">
      <c r="A790" s="5"/>
      <c r="B790" s="16"/>
      <c r="C790" s="16"/>
      <c r="D790" s="85" t="s">
        <v>1409</v>
      </c>
      <c r="E790" s="267" t="s">
        <v>1730</v>
      </c>
      <c r="F790" s="267"/>
      <c r="G790" s="87">
        <v>122.76</v>
      </c>
      <c r="H790" s="39"/>
      <c r="I790" s="6"/>
    </row>
    <row r="791" spans="1:9" ht="12.2" customHeight="1" x14ac:dyDescent="0.2">
      <c r="A791" s="5"/>
      <c r="B791" s="16"/>
      <c r="C791" s="16"/>
      <c r="D791" s="85" t="s">
        <v>1216</v>
      </c>
      <c r="E791" s="267" t="s">
        <v>1624</v>
      </c>
      <c r="F791" s="267"/>
      <c r="G791" s="87">
        <v>-2.4</v>
      </c>
      <c r="H791" s="39"/>
      <c r="I791" s="6"/>
    </row>
    <row r="792" spans="1:9" ht="12.2" customHeight="1" x14ac:dyDescent="0.2">
      <c r="A792" s="5"/>
      <c r="B792" s="16"/>
      <c r="C792" s="16"/>
      <c r="D792" s="85" t="s">
        <v>1410</v>
      </c>
      <c r="E792" s="267" t="s">
        <v>1731</v>
      </c>
      <c r="F792" s="267"/>
      <c r="G792" s="87">
        <v>45.33</v>
      </c>
      <c r="H792" s="39"/>
      <c r="I792" s="6"/>
    </row>
    <row r="793" spans="1:9" ht="12.2" customHeight="1" x14ac:dyDescent="0.2">
      <c r="A793" s="5"/>
      <c r="B793" s="16"/>
      <c r="C793" s="16"/>
      <c r="D793" s="85" t="s">
        <v>1414</v>
      </c>
      <c r="E793" s="267" t="s">
        <v>1627</v>
      </c>
      <c r="F793" s="267"/>
      <c r="G793" s="87">
        <v>-3.23</v>
      </c>
      <c r="H793" s="39"/>
      <c r="I793" s="6"/>
    </row>
    <row r="794" spans="1:9" ht="12.2" customHeight="1" x14ac:dyDescent="0.2">
      <c r="A794" s="5"/>
      <c r="B794" s="16"/>
      <c r="C794" s="16"/>
      <c r="D794" s="85" t="s">
        <v>1411</v>
      </c>
      <c r="E794" s="267" t="s">
        <v>1732</v>
      </c>
      <c r="F794" s="267"/>
      <c r="G794" s="87">
        <v>14.9</v>
      </c>
      <c r="H794" s="39"/>
      <c r="I794" s="6"/>
    </row>
    <row r="795" spans="1:9" x14ac:dyDescent="0.2">
      <c r="A795" s="7" t="s">
        <v>187</v>
      </c>
      <c r="B795" s="17" t="s">
        <v>305</v>
      </c>
      <c r="C795" s="17" t="s">
        <v>470</v>
      </c>
      <c r="D795" s="241" t="s">
        <v>851</v>
      </c>
      <c r="E795" s="242"/>
      <c r="F795" s="17" t="s">
        <v>1042</v>
      </c>
      <c r="G795" s="28">
        <v>194.7</v>
      </c>
      <c r="H795" s="93">
        <v>0</v>
      </c>
      <c r="I795" s="6"/>
    </row>
    <row r="796" spans="1:9" ht="12.2" customHeight="1" x14ac:dyDescent="0.2">
      <c r="A796" s="7"/>
      <c r="B796" s="17"/>
      <c r="C796" s="17"/>
      <c r="D796" s="85" t="s">
        <v>183</v>
      </c>
      <c r="E796" s="267" t="s">
        <v>1745</v>
      </c>
      <c r="F796" s="267"/>
      <c r="G796" s="88">
        <v>177</v>
      </c>
      <c r="H796" s="40"/>
      <c r="I796" s="6"/>
    </row>
    <row r="797" spans="1:9" ht="12.2" customHeight="1" x14ac:dyDescent="0.2">
      <c r="A797" s="7"/>
      <c r="B797" s="17"/>
      <c r="C797" s="17"/>
      <c r="D797" s="85" t="s">
        <v>1490</v>
      </c>
      <c r="E797" s="267"/>
      <c r="F797" s="267"/>
      <c r="G797" s="88">
        <v>17.7</v>
      </c>
      <c r="H797" s="40"/>
      <c r="I797" s="6"/>
    </row>
    <row r="798" spans="1:9" x14ac:dyDescent="0.2">
      <c r="A798" s="5" t="s">
        <v>188</v>
      </c>
      <c r="B798" s="16" t="s">
        <v>305</v>
      </c>
      <c r="C798" s="16" t="s">
        <v>471</v>
      </c>
      <c r="D798" s="243" t="s">
        <v>852</v>
      </c>
      <c r="E798" s="244"/>
      <c r="F798" s="16" t="s">
        <v>1042</v>
      </c>
      <c r="G798" s="27">
        <v>31.87</v>
      </c>
      <c r="H798" s="91">
        <v>0</v>
      </c>
      <c r="I798" s="6"/>
    </row>
    <row r="799" spans="1:9" ht="12.2" customHeight="1" x14ac:dyDescent="0.2">
      <c r="A799" s="5"/>
      <c r="B799" s="16"/>
      <c r="C799" s="16"/>
      <c r="D799" s="85" t="s">
        <v>1446</v>
      </c>
      <c r="E799" s="267" t="s">
        <v>1741</v>
      </c>
      <c r="F799" s="267"/>
      <c r="G799" s="87">
        <v>14.11</v>
      </c>
      <c r="H799" s="39"/>
      <c r="I799" s="6"/>
    </row>
    <row r="800" spans="1:9" ht="12.2" customHeight="1" x14ac:dyDescent="0.2">
      <c r="A800" s="5"/>
      <c r="B800" s="16"/>
      <c r="C800" s="16"/>
      <c r="D800" s="85" t="s">
        <v>1491</v>
      </c>
      <c r="E800" s="267" t="s">
        <v>1645</v>
      </c>
      <c r="F800" s="267"/>
      <c r="G800" s="87">
        <v>17.760000000000002</v>
      </c>
      <c r="H800" s="39"/>
      <c r="I800" s="6"/>
    </row>
    <row r="801" spans="1:9" x14ac:dyDescent="0.2">
      <c r="A801" s="5" t="s">
        <v>189</v>
      </c>
      <c r="B801" s="16" t="s">
        <v>305</v>
      </c>
      <c r="C801" s="16" t="s">
        <v>472</v>
      </c>
      <c r="D801" s="243" t="s">
        <v>854</v>
      </c>
      <c r="E801" s="244"/>
      <c r="F801" s="16" t="s">
        <v>1043</v>
      </c>
      <c r="G801" s="27">
        <v>2.17</v>
      </c>
      <c r="H801" s="91">
        <v>0</v>
      </c>
      <c r="I801" s="6"/>
    </row>
    <row r="802" spans="1:9" x14ac:dyDescent="0.2">
      <c r="A802" s="82"/>
      <c r="B802" s="15"/>
      <c r="C802" s="15" t="s">
        <v>473</v>
      </c>
      <c r="D802" s="237" t="s">
        <v>855</v>
      </c>
      <c r="E802" s="238"/>
      <c r="F802" s="15"/>
      <c r="G802" s="51"/>
      <c r="H802" s="38"/>
      <c r="I802" s="6"/>
    </row>
    <row r="803" spans="1:9" x14ac:dyDescent="0.2">
      <c r="A803" s="5" t="s">
        <v>190</v>
      </c>
      <c r="B803" s="16" t="s">
        <v>305</v>
      </c>
      <c r="C803" s="16" t="s">
        <v>474</v>
      </c>
      <c r="D803" s="243" t="s">
        <v>856</v>
      </c>
      <c r="E803" s="244"/>
      <c r="F803" s="16" t="s">
        <v>1044</v>
      </c>
      <c r="G803" s="27">
        <v>64.67</v>
      </c>
      <c r="H803" s="91">
        <v>0</v>
      </c>
      <c r="I803" s="6"/>
    </row>
    <row r="804" spans="1:9" ht="12.2" customHeight="1" x14ac:dyDescent="0.2">
      <c r="A804" s="5"/>
      <c r="B804" s="16"/>
      <c r="C804" s="16"/>
      <c r="D804" s="85" t="s">
        <v>1492</v>
      </c>
      <c r="E804" s="267" t="s">
        <v>1746</v>
      </c>
      <c r="F804" s="267"/>
      <c r="G804" s="87">
        <v>29.15</v>
      </c>
      <c r="H804" s="39"/>
      <c r="I804" s="6"/>
    </row>
    <row r="805" spans="1:9" ht="12.2" customHeight="1" x14ac:dyDescent="0.2">
      <c r="A805" s="5"/>
      <c r="B805" s="16"/>
      <c r="C805" s="16"/>
      <c r="D805" s="85" t="s">
        <v>1303</v>
      </c>
      <c r="E805" s="267" t="s">
        <v>1645</v>
      </c>
      <c r="F805" s="267"/>
      <c r="G805" s="87">
        <v>35.520000000000003</v>
      </c>
      <c r="H805" s="39"/>
      <c r="I805" s="6"/>
    </row>
    <row r="806" spans="1:9" x14ac:dyDescent="0.2">
      <c r="A806" s="5" t="s">
        <v>191</v>
      </c>
      <c r="B806" s="16" t="s">
        <v>305</v>
      </c>
      <c r="C806" s="16" t="s">
        <v>475</v>
      </c>
      <c r="D806" s="243" t="s">
        <v>858</v>
      </c>
      <c r="E806" s="244"/>
      <c r="F806" s="16" t="s">
        <v>1044</v>
      </c>
      <c r="G806" s="27">
        <v>44.25</v>
      </c>
      <c r="H806" s="91">
        <v>0</v>
      </c>
      <c r="I806" s="6"/>
    </row>
    <row r="807" spans="1:9" ht="12.2" customHeight="1" x14ac:dyDescent="0.2">
      <c r="A807" s="5"/>
      <c r="B807" s="16"/>
      <c r="C807" s="16"/>
      <c r="D807" s="85" t="s">
        <v>1493</v>
      </c>
      <c r="E807" s="267" t="s">
        <v>1631</v>
      </c>
      <c r="F807" s="267"/>
      <c r="G807" s="87">
        <v>2.2000000000000002</v>
      </c>
      <c r="H807" s="39"/>
      <c r="I807" s="6"/>
    </row>
    <row r="808" spans="1:9" ht="12.2" customHeight="1" x14ac:dyDescent="0.2">
      <c r="A808" s="5"/>
      <c r="B808" s="16"/>
      <c r="C808" s="16"/>
      <c r="D808" s="85" t="s">
        <v>1494</v>
      </c>
      <c r="E808" s="267" t="s">
        <v>1634</v>
      </c>
      <c r="F808" s="267"/>
      <c r="G808" s="87">
        <v>0.6</v>
      </c>
      <c r="H808" s="39"/>
      <c r="I808" s="6"/>
    </row>
    <row r="809" spans="1:9" ht="12.2" customHeight="1" x14ac:dyDescent="0.2">
      <c r="A809" s="5"/>
      <c r="B809" s="16"/>
      <c r="C809" s="16"/>
      <c r="D809" s="85" t="s">
        <v>1495</v>
      </c>
      <c r="E809" s="267" t="s">
        <v>1635</v>
      </c>
      <c r="F809" s="267"/>
      <c r="G809" s="87">
        <v>1.95</v>
      </c>
      <c r="H809" s="39"/>
      <c r="I809" s="6"/>
    </row>
    <row r="810" spans="1:9" ht="12.2" customHeight="1" x14ac:dyDescent="0.2">
      <c r="A810" s="5"/>
      <c r="B810" s="16"/>
      <c r="C810" s="16"/>
      <c r="D810" s="85" t="s">
        <v>1494</v>
      </c>
      <c r="E810" s="267" t="s">
        <v>1747</v>
      </c>
      <c r="F810" s="267"/>
      <c r="G810" s="87">
        <v>0.6</v>
      </c>
      <c r="H810" s="39"/>
      <c r="I810" s="6"/>
    </row>
    <row r="811" spans="1:9" ht="12.2" customHeight="1" x14ac:dyDescent="0.2">
      <c r="A811" s="5"/>
      <c r="B811" s="16"/>
      <c r="C811" s="16"/>
      <c r="D811" s="85" t="s">
        <v>1496</v>
      </c>
      <c r="E811" s="267" t="s">
        <v>1647</v>
      </c>
      <c r="F811" s="267"/>
      <c r="G811" s="87">
        <v>2.0499999999999998</v>
      </c>
      <c r="H811" s="39"/>
      <c r="I811" s="6"/>
    </row>
    <row r="812" spans="1:9" ht="12.2" customHeight="1" x14ac:dyDescent="0.2">
      <c r="A812" s="5"/>
      <c r="B812" s="16"/>
      <c r="C812" s="16"/>
      <c r="D812" s="85" t="s">
        <v>1497</v>
      </c>
      <c r="E812" s="267" t="s">
        <v>1637</v>
      </c>
      <c r="F812" s="267"/>
      <c r="G812" s="87">
        <v>1.8</v>
      </c>
      <c r="H812" s="39"/>
      <c r="I812" s="6"/>
    </row>
    <row r="813" spans="1:9" ht="12.2" customHeight="1" x14ac:dyDescent="0.2">
      <c r="A813" s="5"/>
      <c r="B813" s="16"/>
      <c r="C813" s="16"/>
      <c r="D813" s="85" t="s">
        <v>7</v>
      </c>
      <c r="E813" s="267" t="s">
        <v>1638</v>
      </c>
      <c r="F813" s="267"/>
      <c r="G813" s="87">
        <v>1</v>
      </c>
      <c r="H813" s="39"/>
      <c r="I813" s="6"/>
    </row>
    <row r="814" spans="1:9" ht="12.2" customHeight="1" x14ac:dyDescent="0.2">
      <c r="A814" s="5"/>
      <c r="B814" s="16"/>
      <c r="C814" s="16"/>
      <c r="D814" s="85" t="s">
        <v>1498</v>
      </c>
      <c r="E814" s="267" t="s">
        <v>1639</v>
      </c>
      <c r="F814" s="267"/>
      <c r="G814" s="87">
        <v>1.9</v>
      </c>
      <c r="H814" s="39"/>
      <c r="I814" s="6"/>
    </row>
    <row r="815" spans="1:9" ht="12.2" customHeight="1" x14ac:dyDescent="0.2">
      <c r="A815" s="5"/>
      <c r="B815" s="16"/>
      <c r="C815" s="16"/>
      <c r="D815" s="85" t="s">
        <v>1495</v>
      </c>
      <c r="E815" s="267" t="s">
        <v>1640</v>
      </c>
      <c r="F815" s="267"/>
      <c r="G815" s="87">
        <v>1.95</v>
      </c>
      <c r="H815" s="39"/>
      <c r="I815" s="6"/>
    </row>
    <row r="816" spans="1:9" ht="12.2" customHeight="1" x14ac:dyDescent="0.2">
      <c r="A816" s="5"/>
      <c r="B816" s="16"/>
      <c r="C816" s="16"/>
      <c r="D816" s="85" t="s">
        <v>9</v>
      </c>
      <c r="E816" s="267" t="s">
        <v>1641</v>
      </c>
      <c r="F816" s="267"/>
      <c r="G816" s="87">
        <v>3</v>
      </c>
      <c r="H816" s="39"/>
      <c r="I816" s="6"/>
    </row>
    <row r="817" spans="1:9" ht="12.2" customHeight="1" x14ac:dyDescent="0.2">
      <c r="A817" s="5"/>
      <c r="B817" s="16"/>
      <c r="C817" s="16"/>
      <c r="D817" s="85" t="s">
        <v>1493</v>
      </c>
      <c r="E817" s="267" t="s">
        <v>1644</v>
      </c>
      <c r="F817" s="267"/>
      <c r="G817" s="87">
        <v>2.2000000000000002</v>
      </c>
      <c r="H817" s="39"/>
      <c r="I817" s="6"/>
    </row>
    <row r="818" spans="1:9" ht="12.2" customHeight="1" x14ac:dyDescent="0.2">
      <c r="A818" s="5"/>
      <c r="B818" s="16"/>
      <c r="C818" s="16"/>
      <c r="D818" s="85" t="s">
        <v>1497</v>
      </c>
      <c r="E818" s="267" t="s">
        <v>1637</v>
      </c>
      <c r="F818" s="267"/>
      <c r="G818" s="87">
        <v>1.8</v>
      </c>
      <c r="H818" s="39"/>
      <c r="I818" s="6"/>
    </row>
    <row r="819" spans="1:9" ht="12.2" customHeight="1" x14ac:dyDescent="0.2">
      <c r="A819" s="5"/>
      <c r="B819" s="16"/>
      <c r="C819" s="16"/>
      <c r="D819" s="85" t="s">
        <v>1499</v>
      </c>
      <c r="E819" s="267" t="s">
        <v>1624</v>
      </c>
      <c r="F819" s="267"/>
      <c r="G819" s="87">
        <v>4</v>
      </c>
      <c r="H819" s="39"/>
      <c r="I819" s="6"/>
    </row>
    <row r="820" spans="1:9" ht="12.2" customHeight="1" x14ac:dyDescent="0.2">
      <c r="A820" s="5"/>
      <c r="B820" s="16"/>
      <c r="C820" s="16"/>
      <c r="D820" s="85" t="s">
        <v>1500</v>
      </c>
      <c r="E820" s="267" t="s">
        <v>1748</v>
      </c>
      <c r="F820" s="267"/>
      <c r="G820" s="87">
        <v>3.7</v>
      </c>
      <c r="H820" s="39"/>
      <c r="I820" s="6"/>
    </row>
    <row r="821" spans="1:9" ht="12.2" customHeight="1" x14ac:dyDescent="0.2">
      <c r="A821" s="5"/>
      <c r="B821" s="16"/>
      <c r="C821" s="16"/>
      <c r="D821" s="85" t="s">
        <v>1501</v>
      </c>
      <c r="E821" s="267" t="s">
        <v>1749</v>
      </c>
      <c r="F821" s="267"/>
      <c r="G821" s="87">
        <v>5.25</v>
      </c>
      <c r="H821" s="39"/>
      <c r="I821" s="6"/>
    </row>
    <row r="822" spans="1:9" ht="12.2" customHeight="1" x14ac:dyDescent="0.2">
      <c r="A822" s="5"/>
      <c r="B822" s="16"/>
      <c r="C822" s="16"/>
      <c r="D822" s="85" t="s">
        <v>1502</v>
      </c>
      <c r="E822" s="267" t="s">
        <v>1750</v>
      </c>
      <c r="F822" s="267"/>
      <c r="G822" s="87">
        <v>3.95</v>
      </c>
      <c r="H822" s="39"/>
      <c r="I822" s="6"/>
    </row>
    <row r="823" spans="1:9" ht="12.2" customHeight="1" x14ac:dyDescent="0.2">
      <c r="A823" s="5"/>
      <c r="B823" s="16"/>
      <c r="C823" s="16"/>
      <c r="D823" s="85" t="s">
        <v>1503</v>
      </c>
      <c r="E823" s="267" t="s">
        <v>1751</v>
      </c>
      <c r="F823" s="267"/>
      <c r="G823" s="87">
        <v>1.3</v>
      </c>
      <c r="H823" s="39"/>
      <c r="I823" s="6"/>
    </row>
    <row r="824" spans="1:9" ht="12.2" customHeight="1" x14ac:dyDescent="0.2">
      <c r="A824" s="5"/>
      <c r="B824" s="16"/>
      <c r="C824" s="16"/>
      <c r="D824" s="85" t="s">
        <v>11</v>
      </c>
      <c r="E824" s="267" t="s">
        <v>1752</v>
      </c>
      <c r="F824" s="267"/>
      <c r="G824" s="87">
        <v>5</v>
      </c>
      <c r="H824" s="39"/>
      <c r="I824" s="6"/>
    </row>
    <row r="825" spans="1:9" x14ac:dyDescent="0.2">
      <c r="A825" s="5" t="s">
        <v>192</v>
      </c>
      <c r="B825" s="16" t="s">
        <v>305</v>
      </c>
      <c r="C825" s="16" t="s">
        <v>476</v>
      </c>
      <c r="D825" s="243" t="s">
        <v>860</v>
      </c>
      <c r="E825" s="244"/>
      <c r="F825" s="16" t="s">
        <v>1045</v>
      </c>
      <c r="G825" s="27">
        <v>4</v>
      </c>
      <c r="H825" s="91">
        <v>0</v>
      </c>
      <c r="I825" s="6"/>
    </row>
    <row r="826" spans="1:9" ht="12.2" customHeight="1" x14ac:dyDescent="0.2">
      <c r="A826" s="5"/>
      <c r="B826" s="16"/>
      <c r="C826" s="16"/>
      <c r="D826" s="85" t="s">
        <v>8</v>
      </c>
      <c r="E826" s="267" t="s">
        <v>1738</v>
      </c>
      <c r="F826" s="267"/>
      <c r="G826" s="87">
        <v>2</v>
      </c>
      <c r="H826" s="39"/>
      <c r="I826" s="6"/>
    </row>
    <row r="827" spans="1:9" ht="12.2" customHeight="1" x14ac:dyDescent="0.2">
      <c r="A827" s="5"/>
      <c r="B827" s="16"/>
      <c r="C827" s="16"/>
      <c r="D827" s="85" t="s">
        <v>8</v>
      </c>
      <c r="E827" s="267" t="s">
        <v>1739</v>
      </c>
      <c r="F827" s="267"/>
      <c r="G827" s="87">
        <v>2</v>
      </c>
      <c r="H827" s="39"/>
      <c r="I827" s="6"/>
    </row>
    <row r="828" spans="1:9" x14ac:dyDescent="0.2">
      <c r="A828" s="5" t="s">
        <v>193</v>
      </c>
      <c r="B828" s="16" t="s">
        <v>305</v>
      </c>
      <c r="C828" s="16" t="s">
        <v>477</v>
      </c>
      <c r="D828" s="243" t="s">
        <v>861</v>
      </c>
      <c r="E828" s="244"/>
      <c r="F828" s="16" t="s">
        <v>1044</v>
      </c>
      <c r="G828" s="27">
        <v>22.24</v>
      </c>
      <c r="H828" s="91">
        <v>0</v>
      </c>
      <c r="I828" s="6"/>
    </row>
    <row r="829" spans="1:9" ht="12.2" customHeight="1" x14ac:dyDescent="0.2">
      <c r="A829" s="5"/>
      <c r="B829" s="16"/>
      <c r="C829" s="16"/>
      <c r="D829" s="85" t="s">
        <v>1504</v>
      </c>
      <c r="E829" s="267" t="s">
        <v>1743</v>
      </c>
      <c r="F829" s="267"/>
      <c r="G829" s="87">
        <v>15.22</v>
      </c>
      <c r="H829" s="39"/>
      <c r="I829" s="6"/>
    </row>
    <row r="830" spans="1:9" ht="12.2" customHeight="1" x14ac:dyDescent="0.2">
      <c r="A830" s="5"/>
      <c r="B830" s="16"/>
      <c r="C830" s="16"/>
      <c r="D830" s="85" t="s">
        <v>1505</v>
      </c>
      <c r="E830" s="267" t="s">
        <v>1744</v>
      </c>
      <c r="F830" s="267"/>
      <c r="G830" s="87">
        <v>7.02</v>
      </c>
      <c r="H830" s="39"/>
      <c r="I830" s="6"/>
    </row>
    <row r="831" spans="1:9" x14ac:dyDescent="0.2">
      <c r="A831" s="5" t="s">
        <v>194</v>
      </c>
      <c r="B831" s="16" t="s">
        <v>305</v>
      </c>
      <c r="C831" s="16" t="s">
        <v>478</v>
      </c>
      <c r="D831" s="243" t="s">
        <v>863</v>
      </c>
      <c r="E831" s="244"/>
      <c r="F831" s="16" t="s">
        <v>1044</v>
      </c>
      <c r="G831" s="27">
        <v>7.61</v>
      </c>
      <c r="H831" s="91">
        <v>0</v>
      </c>
      <c r="I831" s="6"/>
    </row>
    <row r="832" spans="1:9" ht="12.2" customHeight="1" x14ac:dyDescent="0.2">
      <c r="A832" s="5"/>
      <c r="B832" s="16"/>
      <c r="C832" s="16"/>
      <c r="D832" s="85" t="s">
        <v>1506</v>
      </c>
      <c r="E832" s="267" t="s">
        <v>1753</v>
      </c>
      <c r="F832" s="267"/>
      <c r="G832" s="87">
        <v>7.61</v>
      </c>
      <c r="H832" s="39"/>
      <c r="I832" s="6"/>
    </row>
    <row r="833" spans="1:9" x14ac:dyDescent="0.2">
      <c r="A833" s="5" t="s">
        <v>195</v>
      </c>
      <c r="B833" s="16" t="s">
        <v>305</v>
      </c>
      <c r="C833" s="16" t="s">
        <v>479</v>
      </c>
      <c r="D833" s="243" t="s">
        <v>864</v>
      </c>
      <c r="E833" s="244"/>
      <c r="F833" s="16" t="s">
        <v>1044</v>
      </c>
      <c r="G833" s="27">
        <v>15.22</v>
      </c>
      <c r="H833" s="91">
        <v>0</v>
      </c>
      <c r="I833" s="6"/>
    </row>
    <row r="834" spans="1:9" ht="12.2" customHeight="1" x14ac:dyDescent="0.2">
      <c r="A834" s="5"/>
      <c r="B834" s="16"/>
      <c r="C834" s="16"/>
      <c r="D834" s="85" t="s">
        <v>1504</v>
      </c>
      <c r="E834" s="267" t="s">
        <v>1754</v>
      </c>
      <c r="F834" s="267"/>
      <c r="G834" s="87">
        <v>15.22</v>
      </c>
      <c r="H834" s="39"/>
      <c r="I834" s="6"/>
    </row>
    <row r="835" spans="1:9" x14ac:dyDescent="0.2">
      <c r="A835" s="5" t="s">
        <v>196</v>
      </c>
      <c r="B835" s="16" t="s">
        <v>305</v>
      </c>
      <c r="C835" s="16" t="s">
        <v>480</v>
      </c>
      <c r="D835" s="243" t="s">
        <v>865</v>
      </c>
      <c r="E835" s="244"/>
      <c r="F835" s="16" t="s">
        <v>1043</v>
      </c>
      <c r="G835" s="27">
        <v>4.22</v>
      </c>
      <c r="H835" s="91">
        <v>0</v>
      </c>
      <c r="I835" s="6"/>
    </row>
    <row r="836" spans="1:9" x14ac:dyDescent="0.2">
      <c r="A836" s="82"/>
      <c r="B836" s="15"/>
      <c r="C836" s="15" t="s">
        <v>481</v>
      </c>
      <c r="D836" s="237" t="s">
        <v>866</v>
      </c>
      <c r="E836" s="238"/>
      <c r="F836" s="15"/>
      <c r="G836" s="51"/>
      <c r="H836" s="38"/>
      <c r="I836" s="6"/>
    </row>
    <row r="837" spans="1:9" x14ac:dyDescent="0.2">
      <c r="A837" s="5" t="s">
        <v>197</v>
      </c>
      <c r="B837" s="16" t="s">
        <v>305</v>
      </c>
      <c r="C837" s="16" t="s">
        <v>482</v>
      </c>
      <c r="D837" s="243" t="s">
        <v>867</v>
      </c>
      <c r="E837" s="244"/>
      <c r="F837" s="16" t="s">
        <v>1042</v>
      </c>
      <c r="G837" s="27">
        <v>16.93</v>
      </c>
      <c r="H837" s="91">
        <v>0</v>
      </c>
      <c r="I837" s="6"/>
    </row>
    <row r="838" spans="1:9" ht="12.2" customHeight="1" x14ac:dyDescent="0.2">
      <c r="A838" s="5"/>
      <c r="B838" s="16"/>
      <c r="C838" s="16"/>
      <c r="D838" s="85" t="s">
        <v>1507</v>
      </c>
      <c r="E838" s="267" t="s">
        <v>1722</v>
      </c>
      <c r="F838" s="267"/>
      <c r="G838" s="87">
        <v>18.61</v>
      </c>
      <c r="H838" s="39"/>
      <c r="I838" s="6"/>
    </row>
    <row r="839" spans="1:9" ht="12.2" customHeight="1" x14ac:dyDescent="0.2">
      <c r="A839" s="5"/>
      <c r="B839" s="16"/>
      <c r="C839" s="16"/>
      <c r="D839" s="85" t="s">
        <v>1213</v>
      </c>
      <c r="E839" s="267" t="s">
        <v>1621</v>
      </c>
      <c r="F839" s="267"/>
      <c r="G839" s="87">
        <v>-1.68</v>
      </c>
      <c r="H839" s="39"/>
      <c r="I839" s="6"/>
    </row>
    <row r="840" spans="1:9" x14ac:dyDescent="0.2">
      <c r="A840" s="5" t="s">
        <v>198</v>
      </c>
      <c r="B840" s="16" t="s">
        <v>305</v>
      </c>
      <c r="C840" s="16" t="s">
        <v>483</v>
      </c>
      <c r="D840" s="243" t="s">
        <v>869</v>
      </c>
      <c r="E840" s="244"/>
      <c r="F840" s="16" t="s">
        <v>1042</v>
      </c>
      <c r="G840" s="27">
        <v>4.63</v>
      </c>
      <c r="H840" s="91">
        <v>0</v>
      </c>
      <c r="I840" s="6"/>
    </row>
    <row r="841" spans="1:9" ht="12.2" customHeight="1" x14ac:dyDescent="0.2">
      <c r="A841" s="5"/>
      <c r="B841" s="16"/>
      <c r="C841" s="16"/>
      <c r="D841" s="85" t="s">
        <v>1455</v>
      </c>
      <c r="E841" s="267" t="s">
        <v>1722</v>
      </c>
      <c r="F841" s="267"/>
      <c r="G841" s="87">
        <v>4.63</v>
      </c>
      <c r="H841" s="39"/>
      <c r="I841" s="6"/>
    </row>
    <row r="842" spans="1:9" x14ac:dyDescent="0.2">
      <c r="A842" s="5" t="s">
        <v>199</v>
      </c>
      <c r="B842" s="16" t="s">
        <v>305</v>
      </c>
      <c r="C842" s="16" t="s">
        <v>484</v>
      </c>
      <c r="D842" s="243" t="s">
        <v>870</v>
      </c>
      <c r="E842" s="244"/>
      <c r="F842" s="16" t="s">
        <v>1045</v>
      </c>
      <c r="G842" s="27">
        <v>3</v>
      </c>
      <c r="H842" s="91">
        <v>0</v>
      </c>
      <c r="I842" s="6"/>
    </row>
    <row r="843" spans="1:9" ht="12.2" customHeight="1" x14ac:dyDescent="0.2">
      <c r="A843" s="5"/>
      <c r="B843" s="16"/>
      <c r="C843" s="16"/>
      <c r="D843" s="85" t="s">
        <v>7</v>
      </c>
      <c r="E843" s="267" t="s">
        <v>1634</v>
      </c>
      <c r="F843" s="267"/>
      <c r="G843" s="87">
        <v>1</v>
      </c>
      <c r="H843" s="39"/>
      <c r="I843" s="6"/>
    </row>
    <row r="844" spans="1:9" ht="12.2" customHeight="1" x14ac:dyDescent="0.2">
      <c r="A844" s="5"/>
      <c r="B844" s="16"/>
      <c r="C844" s="16"/>
      <c r="D844" s="85" t="s">
        <v>7</v>
      </c>
      <c r="E844" s="267" t="s">
        <v>1747</v>
      </c>
      <c r="F844" s="267"/>
      <c r="G844" s="87">
        <v>1</v>
      </c>
      <c r="H844" s="39"/>
      <c r="I844" s="6"/>
    </row>
    <row r="845" spans="1:9" ht="12.2" customHeight="1" x14ac:dyDescent="0.2">
      <c r="A845" s="5"/>
      <c r="B845" s="16"/>
      <c r="C845" s="16"/>
      <c r="D845" s="85" t="s">
        <v>7</v>
      </c>
      <c r="E845" s="267" t="s">
        <v>1638</v>
      </c>
      <c r="F845" s="267"/>
      <c r="G845" s="87">
        <v>1</v>
      </c>
      <c r="H845" s="39"/>
      <c r="I845" s="6"/>
    </row>
    <row r="846" spans="1:9" x14ac:dyDescent="0.2">
      <c r="A846" s="5" t="s">
        <v>200</v>
      </c>
      <c r="B846" s="16" t="s">
        <v>305</v>
      </c>
      <c r="C846" s="16" t="s">
        <v>485</v>
      </c>
      <c r="D846" s="243" t="s">
        <v>871</v>
      </c>
      <c r="E846" s="244"/>
      <c r="F846" s="16" t="s">
        <v>1045</v>
      </c>
      <c r="G846" s="27">
        <v>11</v>
      </c>
      <c r="H846" s="91">
        <v>0</v>
      </c>
      <c r="I846" s="6"/>
    </row>
    <row r="847" spans="1:9" ht="12.2" customHeight="1" x14ac:dyDescent="0.2">
      <c r="A847" s="5"/>
      <c r="B847" s="16"/>
      <c r="C847" s="16"/>
      <c r="D847" s="85" t="s">
        <v>8</v>
      </c>
      <c r="E847" s="267" t="s">
        <v>1624</v>
      </c>
      <c r="F847" s="267"/>
      <c r="G847" s="87">
        <v>2</v>
      </c>
      <c r="H847" s="39"/>
      <c r="I847" s="6"/>
    </row>
    <row r="848" spans="1:9" ht="12.2" customHeight="1" x14ac:dyDescent="0.2">
      <c r="A848" s="5"/>
      <c r="B848" s="16"/>
      <c r="C848" s="16"/>
      <c r="D848" s="85" t="s">
        <v>7</v>
      </c>
      <c r="E848" s="267" t="s">
        <v>1631</v>
      </c>
      <c r="F848" s="267"/>
      <c r="G848" s="87">
        <v>1</v>
      </c>
      <c r="H848" s="39"/>
      <c r="I848" s="6"/>
    </row>
    <row r="849" spans="1:9" ht="12.2" customHeight="1" x14ac:dyDescent="0.2">
      <c r="A849" s="5"/>
      <c r="B849" s="16"/>
      <c r="C849" s="16"/>
      <c r="D849" s="85" t="s">
        <v>7</v>
      </c>
      <c r="E849" s="267" t="s">
        <v>1635</v>
      </c>
      <c r="F849" s="267"/>
      <c r="G849" s="87">
        <v>1</v>
      </c>
      <c r="H849" s="39"/>
      <c r="I849" s="6"/>
    </row>
    <row r="850" spans="1:9" ht="12.2" customHeight="1" x14ac:dyDescent="0.2">
      <c r="A850" s="5"/>
      <c r="B850" s="16"/>
      <c r="C850" s="16"/>
      <c r="D850" s="85" t="s">
        <v>7</v>
      </c>
      <c r="E850" s="267" t="s">
        <v>1647</v>
      </c>
      <c r="F850" s="267"/>
      <c r="G850" s="87">
        <v>1</v>
      </c>
      <c r="H850" s="39"/>
      <c r="I850" s="6"/>
    </row>
    <row r="851" spans="1:9" ht="12.2" customHeight="1" x14ac:dyDescent="0.2">
      <c r="A851" s="5"/>
      <c r="B851" s="16"/>
      <c r="C851" s="16"/>
      <c r="D851" s="85" t="s">
        <v>7</v>
      </c>
      <c r="E851" s="267" t="s">
        <v>1637</v>
      </c>
      <c r="F851" s="267"/>
      <c r="G851" s="87">
        <v>1</v>
      </c>
      <c r="H851" s="39"/>
      <c r="I851" s="6"/>
    </row>
    <row r="852" spans="1:9" ht="12.2" customHeight="1" x14ac:dyDescent="0.2">
      <c r="A852" s="5"/>
      <c r="B852" s="16"/>
      <c r="C852" s="16"/>
      <c r="D852" s="85" t="s">
        <v>7</v>
      </c>
      <c r="E852" s="267" t="s">
        <v>1639</v>
      </c>
      <c r="F852" s="267"/>
      <c r="G852" s="87">
        <v>1</v>
      </c>
      <c r="H852" s="39"/>
      <c r="I852" s="6"/>
    </row>
    <row r="853" spans="1:9" ht="12.2" customHeight="1" x14ac:dyDescent="0.2">
      <c r="A853" s="5"/>
      <c r="B853" s="16"/>
      <c r="C853" s="16"/>
      <c r="D853" s="85" t="s">
        <v>7</v>
      </c>
      <c r="E853" s="267" t="s">
        <v>1640</v>
      </c>
      <c r="F853" s="267"/>
      <c r="G853" s="87">
        <v>1</v>
      </c>
      <c r="H853" s="39"/>
      <c r="I853" s="6"/>
    </row>
    <row r="854" spans="1:9" ht="12.2" customHeight="1" x14ac:dyDescent="0.2">
      <c r="A854" s="5"/>
      <c r="B854" s="16"/>
      <c r="C854" s="16"/>
      <c r="D854" s="85" t="s">
        <v>7</v>
      </c>
      <c r="E854" s="267" t="s">
        <v>1641</v>
      </c>
      <c r="F854" s="267"/>
      <c r="G854" s="87">
        <v>1</v>
      </c>
      <c r="H854" s="39"/>
      <c r="I854" s="6"/>
    </row>
    <row r="855" spans="1:9" ht="12.2" customHeight="1" x14ac:dyDescent="0.2">
      <c r="A855" s="5"/>
      <c r="B855" s="16"/>
      <c r="C855" s="16"/>
      <c r="D855" s="85" t="s">
        <v>7</v>
      </c>
      <c r="E855" s="267" t="s">
        <v>1644</v>
      </c>
      <c r="F855" s="267"/>
      <c r="G855" s="87">
        <v>1</v>
      </c>
      <c r="H855" s="39"/>
      <c r="I855" s="6"/>
    </row>
    <row r="856" spans="1:9" ht="12.2" customHeight="1" x14ac:dyDescent="0.2">
      <c r="A856" s="5"/>
      <c r="B856" s="16"/>
      <c r="C856" s="16"/>
      <c r="D856" s="85" t="s">
        <v>7</v>
      </c>
      <c r="E856" s="267" t="s">
        <v>1637</v>
      </c>
      <c r="F856" s="267"/>
      <c r="G856" s="87">
        <v>1</v>
      </c>
      <c r="H856" s="39"/>
      <c r="I856" s="6"/>
    </row>
    <row r="857" spans="1:9" x14ac:dyDescent="0.2">
      <c r="A857" s="7" t="s">
        <v>201</v>
      </c>
      <c r="B857" s="17" t="s">
        <v>305</v>
      </c>
      <c r="C857" s="17" t="s">
        <v>486</v>
      </c>
      <c r="D857" s="241" t="s">
        <v>872</v>
      </c>
      <c r="E857" s="242"/>
      <c r="F857" s="17" t="s">
        <v>1044</v>
      </c>
      <c r="G857" s="28">
        <v>24.2</v>
      </c>
      <c r="H857" s="93">
        <v>0</v>
      </c>
      <c r="I857" s="6"/>
    </row>
    <row r="858" spans="1:9" ht="12.2" customHeight="1" x14ac:dyDescent="0.2">
      <c r="A858" s="7"/>
      <c r="B858" s="17"/>
      <c r="C858" s="17"/>
      <c r="D858" s="85" t="s">
        <v>1494</v>
      </c>
      <c r="E858" s="267" t="s">
        <v>1634</v>
      </c>
      <c r="F858" s="267"/>
      <c r="G858" s="88">
        <v>0.6</v>
      </c>
      <c r="H858" s="40"/>
      <c r="I858" s="6"/>
    </row>
    <row r="859" spans="1:9" ht="12.2" customHeight="1" x14ac:dyDescent="0.2">
      <c r="A859" s="7"/>
      <c r="B859" s="17"/>
      <c r="C859" s="17"/>
      <c r="D859" s="85" t="s">
        <v>1494</v>
      </c>
      <c r="E859" s="267" t="s">
        <v>1747</v>
      </c>
      <c r="F859" s="267"/>
      <c r="G859" s="88">
        <v>0.6</v>
      </c>
      <c r="H859" s="40"/>
      <c r="I859" s="6"/>
    </row>
    <row r="860" spans="1:9" ht="12.2" customHeight="1" x14ac:dyDescent="0.2">
      <c r="A860" s="7"/>
      <c r="B860" s="17"/>
      <c r="C860" s="17"/>
      <c r="D860" s="85" t="s">
        <v>7</v>
      </c>
      <c r="E860" s="267" t="s">
        <v>1638</v>
      </c>
      <c r="F860" s="267"/>
      <c r="G860" s="88">
        <v>1</v>
      </c>
      <c r="H860" s="40"/>
      <c r="I860" s="6"/>
    </row>
    <row r="861" spans="1:9" ht="12.2" customHeight="1" x14ac:dyDescent="0.2">
      <c r="A861" s="7"/>
      <c r="B861" s="17"/>
      <c r="C861" s="17"/>
      <c r="D861" s="85" t="s">
        <v>8</v>
      </c>
      <c r="E861" s="267" t="s">
        <v>1624</v>
      </c>
      <c r="F861" s="267"/>
      <c r="G861" s="88">
        <v>2</v>
      </c>
      <c r="H861" s="40"/>
      <c r="I861" s="6"/>
    </row>
    <row r="862" spans="1:9" ht="12.2" customHeight="1" x14ac:dyDescent="0.2">
      <c r="A862" s="7"/>
      <c r="B862" s="17"/>
      <c r="C862" s="17"/>
      <c r="D862" s="85" t="s">
        <v>1493</v>
      </c>
      <c r="E862" s="267" t="s">
        <v>1631</v>
      </c>
      <c r="F862" s="267"/>
      <c r="G862" s="88">
        <v>2.2000000000000002</v>
      </c>
      <c r="H862" s="40"/>
      <c r="I862" s="6"/>
    </row>
    <row r="863" spans="1:9" ht="12.2" customHeight="1" x14ac:dyDescent="0.2">
      <c r="A863" s="7"/>
      <c r="B863" s="17"/>
      <c r="C863" s="17"/>
      <c r="D863" s="85" t="s">
        <v>1495</v>
      </c>
      <c r="E863" s="267" t="s">
        <v>1635</v>
      </c>
      <c r="F863" s="267"/>
      <c r="G863" s="88">
        <v>1.95</v>
      </c>
      <c r="H863" s="40"/>
      <c r="I863" s="6"/>
    </row>
    <row r="864" spans="1:9" ht="12.2" customHeight="1" x14ac:dyDescent="0.2">
      <c r="A864" s="7"/>
      <c r="B864" s="17"/>
      <c r="C864" s="17"/>
      <c r="D864" s="85" t="s">
        <v>1496</v>
      </c>
      <c r="E864" s="267" t="s">
        <v>1647</v>
      </c>
      <c r="F864" s="267"/>
      <c r="G864" s="88">
        <v>2.0499999999999998</v>
      </c>
      <c r="H864" s="40"/>
      <c r="I864" s="6"/>
    </row>
    <row r="865" spans="1:9" ht="12.2" customHeight="1" x14ac:dyDescent="0.2">
      <c r="A865" s="7"/>
      <c r="B865" s="17"/>
      <c r="C865" s="17"/>
      <c r="D865" s="85" t="s">
        <v>1497</v>
      </c>
      <c r="E865" s="267" t="s">
        <v>1637</v>
      </c>
      <c r="F865" s="267"/>
      <c r="G865" s="88">
        <v>1.8</v>
      </c>
      <c r="H865" s="40"/>
      <c r="I865" s="6"/>
    </row>
    <row r="866" spans="1:9" ht="12.2" customHeight="1" x14ac:dyDescent="0.2">
      <c r="A866" s="7"/>
      <c r="B866" s="17"/>
      <c r="C866" s="17"/>
      <c r="D866" s="85" t="s">
        <v>1498</v>
      </c>
      <c r="E866" s="267" t="s">
        <v>1639</v>
      </c>
      <c r="F866" s="267"/>
      <c r="G866" s="88">
        <v>1.9</v>
      </c>
      <c r="H866" s="40"/>
      <c r="I866" s="6"/>
    </row>
    <row r="867" spans="1:9" ht="12.2" customHeight="1" x14ac:dyDescent="0.2">
      <c r="A867" s="7"/>
      <c r="B867" s="17"/>
      <c r="C867" s="17"/>
      <c r="D867" s="85" t="s">
        <v>1495</v>
      </c>
      <c r="E867" s="267" t="s">
        <v>1640</v>
      </c>
      <c r="F867" s="267"/>
      <c r="G867" s="88">
        <v>1.95</v>
      </c>
      <c r="H867" s="40"/>
      <c r="I867" s="6"/>
    </row>
    <row r="868" spans="1:9" ht="12.2" customHeight="1" x14ac:dyDescent="0.2">
      <c r="A868" s="7"/>
      <c r="B868" s="17"/>
      <c r="C868" s="17"/>
      <c r="D868" s="85" t="s">
        <v>9</v>
      </c>
      <c r="E868" s="267" t="s">
        <v>1641</v>
      </c>
      <c r="F868" s="267"/>
      <c r="G868" s="88">
        <v>3</v>
      </c>
      <c r="H868" s="40"/>
      <c r="I868" s="6"/>
    </row>
    <row r="869" spans="1:9" ht="12.2" customHeight="1" x14ac:dyDescent="0.2">
      <c r="A869" s="7"/>
      <c r="B869" s="17"/>
      <c r="C869" s="17"/>
      <c r="D869" s="85" t="s">
        <v>1493</v>
      </c>
      <c r="E869" s="267" t="s">
        <v>1644</v>
      </c>
      <c r="F869" s="267"/>
      <c r="G869" s="88">
        <v>2.2000000000000002</v>
      </c>
      <c r="H869" s="40"/>
      <c r="I869" s="6"/>
    </row>
    <row r="870" spans="1:9" ht="12.2" customHeight="1" x14ac:dyDescent="0.2">
      <c r="A870" s="7"/>
      <c r="B870" s="17"/>
      <c r="C870" s="17"/>
      <c r="D870" s="85" t="s">
        <v>1497</v>
      </c>
      <c r="E870" s="267" t="s">
        <v>1637</v>
      </c>
      <c r="F870" s="267"/>
      <c r="G870" s="88">
        <v>1.8</v>
      </c>
      <c r="H870" s="40"/>
      <c r="I870" s="6"/>
    </row>
    <row r="871" spans="1:9" ht="12.2" customHeight="1" x14ac:dyDescent="0.2">
      <c r="A871" s="7"/>
      <c r="B871" s="17"/>
      <c r="C871" s="17"/>
      <c r="D871" s="85" t="s">
        <v>1508</v>
      </c>
      <c r="E871" s="267"/>
      <c r="F871" s="267"/>
      <c r="G871" s="88">
        <v>1.1499999999999999</v>
      </c>
      <c r="H871" s="40"/>
      <c r="I871" s="6"/>
    </row>
    <row r="872" spans="1:9" ht="12.95" customHeight="1" x14ac:dyDescent="0.2">
      <c r="A872" s="6"/>
      <c r="C872" s="84" t="s">
        <v>302</v>
      </c>
      <c r="D872" s="248" t="s">
        <v>873</v>
      </c>
      <c r="E872" s="249"/>
      <c r="F872" s="249"/>
      <c r="G872" s="249"/>
      <c r="H872" s="92"/>
      <c r="I872" s="6"/>
    </row>
    <row r="873" spans="1:9" x14ac:dyDescent="0.2">
      <c r="A873" s="5" t="s">
        <v>202</v>
      </c>
      <c r="B873" s="16" t="s">
        <v>305</v>
      </c>
      <c r="C873" s="16" t="s">
        <v>487</v>
      </c>
      <c r="D873" s="243" t="s">
        <v>874</v>
      </c>
      <c r="E873" s="244"/>
      <c r="F873" s="16" t="s">
        <v>1045</v>
      </c>
      <c r="G873" s="27">
        <v>15</v>
      </c>
      <c r="H873" s="91">
        <v>0</v>
      </c>
      <c r="I873" s="6"/>
    </row>
    <row r="874" spans="1:9" ht="12.2" customHeight="1" x14ac:dyDescent="0.2">
      <c r="A874" s="5"/>
      <c r="B874" s="16"/>
      <c r="C874" s="16"/>
      <c r="D874" s="85" t="s">
        <v>9</v>
      </c>
      <c r="E874" s="267" t="s">
        <v>1625</v>
      </c>
      <c r="F874" s="267"/>
      <c r="G874" s="87">
        <v>3</v>
      </c>
      <c r="H874" s="39"/>
      <c r="I874" s="6"/>
    </row>
    <row r="875" spans="1:9" ht="12.2" customHeight="1" x14ac:dyDescent="0.2">
      <c r="A875" s="5"/>
      <c r="B875" s="16"/>
      <c r="C875" s="16"/>
      <c r="D875" s="85" t="s">
        <v>9</v>
      </c>
      <c r="E875" s="267" t="s">
        <v>1621</v>
      </c>
      <c r="F875" s="267"/>
      <c r="G875" s="87">
        <v>3</v>
      </c>
      <c r="H875" s="39"/>
      <c r="I875" s="6"/>
    </row>
    <row r="876" spans="1:9" ht="12.2" customHeight="1" x14ac:dyDescent="0.2">
      <c r="A876" s="5"/>
      <c r="B876" s="16"/>
      <c r="C876" s="16"/>
      <c r="D876" s="85" t="s">
        <v>7</v>
      </c>
      <c r="E876" s="267" t="s">
        <v>1650</v>
      </c>
      <c r="F876" s="267"/>
      <c r="G876" s="87">
        <v>1</v>
      </c>
      <c r="H876" s="39"/>
      <c r="I876" s="6"/>
    </row>
    <row r="877" spans="1:9" ht="12.2" customHeight="1" x14ac:dyDescent="0.2">
      <c r="A877" s="5"/>
      <c r="B877" s="16"/>
      <c r="C877" s="16"/>
      <c r="D877" s="85" t="s">
        <v>7</v>
      </c>
      <c r="E877" s="267" t="s">
        <v>1654</v>
      </c>
      <c r="F877" s="267"/>
      <c r="G877" s="87">
        <v>1</v>
      </c>
      <c r="H877" s="39"/>
      <c r="I877" s="6"/>
    </row>
    <row r="878" spans="1:9" ht="12.2" customHeight="1" x14ac:dyDescent="0.2">
      <c r="A878" s="5"/>
      <c r="B878" s="16"/>
      <c r="C878" s="16"/>
      <c r="D878" s="85" t="s">
        <v>7</v>
      </c>
      <c r="E878" s="267" t="s">
        <v>1653</v>
      </c>
      <c r="F878" s="267"/>
      <c r="G878" s="87">
        <v>1</v>
      </c>
      <c r="H878" s="39"/>
      <c r="I878" s="6"/>
    </row>
    <row r="879" spans="1:9" ht="12.2" customHeight="1" x14ac:dyDescent="0.2">
      <c r="A879" s="5"/>
      <c r="B879" s="16"/>
      <c r="C879" s="16"/>
      <c r="D879" s="85" t="s">
        <v>7</v>
      </c>
      <c r="E879" s="267" t="s">
        <v>1655</v>
      </c>
      <c r="F879" s="267"/>
      <c r="G879" s="87">
        <v>1</v>
      </c>
      <c r="H879" s="39"/>
      <c r="I879" s="6"/>
    </row>
    <row r="880" spans="1:9" ht="12.2" customHeight="1" x14ac:dyDescent="0.2">
      <c r="A880" s="5"/>
      <c r="B880" s="16"/>
      <c r="C880" s="16"/>
      <c r="D880" s="85" t="s">
        <v>7</v>
      </c>
      <c r="E880" s="267" t="s">
        <v>1755</v>
      </c>
      <c r="F880" s="267"/>
      <c r="G880" s="87">
        <v>1</v>
      </c>
      <c r="H880" s="39"/>
      <c r="I880" s="6"/>
    </row>
    <row r="881" spans="1:9" ht="12.2" customHeight="1" x14ac:dyDescent="0.2">
      <c r="A881" s="5"/>
      <c r="B881" s="16"/>
      <c r="C881" s="16"/>
      <c r="D881" s="85" t="s">
        <v>7</v>
      </c>
      <c r="E881" s="267" t="s">
        <v>1652</v>
      </c>
      <c r="F881" s="267"/>
      <c r="G881" s="87">
        <v>1</v>
      </c>
      <c r="H881" s="39"/>
      <c r="I881" s="6"/>
    </row>
    <row r="882" spans="1:9" ht="12.2" customHeight="1" x14ac:dyDescent="0.2">
      <c r="A882" s="5"/>
      <c r="B882" s="16"/>
      <c r="C882" s="16"/>
      <c r="D882" s="85" t="s">
        <v>7</v>
      </c>
      <c r="E882" s="267" t="s">
        <v>1657</v>
      </c>
      <c r="F882" s="267"/>
      <c r="G882" s="87">
        <v>1</v>
      </c>
      <c r="H882" s="39"/>
      <c r="I882" s="6"/>
    </row>
    <row r="883" spans="1:9" ht="12.2" customHeight="1" x14ac:dyDescent="0.2">
      <c r="A883" s="5"/>
      <c r="B883" s="16"/>
      <c r="C883" s="16"/>
      <c r="D883" s="85" t="s">
        <v>7</v>
      </c>
      <c r="E883" s="267" t="s">
        <v>1658</v>
      </c>
      <c r="F883" s="267"/>
      <c r="G883" s="87">
        <v>1</v>
      </c>
      <c r="H883" s="39"/>
      <c r="I883" s="6"/>
    </row>
    <row r="884" spans="1:9" ht="12.2" customHeight="1" x14ac:dyDescent="0.2">
      <c r="A884" s="5"/>
      <c r="B884" s="16"/>
      <c r="C884" s="16"/>
      <c r="D884" s="85" t="s">
        <v>7</v>
      </c>
      <c r="E884" s="267" t="s">
        <v>1659</v>
      </c>
      <c r="F884" s="267"/>
      <c r="G884" s="87">
        <v>1</v>
      </c>
      <c r="H884" s="39"/>
      <c r="I884" s="6"/>
    </row>
    <row r="885" spans="1:9" x14ac:dyDescent="0.2">
      <c r="A885" s="7" t="s">
        <v>203</v>
      </c>
      <c r="B885" s="17" t="s">
        <v>305</v>
      </c>
      <c r="C885" s="17" t="s">
        <v>488</v>
      </c>
      <c r="D885" s="241" t="s">
        <v>875</v>
      </c>
      <c r="E885" s="242"/>
      <c r="F885" s="17" t="s">
        <v>1045</v>
      </c>
      <c r="G885" s="28">
        <v>5</v>
      </c>
      <c r="H885" s="93">
        <v>0</v>
      </c>
      <c r="I885" s="6"/>
    </row>
    <row r="886" spans="1:9" ht="12.2" customHeight="1" x14ac:dyDescent="0.2">
      <c r="A886" s="7"/>
      <c r="B886" s="17"/>
      <c r="C886" s="17"/>
      <c r="D886" s="85" t="s">
        <v>8</v>
      </c>
      <c r="E886" s="267" t="s">
        <v>1621</v>
      </c>
      <c r="F886" s="267"/>
      <c r="G886" s="88">
        <v>2</v>
      </c>
      <c r="H886" s="40"/>
      <c r="I886" s="6"/>
    </row>
    <row r="887" spans="1:9" ht="12.2" customHeight="1" x14ac:dyDescent="0.2">
      <c r="A887" s="7"/>
      <c r="B887" s="17"/>
      <c r="C887" s="17"/>
      <c r="D887" s="85" t="s">
        <v>7</v>
      </c>
      <c r="E887" s="267" t="s">
        <v>1653</v>
      </c>
      <c r="F887" s="267"/>
      <c r="G887" s="88">
        <v>1</v>
      </c>
      <c r="H887" s="40"/>
      <c r="I887" s="6"/>
    </row>
    <row r="888" spans="1:9" ht="12.2" customHeight="1" x14ac:dyDescent="0.2">
      <c r="A888" s="7"/>
      <c r="B888" s="17"/>
      <c r="C888" s="17"/>
      <c r="D888" s="85" t="s">
        <v>7</v>
      </c>
      <c r="E888" s="267" t="s">
        <v>1654</v>
      </c>
      <c r="F888" s="267"/>
      <c r="G888" s="88">
        <v>1</v>
      </c>
      <c r="H888" s="40"/>
      <c r="I888" s="6"/>
    </row>
    <row r="889" spans="1:9" ht="12.2" customHeight="1" x14ac:dyDescent="0.2">
      <c r="A889" s="7"/>
      <c r="B889" s="17"/>
      <c r="C889" s="17"/>
      <c r="D889" s="85" t="s">
        <v>7</v>
      </c>
      <c r="E889" s="267" t="s">
        <v>1655</v>
      </c>
      <c r="F889" s="267"/>
      <c r="G889" s="88">
        <v>1</v>
      </c>
      <c r="H889" s="40"/>
      <c r="I889" s="6"/>
    </row>
    <row r="890" spans="1:9" ht="12.95" customHeight="1" x14ac:dyDescent="0.2">
      <c r="A890" s="6"/>
      <c r="C890" s="84" t="s">
        <v>302</v>
      </c>
      <c r="D890" s="248" t="s">
        <v>876</v>
      </c>
      <c r="E890" s="249"/>
      <c r="F890" s="249"/>
      <c r="G890" s="249"/>
      <c r="H890" s="92"/>
      <c r="I890" s="6"/>
    </row>
    <row r="891" spans="1:9" x14ac:dyDescent="0.2">
      <c r="A891" s="7" t="s">
        <v>204</v>
      </c>
      <c r="B891" s="17" t="s">
        <v>305</v>
      </c>
      <c r="C891" s="17" t="s">
        <v>489</v>
      </c>
      <c r="D891" s="241" t="s">
        <v>877</v>
      </c>
      <c r="E891" s="242"/>
      <c r="F891" s="17" t="s">
        <v>1045</v>
      </c>
      <c r="G891" s="28">
        <v>2</v>
      </c>
      <c r="H891" s="93">
        <v>0</v>
      </c>
      <c r="I891" s="6"/>
    </row>
    <row r="892" spans="1:9" ht="12.2" customHeight="1" x14ac:dyDescent="0.2">
      <c r="A892" s="7"/>
      <c r="B892" s="17"/>
      <c r="C892" s="17"/>
      <c r="D892" s="85" t="s">
        <v>7</v>
      </c>
      <c r="E892" s="267" t="s">
        <v>1621</v>
      </c>
      <c r="F892" s="267"/>
      <c r="G892" s="88">
        <v>1</v>
      </c>
      <c r="H892" s="40"/>
      <c r="I892" s="6"/>
    </row>
    <row r="893" spans="1:9" ht="12.2" customHeight="1" x14ac:dyDescent="0.2">
      <c r="A893" s="7"/>
      <c r="B893" s="17"/>
      <c r="C893" s="17"/>
      <c r="D893" s="85" t="s">
        <v>7</v>
      </c>
      <c r="E893" s="267" t="s">
        <v>1650</v>
      </c>
      <c r="F893" s="267"/>
      <c r="G893" s="88">
        <v>1</v>
      </c>
      <c r="H893" s="40"/>
      <c r="I893" s="6"/>
    </row>
    <row r="894" spans="1:9" ht="12.95" customHeight="1" x14ac:dyDescent="0.2">
      <c r="A894" s="6"/>
      <c r="C894" s="84" t="s">
        <v>302</v>
      </c>
      <c r="D894" s="248" t="s">
        <v>876</v>
      </c>
      <c r="E894" s="249"/>
      <c r="F894" s="249"/>
      <c r="G894" s="249"/>
      <c r="H894" s="92"/>
      <c r="I894" s="6"/>
    </row>
    <row r="895" spans="1:9" x14ac:dyDescent="0.2">
      <c r="A895" s="7" t="s">
        <v>205</v>
      </c>
      <c r="B895" s="17" t="s">
        <v>305</v>
      </c>
      <c r="C895" s="17" t="s">
        <v>490</v>
      </c>
      <c r="D895" s="241" t="s">
        <v>878</v>
      </c>
      <c r="E895" s="242"/>
      <c r="F895" s="17" t="s">
        <v>1045</v>
      </c>
      <c r="G895" s="28">
        <v>4</v>
      </c>
      <c r="H895" s="93">
        <v>0</v>
      </c>
      <c r="I895" s="6"/>
    </row>
    <row r="896" spans="1:9" ht="12.2" customHeight="1" x14ac:dyDescent="0.2">
      <c r="A896" s="7"/>
      <c r="B896" s="17"/>
      <c r="C896" s="17"/>
      <c r="D896" s="85" t="s">
        <v>7</v>
      </c>
      <c r="E896" s="267" t="s">
        <v>1755</v>
      </c>
      <c r="F896" s="267"/>
      <c r="G896" s="88">
        <v>1</v>
      </c>
      <c r="H896" s="40"/>
      <c r="I896" s="6"/>
    </row>
    <row r="897" spans="1:9" ht="12.2" customHeight="1" x14ac:dyDescent="0.2">
      <c r="A897" s="7"/>
      <c r="B897" s="17"/>
      <c r="C897" s="17"/>
      <c r="D897" s="85" t="s">
        <v>7</v>
      </c>
      <c r="E897" s="267" t="s">
        <v>1657</v>
      </c>
      <c r="F897" s="267"/>
      <c r="G897" s="88">
        <v>1</v>
      </c>
      <c r="H897" s="40"/>
      <c r="I897" s="6"/>
    </row>
    <row r="898" spans="1:9" ht="12.2" customHeight="1" x14ac:dyDescent="0.2">
      <c r="A898" s="7"/>
      <c r="B898" s="17"/>
      <c r="C898" s="17"/>
      <c r="D898" s="85" t="s">
        <v>7</v>
      </c>
      <c r="E898" s="267" t="s">
        <v>1658</v>
      </c>
      <c r="F898" s="267"/>
      <c r="G898" s="88">
        <v>1</v>
      </c>
      <c r="H898" s="40"/>
      <c r="I898" s="6"/>
    </row>
    <row r="899" spans="1:9" ht="12.2" customHeight="1" x14ac:dyDescent="0.2">
      <c r="A899" s="7"/>
      <c r="B899" s="17"/>
      <c r="C899" s="17"/>
      <c r="D899" s="85" t="s">
        <v>7</v>
      </c>
      <c r="E899" s="267" t="s">
        <v>1659</v>
      </c>
      <c r="F899" s="267"/>
      <c r="G899" s="88">
        <v>1</v>
      </c>
      <c r="H899" s="40"/>
      <c r="I899" s="6"/>
    </row>
    <row r="900" spans="1:9" ht="12.95" customHeight="1" x14ac:dyDescent="0.2">
      <c r="A900" s="6"/>
      <c r="C900" s="84" t="s">
        <v>302</v>
      </c>
      <c r="D900" s="248" t="s">
        <v>876</v>
      </c>
      <c r="E900" s="249"/>
      <c r="F900" s="249"/>
      <c r="G900" s="249"/>
      <c r="H900" s="92"/>
      <c r="I900" s="6"/>
    </row>
    <row r="901" spans="1:9" x14ac:dyDescent="0.2">
      <c r="A901" s="7" t="s">
        <v>206</v>
      </c>
      <c r="B901" s="17" t="s">
        <v>305</v>
      </c>
      <c r="C901" s="17" t="s">
        <v>491</v>
      </c>
      <c r="D901" s="241" t="s">
        <v>879</v>
      </c>
      <c r="E901" s="242"/>
      <c r="F901" s="17" t="s">
        <v>1045</v>
      </c>
      <c r="G901" s="28">
        <v>1</v>
      </c>
      <c r="H901" s="93">
        <v>0</v>
      </c>
      <c r="I901" s="6"/>
    </row>
    <row r="902" spans="1:9" ht="12.2" customHeight="1" x14ac:dyDescent="0.2">
      <c r="A902" s="7"/>
      <c r="B902" s="17"/>
      <c r="C902" s="17"/>
      <c r="D902" s="85" t="s">
        <v>7</v>
      </c>
      <c r="E902" s="267" t="s">
        <v>1652</v>
      </c>
      <c r="F902" s="267"/>
      <c r="G902" s="88">
        <v>1</v>
      </c>
      <c r="H902" s="40"/>
      <c r="I902" s="6"/>
    </row>
    <row r="903" spans="1:9" ht="12.95" customHeight="1" x14ac:dyDescent="0.2">
      <c r="A903" s="6"/>
      <c r="C903" s="84" t="s">
        <v>302</v>
      </c>
      <c r="D903" s="248" t="s">
        <v>876</v>
      </c>
      <c r="E903" s="249"/>
      <c r="F903" s="249"/>
      <c r="G903" s="249"/>
      <c r="H903" s="92"/>
      <c r="I903" s="6"/>
    </row>
    <row r="904" spans="1:9" x14ac:dyDescent="0.2">
      <c r="A904" s="7" t="s">
        <v>207</v>
      </c>
      <c r="B904" s="17" t="s">
        <v>305</v>
      </c>
      <c r="C904" s="17" t="s">
        <v>492</v>
      </c>
      <c r="D904" s="241" t="s">
        <v>880</v>
      </c>
      <c r="E904" s="242"/>
      <c r="F904" s="17" t="s">
        <v>1045</v>
      </c>
      <c r="G904" s="28">
        <v>3</v>
      </c>
      <c r="H904" s="93">
        <v>0</v>
      </c>
      <c r="I904" s="6"/>
    </row>
    <row r="905" spans="1:9" ht="12.2" customHeight="1" x14ac:dyDescent="0.2">
      <c r="A905" s="7"/>
      <c r="B905" s="17"/>
      <c r="C905" s="17"/>
      <c r="D905" s="85" t="s">
        <v>9</v>
      </c>
      <c r="E905" s="267" t="s">
        <v>1625</v>
      </c>
      <c r="F905" s="267"/>
      <c r="G905" s="88">
        <v>3</v>
      </c>
      <c r="H905" s="40"/>
      <c r="I905" s="6"/>
    </row>
    <row r="906" spans="1:9" ht="12.95" customHeight="1" x14ac:dyDescent="0.2">
      <c r="A906" s="6"/>
      <c r="C906" s="84" t="s">
        <v>302</v>
      </c>
      <c r="D906" s="248" t="s">
        <v>876</v>
      </c>
      <c r="E906" s="249"/>
      <c r="F906" s="249"/>
      <c r="G906" s="249"/>
      <c r="H906" s="92"/>
      <c r="I906" s="6"/>
    </row>
    <row r="907" spans="1:9" x14ac:dyDescent="0.2">
      <c r="A907" s="7" t="s">
        <v>208</v>
      </c>
      <c r="B907" s="17" t="s">
        <v>305</v>
      </c>
      <c r="C907" s="17" t="s">
        <v>493</v>
      </c>
      <c r="D907" s="241" t="s">
        <v>881</v>
      </c>
      <c r="E907" s="242"/>
      <c r="F907" s="17" t="s">
        <v>1045</v>
      </c>
      <c r="G907" s="28">
        <v>6</v>
      </c>
      <c r="H907" s="93">
        <v>0</v>
      </c>
      <c r="I907" s="6"/>
    </row>
    <row r="908" spans="1:9" ht="12.2" customHeight="1" x14ac:dyDescent="0.2">
      <c r="A908" s="7"/>
      <c r="B908" s="17"/>
      <c r="C908" s="17"/>
      <c r="D908" s="85" t="s">
        <v>8</v>
      </c>
      <c r="E908" s="267" t="s">
        <v>1621</v>
      </c>
      <c r="F908" s="267"/>
      <c r="G908" s="88">
        <v>2</v>
      </c>
      <c r="H908" s="40"/>
      <c r="I908" s="6"/>
    </row>
    <row r="909" spans="1:9" ht="12.2" customHeight="1" x14ac:dyDescent="0.2">
      <c r="A909" s="7"/>
      <c r="B909" s="17"/>
      <c r="C909" s="17"/>
      <c r="D909" s="85" t="s">
        <v>7</v>
      </c>
      <c r="E909" s="267" t="s">
        <v>1650</v>
      </c>
      <c r="F909" s="267"/>
      <c r="G909" s="88">
        <v>1</v>
      </c>
      <c r="H909" s="40"/>
      <c r="I909" s="6"/>
    </row>
    <row r="910" spans="1:9" ht="12.2" customHeight="1" x14ac:dyDescent="0.2">
      <c r="A910" s="7"/>
      <c r="B910" s="17"/>
      <c r="C910" s="17"/>
      <c r="D910" s="85" t="s">
        <v>7</v>
      </c>
      <c r="E910" s="267" t="s">
        <v>1654</v>
      </c>
      <c r="F910" s="267"/>
      <c r="G910" s="88">
        <v>1</v>
      </c>
      <c r="H910" s="40"/>
      <c r="I910" s="6"/>
    </row>
    <row r="911" spans="1:9" ht="12.2" customHeight="1" x14ac:dyDescent="0.2">
      <c r="A911" s="7"/>
      <c r="B911" s="17"/>
      <c r="C911" s="17"/>
      <c r="D911" s="85" t="s">
        <v>7</v>
      </c>
      <c r="E911" s="267" t="s">
        <v>1653</v>
      </c>
      <c r="F911" s="267"/>
      <c r="G911" s="88">
        <v>1</v>
      </c>
      <c r="H911" s="40"/>
      <c r="I911" s="6"/>
    </row>
    <row r="912" spans="1:9" ht="12.2" customHeight="1" x14ac:dyDescent="0.2">
      <c r="A912" s="7"/>
      <c r="B912" s="17"/>
      <c r="C912" s="17"/>
      <c r="D912" s="85" t="s">
        <v>7</v>
      </c>
      <c r="E912" s="267" t="s">
        <v>1655</v>
      </c>
      <c r="F912" s="267"/>
      <c r="G912" s="88">
        <v>1</v>
      </c>
      <c r="H912" s="40"/>
      <c r="I912" s="6"/>
    </row>
    <row r="913" spans="1:9" ht="12.95" customHeight="1" x14ac:dyDescent="0.2">
      <c r="A913" s="6"/>
      <c r="C913" s="84" t="s">
        <v>302</v>
      </c>
      <c r="D913" s="248" t="s">
        <v>876</v>
      </c>
      <c r="E913" s="249"/>
      <c r="F913" s="249"/>
      <c r="G913" s="249"/>
      <c r="H913" s="92"/>
      <c r="I913" s="6"/>
    </row>
    <row r="914" spans="1:9" x14ac:dyDescent="0.2">
      <c r="A914" s="7" t="s">
        <v>209</v>
      </c>
      <c r="B914" s="17" t="s">
        <v>305</v>
      </c>
      <c r="C914" s="17" t="s">
        <v>494</v>
      </c>
      <c r="D914" s="241" t="s">
        <v>882</v>
      </c>
      <c r="E914" s="242"/>
      <c r="F914" s="17" t="s">
        <v>1045</v>
      </c>
      <c r="G914" s="28">
        <v>8</v>
      </c>
      <c r="H914" s="93">
        <v>0</v>
      </c>
      <c r="I914" s="6"/>
    </row>
    <row r="915" spans="1:9" ht="12.2" customHeight="1" x14ac:dyDescent="0.2">
      <c r="A915" s="7"/>
      <c r="B915" s="17"/>
      <c r="C915" s="17"/>
      <c r="D915" s="85" t="s">
        <v>9</v>
      </c>
      <c r="E915" s="267" t="s">
        <v>1625</v>
      </c>
      <c r="F915" s="267"/>
      <c r="G915" s="88">
        <v>3</v>
      </c>
      <c r="H915" s="40"/>
      <c r="I915" s="6"/>
    </row>
    <row r="916" spans="1:9" ht="12.2" customHeight="1" x14ac:dyDescent="0.2">
      <c r="A916" s="7"/>
      <c r="B916" s="17"/>
      <c r="C916" s="17"/>
      <c r="D916" s="85" t="s">
        <v>7</v>
      </c>
      <c r="E916" s="267" t="s">
        <v>1755</v>
      </c>
      <c r="F916" s="267"/>
      <c r="G916" s="88">
        <v>1</v>
      </c>
      <c r="H916" s="40"/>
      <c r="I916" s="6"/>
    </row>
    <row r="917" spans="1:9" ht="12.2" customHeight="1" x14ac:dyDescent="0.2">
      <c r="A917" s="7"/>
      <c r="B917" s="17"/>
      <c r="C917" s="17"/>
      <c r="D917" s="85" t="s">
        <v>7</v>
      </c>
      <c r="E917" s="267" t="s">
        <v>1652</v>
      </c>
      <c r="F917" s="267"/>
      <c r="G917" s="88">
        <v>1</v>
      </c>
      <c r="H917" s="40"/>
      <c r="I917" s="6"/>
    </row>
    <row r="918" spans="1:9" ht="12.2" customHeight="1" x14ac:dyDescent="0.2">
      <c r="A918" s="7"/>
      <c r="B918" s="17"/>
      <c r="C918" s="17"/>
      <c r="D918" s="85" t="s">
        <v>7</v>
      </c>
      <c r="E918" s="267" t="s">
        <v>1657</v>
      </c>
      <c r="F918" s="267"/>
      <c r="G918" s="88">
        <v>1</v>
      </c>
      <c r="H918" s="40"/>
      <c r="I918" s="6"/>
    </row>
    <row r="919" spans="1:9" ht="12.2" customHeight="1" x14ac:dyDescent="0.2">
      <c r="A919" s="7"/>
      <c r="B919" s="17"/>
      <c r="C919" s="17"/>
      <c r="D919" s="85" t="s">
        <v>7</v>
      </c>
      <c r="E919" s="267" t="s">
        <v>1658</v>
      </c>
      <c r="F919" s="267"/>
      <c r="G919" s="88">
        <v>1</v>
      </c>
      <c r="H919" s="40"/>
      <c r="I919" s="6"/>
    </row>
    <row r="920" spans="1:9" ht="12.2" customHeight="1" x14ac:dyDescent="0.2">
      <c r="A920" s="7"/>
      <c r="B920" s="17"/>
      <c r="C920" s="17"/>
      <c r="D920" s="85" t="s">
        <v>7</v>
      </c>
      <c r="E920" s="267" t="s">
        <v>1659</v>
      </c>
      <c r="F920" s="267"/>
      <c r="G920" s="88">
        <v>1</v>
      </c>
      <c r="H920" s="40"/>
      <c r="I920" s="6"/>
    </row>
    <row r="921" spans="1:9" ht="12.95" customHeight="1" x14ac:dyDescent="0.2">
      <c r="A921" s="6"/>
      <c r="C921" s="84" t="s">
        <v>302</v>
      </c>
      <c r="D921" s="248" t="s">
        <v>876</v>
      </c>
      <c r="E921" s="249"/>
      <c r="F921" s="249"/>
      <c r="G921" s="249"/>
      <c r="H921" s="92"/>
      <c r="I921" s="6"/>
    </row>
    <row r="922" spans="1:9" x14ac:dyDescent="0.2">
      <c r="A922" s="7" t="s">
        <v>210</v>
      </c>
      <c r="B922" s="17" t="s">
        <v>305</v>
      </c>
      <c r="C922" s="17" t="s">
        <v>495</v>
      </c>
      <c r="D922" s="241" t="s">
        <v>883</v>
      </c>
      <c r="E922" s="242"/>
      <c r="F922" s="17" t="s">
        <v>1045</v>
      </c>
      <c r="G922" s="28">
        <v>1</v>
      </c>
      <c r="H922" s="93">
        <v>0</v>
      </c>
      <c r="I922" s="6"/>
    </row>
    <row r="923" spans="1:9" ht="12.2" customHeight="1" x14ac:dyDescent="0.2">
      <c r="A923" s="7"/>
      <c r="B923" s="17"/>
      <c r="C923" s="17"/>
      <c r="D923" s="85" t="s">
        <v>7</v>
      </c>
      <c r="E923" s="267" t="s">
        <v>1621</v>
      </c>
      <c r="F923" s="267"/>
      <c r="G923" s="88">
        <v>1</v>
      </c>
      <c r="H923" s="40"/>
      <c r="I923" s="6"/>
    </row>
    <row r="924" spans="1:9" ht="12.95" customHeight="1" x14ac:dyDescent="0.2">
      <c r="A924" s="6"/>
      <c r="C924" s="84" t="s">
        <v>302</v>
      </c>
      <c r="D924" s="248" t="s">
        <v>876</v>
      </c>
      <c r="E924" s="249"/>
      <c r="F924" s="249"/>
      <c r="G924" s="249"/>
      <c r="H924" s="92"/>
      <c r="I924" s="6"/>
    </row>
    <row r="925" spans="1:9" x14ac:dyDescent="0.2">
      <c r="A925" s="5" t="s">
        <v>211</v>
      </c>
      <c r="B925" s="16" t="s">
        <v>305</v>
      </c>
      <c r="C925" s="16" t="s">
        <v>496</v>
      </c>
      <c r="D925" s="243" t="s">
        <v>884</v>
      </c>
      <c r="E925" s="244"/>
      <c r="F925" s="16" t="s">
        <v>1045</v>
      </c>
      <c r="G925" s="27">
        <v>16</v>
      </c>
      <c r="H925" s="91">
        <v>0</v>
      </c>
      <c r="I925" s="6"/>
    </row>
    <row r="926" spans="1:9" ht="12.2" customHeight="1" x14ac:dyDescent="0.2">
      <c r="A926" s="5"/>
      <c r="B926" s="16"/>
      <c r="C926" s="16"/>
      <c r="D926" s="85" t="s">
        <v>9</v>
      </c>
      <c r="E926" s="267" t="s">
        <v>1625</v>
      </c>
      <c r="F926" s="267"/>
      <c r="G926" s="87">
        <v>3</v>
      </c>
      <c r="H926" s="39"/>
      <c r="I926" s="6"/>
    </row>
    <row r="927" spans="1:9" ht="12.2" customHeight="1" x14ac:dyDescent="0.2">
      <c r="A927" s="5"/>
      <c r="B927" s="16"/>
      <c r="C927" s="16"/>
      <c r="D927" s="85" t="s">
        <v>9</v>
      </c>
      <c r="E927" s="267" t="s">
        <v>1621</v>
      </c>
      <c r="F927" s="267"/>
      <c r="G927" s="87">
        <v>3</v>
      </c>
      <c r="H927" s="39"/>
      <c r="I927" s="6"/>
    </row>
    <row r="928" spans="1:9" ht="12.2" customHeight="1" x14ac:dyDescent="0.2">
      <c r="A928" s="5"/>
      <c r="B928" s="16"/>
      <c r="C928" s="16"/>
      <c r="D928" s="85" t="s">
        <v>7</v>
      </c>
      <c r="E928" s="267" t="s">
        <v>1650</v>
      </c>
      <c r="F928" s="267"/>
      <c r="G928" s="87">
        <v>1</v>
      </c>
      <c r="H928" s="39"/>
      <c r="I928" s="6"/>
    </row>
    <row r="929" spans="1:9" ht="12.2" customHeight="1" x14ac:dyDescent="0.2">
      <c r="A929" s="5"/>
      <c r="B929" s="16"/>
      <c r="C929" s="16"/>
      <c r="D929" s="85" t="s">
        <v>7</v>
      </c>
      <c r="E929" s="267" t="s">
        <v>1654</v>
      </c>
      <c r="F929" s="267"/>
      <c r="G929" s="87">
        <v>1</v>
      </c>
      <c r="H929" s="39"/>
      <c r="I929" s="6"/>
    </row>
    <row r="930" spans="1:9" ht="12.2" customHeight="1" x14ac:dyDescent="0.2">
      <c r="A930" s="5"/>
      <c r="B930" s="16"/>
      <c r="C930" s="16"/>
      <c r="D930" s="85" t="s">
        <v>7</v>
      </c>
      <c r="E930" s="267" t="s">
        <v>1653</v>
      </c>
      <c r="F930" s="267"/>
      <c r="G930" s="87">
        <v>1</v>
      </c>
      <c r="H930" s="39"/>
      <c r="I930" s="6"/>
    </row>
    <row r="931" spans="1:9" ht="12.2" customHeight="1" x14ac:dyDescent="0.2">
      <c r="A931" s="5"/>
      <c r="B931" s="16"/>
      <c r="C931" s="16"/>
      <c r="D931" s="85" t="s">
        <v>7</v>
      </c>
      <c r="E931" s="267" t="s">
        <v>1655</v>
      </c>
      <c r="F931" s="267"/>
      <c r="G931" s="87">
        <v>1</v>
      </c>
      <c r="H931" s="39"/>
      <c r="I931" s="6"/>
    </row>
    <row r="932" spans="1:9" ht="12.2" customHeight="1" x14ac:dyDescent="0.2">
      <c r="A932" s="5"/>
      <c r="B932" s="16"/>
      <c r="C932" s="16"/>
      <c r="D932" s="85" t="s">
        <v>7</v>
      </c>
      <c r="E932" s="267" t="s">
        <v>1755</v>
      </c>
      <c r="F932" s="267"/>
      <c r="G932" s="87">
        <v>1</v>
      </c>
      <c r="H932" s="39"/>
      <c r="I932" s="6"/>
    </row>
    <row r="933" spans="1:9" ht="12.2" customHeight="1" x14ac:dyDescent="0.2">
      <c r="A933" s="5"/>
      <c r="B933" s="16"/>
      <c r="C933" s="16"/>
      <c r="D933" s="85" t="s">
        <v>7</v>
      </c>
      <c r="E933" s="267" t="s">
        <v>1652</v>
      </c>
      <c r="F933" s="267"/>
      <c r="G933" s="87">
        <v>1</v>
      </c>
      <c r="H933" s="39"/>
      <c r="I933" s="6"/>
    </row>
    <row r="934" spans="1:9" ht="12.2" customHeight="1" x14ac:dyDescent="0.2">
      <c r="A934" s="5"/>
      <c r="B934" s="16"/>
      <c r="C934" s="16"/>
      <c r="D934" s="85" t="s">
        <v>7</v>
      </c>
      <c r="E934" s="267" t="s">
        <v>1657</v>
      </c>
      <c r="F934" s="267"/>
      <c r="G934" s="87">
        <v>1</v>
      </c>
      <c r="H934" s="39"/>
      <c r="I934" s="6"/>
    </row>
    <row r="935" spans="1:9" ht="12.2" customHeight="1" x14ac:dyDescent="0.2">
      <c r="A935" s="5"/>
      <c r="B935" s="16"/>
      <c r="C935" s="16"/>
      <c r="D935" s="85" t="s">
        <v>7</v>
      </c>
      <c r="E935" s="267" t="s">
        <v>1658</v>
      </c>
      <c r="F935" s="267"/>
      <c r="G935" s="87">
        <v>1</v>
      </c>
      <c r="H935" s="39"/>
      <c r="I935" s="6"/>
    </row>
    <row r="936" spans="1:9" ht="12.2" customHeight="1" x14ac:dyDescent="0.2">
      <c r="A936" s="5"/>
      <c r="B936" s="16"/>
      <c r="C936" s="16"/>
      <c r="D936" s="85" t="s">
        <v>7</v>
      </c>
      <c r="E936" s="267" t="s">
        <v>1659</v>
      </c>
      <c r="F936" s="267"/>
      <c r="G936" s="87">
        <v>1</v>
      </c>
      <c r="H936" s="39"/>
      <c r="I936" s="6"/>
    </row>
    <row r="937" spans="1:9" ht="12.2" customHeight="1" x14ac:dyDescent="0.2">
      <c r="A937" s="5"/>
      <c r="B937" s="16"/>
      <c r="C937" s="16"/>
      <c r="D937" s="85" t="s">
        <v>7</v>
      </c>
      <c r="E937" s="267" t="s">
        <v>1756</v>
      </c>
      <c r="F937" s="267"/>
      <c r="G937" s="87">
        <v>1</v>
      </c>
      <c r="H937" s="39"/>
      <c r="I937" s="6"/>
    </row>
    <row r="938" spans="1:9" x14ac:dyDescent="0.2">
      <c r="A938" s="7" t="s">
        <v>212</v>
      </c>
      <c r="B938" s="17" t="s">
        <v>305</v>
      </c>
      <c r="C938" s="17" t="s">
        <v>497</v>
      </c>
      <c r="D938" s="241" t="s">
        <v>885</v>
      </c>
      <c r="E938" s="242"/>
      <c r="F938" s="17" t="s">
        <v>1045</v>
      </c>
      <c r="G938" s="28">
        <v>16</v>
      </c>
      <c r="H938" s="93">
        <v>0</v>
      </c>
      <c r="I938" s="6"/>
    </row>
    <row r="939" spans="1:9" ht="12.2" customHeight="1" x14ac:dyDescent="0.2">
      <c r="A939" s="7"/>
      <c r="B939" s="17"/>
      <c r="C939" s="17"/>
      <c r="D939" s="85" t="s">
        <v>9</v>
      </c>
      <c r="E939" s="267" t="s">
        <v>1625</v>
      </c>
      <c r="F939" s="267"/>
      <c r="G939" s="88">
        <v>3</v>
      </c>
      <c r="H939" s="40"/>
      <c r="I939" s="6"/>
    </row>
    <row r="940" spans="1:9" ht="12.2" customHeight="1" x14ac:dyDescent="0.2">
      <c r="A940" s="7"/>
      <c r="B940" s="17"/>
      <c r="C940" s="17"/>
      <c r="D940" s="85" t="s">
        <v>9</v>
      </c>
      <c r="E940" s="267" t="s">
        <v>1621</v>
      </c>
      <c r="F940" s="267"/>
      <c r="G940" s="88">
        <v>3</v>
      </c>
      <c r="H940" s="40"/>
      <c r="I940" s="6"/>
    </row>
    <row r="941" spans="1:9" ht="12.2" customHeight="1" x14ac:dyDescent="0.2">
      <c r="A941" s="7"/>
      <c r="B941" s="17"/>
      <c r="C941" s="17"/>
      <c r="D941" s="85" t="s">
        <v>7</v>
      </c>
      <c r="E941" s="267" t="s">
        <v>1650</v>
      </c>
      <c r="F941" s="267"/>
      <c r="G941" s="88">
        <v>1</v>
      </c>
      <c r="H941" s="40"/>
      <c r="I941" s="6"/>
    </row>
    <row r="942" spans="1:9" ht="12.2" customHeight="1" x14ac:dyDescent="0.2">
      <c r="A942" s="7"/>
      <c r="B942" s="17"/>
      <c r="C942" s="17"/>
      <c r="D942" s="85" t="s">
        <v>7</v>
      </c>
      <c r="E942" s="267" t="s">
        <v>1654</v>
      </c>
      <c r="F942" s="267"/>
      <c r="G942" s="88">
        <v>1</v>
      </c>
      <c r="H942" s="40"/>
      <c r="I942" s="6"/>
    </row>
    <row r="943" spans="1:9" ht="12.2" customHeight="1" x14ac:dyDescent="0.2">
      <c r="A943" s="7"/>
      <c r="B943" s="17"/>
      <c r="C943" s="17"/>
      <c r="D943" s="85" t="s">
        <v>7</v>
      </c>
      <c r="E943" s="267" t="s">
        <v>1653</v>
      </c>
      <c r="F943" s="267"/>
      <c r="G943" s="88">
        <v>1</v>
      </c>
      <c r="H943" s="40"/>
      <c r="I943" s="6"/>
    </row>
    <row r="944" spans="1:9" ht="12.2" customHeight="1" x14ac:dyDescent="0.2">
      <c r="A944" s="7"/>
      <c r="B944" s="17"/>
      <c r="C944" s="17"/>
      <c r="D944" s="85" t="s">
        <v>7</v>
      </c>
      <c r="E944" s="267" t="s">
        <v>1655</v>
      </c>
      <c r="F944" s="267"/>
      <c r="G944" s="88">
        <v>1</v>
      </c>
      <c r="H944" s="40"/>
      <c r="I944" s="6"/>
    </row>
    <row r="945" spans="1:9" ht="12.2" customHeight="1" x14ac:dyDescent="0.2">
      <c r="A945" s="7"/>
      <c r="B945" s="17"/>
      <c r="C945" s="17"/>
      <c r="D945" s="85" t="s">
        <v>7</v>
      </c>
      <c r="E945" s="267" t="s">
        <v>1755</v>
      </c>
      <c r="F945" s="267"/>
      <c r="G945" s="88">
        <v>1</v>
      </c>
      <c r="H945" s="40"/>
      <c r="I945" s="6"/>
    </row>
    <row r="946" spans="1:9" ht="12.2" customHeight="1" x14ac:dyDescent="0.2">
      <c r="A946" s="7"/>
      <c r="B946" s="17"/>
      <c r="C946" s="17"/>
      <c r="D946" s="85" t="s">
        <v>7</v>
      </c>
      <c r="E946" s="267" t="s">
        <v>1652</v>
      </c>
      <c r="F946" s="267"/>
      <c r="G946" s="88">
        <v>1</v>
      </c>
      <c r="H946" s="40"/>
      <c r="I946" s="6"/>
    </row>
    <row r="947" spans="1:9" ht="12.2" customHeight="1" x14ac:dyDescent="0.2">
      <c r="A947" s="7"/>
      <c r="B947" s="17"/>
      <c r="C947" s="17"/>
      <c r="D947" s="85" t="s">
        <v>7</v>
      </c>
      <c r="E947" s="267" t="s">
        <v>1657</v>
      </c>
      <c r="F947" s="267"/>
      <c r="G947" s="88">
        <v>1</v>
      </c>
      <c r="H947" s="40"/>
      <c r="I947" s="6"/>
    </row>
    <row r="948" spans="1:9" ht="12.2" customHeight="1" x14ac:dyDescent="0.2">
      <c r="A948" s="7"/>
      <c r="B948" s="17"/>
      <c r="C948" s="17"/>
      <c r="D948" s="85" t="s">
        <v>7</v>
      </c>
      <c r="E948" s="267" t="s">
        <v>1658</v>
      </c>
      <c r="F948" s="267"/>
      <c r="G948" s="88">
        <v>1</v>
      </c>
      <c r="H948" s="40"/>
      <c r="I948" s="6"/>
    </row>
    <row r="949" spans="1:9" ht="12.2" customHeight="1" x14ac:dyDescent="0.2">
      <c r="A949" s="7"/>
      <c r="B949" s="17"/>
      <c r="C949" s="17"/>
      <c r="D949" s="85" t="s">
        <v>7</v>
      </c>
      <c r="E949" s="267" t="s">
        <v>1659</v>
      </c>
      <c r="F949" s="267"/>
      <c r="G949" s="88">
        <v>1</v>
      </c>
      <c r="H949" s="40"/>
      <c r="I949" s="6"/>
    </row>
    <row r="950" spans="1:9" ht="12.2" customHeight="1" x14ac:dyDescent="0.2">
      <c r="A950" s="7"/>
      <c r="B950" s="17"/>
      <c r="C950" s="17"/>
      <c r="D950" s="85" t="s">
        <v>7</v>
      </c>
      <c r="E950" s="267" t="s">
        <v>1756</v>
      </c>
      <c r="F950" s="267"/>
      <c r="G950" s="88">
        <v>1</v>
      </c>
      <c r="H950" s="40"/>
      <c r="I950" s="6"/>
    </row>
    <row r="951" spans="1:9" ht="12.95" customHeight="1" x14ac:dyDescent="0.2">
      <c r="A951" s="6"/>
      <c r="C951" s="84" t="s">
        <v>302</v>
      </c>
      <c r="D951" s="248" t="s">
        <v>876</v>
      </c>
      <c r="E951" s="249"/>
      <c r="F951" s="249"/>
      <c r="G951" s="249"/>
      <c r="H951" s="92"/>
      <c r="I951" s="6"/>
    </row>
    <row r="952" spans="1:9" x14ac:dyDescent="0.2">
      <c r="A952" s="5" t="s">
        <v>213</v>
      </c>
      <c r="B952" s="16" t="s">
        <v>305</v>
      </c>
      <c r="C952" s="16" t="s">
        <v>498</v>
      </c>
      <c r="D952" s="243" t="s">
        <v>886</v>
      </c>
      <c r="E952" s="244"/>
      <c r="F952" s="16" t="s">
        <v>1045</v>
      </c>
      <c r="G952" s="27">
        <v>1</v>
      </c>
      <c r="H952" s="91">
        <v>0</v>
      </c>
      <c r="I952" s="6"/>
    </row>
    <row r="953" spans="1:9" ht="12.2" customHeight="1" x14ac:dyDescent="0.2">
      <c r="A953" s="5"/>
      <c r="B953" s="16"/>
      <c r="C953" s="16"/>
      <c r="D953" s="85" t="s">
        <v>7</v>
      </c>
      <c r="E953" s="267" t="s">
        <v>1756</v>
      </c>
      <c r="F953" s="267"/>
      <c r="G953" s="87">
        <v>1</v>
      </c>
      <c r="H953" s="39"/>
      <c r="I953" s="6"/>
    </row>
    <row r="954" spans="1:9" x14ac:dyDescent="0.2">
      <c r="A954" s="7" t="s">
        <v>214</v>
      </c>
      <c r="B954" s="17" t="s">
        <v>305</v>
      </c>
      <c r="C954" s="17" t="s">
        <v>499</v>
      </c>
      <c r="D954" s="241" t="s">
        <v>887</v>
      </c>
      <c r="E954" s="242"/>
      <c r="F954" s="17" t="s">
        <v>1045</v>
      </c>
      <c r="G954" s="28">
        <v>1</v>
      </c>
      <c r="H954" s="93">
        <v>0</v>
      </c>
      <c r="I954" s="6"/>
    </row>
    <row r="955" spans="1:9" ht="12.2" customHeight="1" x14ac:dyDescent="0.2">
      <c r="A955" s="7"/>
      <c r="B955" s="17"/>
      <c r="C955" s="17"/>
      <c r="D955" s="85" t="s">
        <v>7</v>
      </c>
      <c r="E955" s="267" t="s">
        <v>1756</v>
      </c>
      <c r="F955" s="267"/>
      <c r="G955" s="88">
        <v>1</v>
      </c>
      <c r="H955" s="40"/>
      <c r="I955" s="6"/>
    </row>
    <row r="956" spans="1:9" ht="12.95" customHeight="1" x14ac:dyDescent="0.2">
      <c r="A956" s="6"/>
      <c r="C956" s="84" t="s">
        <v>302</v>
      </c>
      <c r="D956" s="248" t="s">
        <v>876</v>
      </c>
      <c r="E956" s="249"/>
      <c r="F956" s="249"/>
      <c r="G956" s="249"/>
      <c r="H956" s="92"/>
      <c r="I956" s="6"/>
    </row>
    <row r="957" spans="1:9" x14ac:dyDescent="0.2">
      <c r="A957" s="7" t="s">
        <v>215</v>
      </c>
      <c r="B957" s="17" t="s">
        <v>305</v>
      </c>
      <c r="C957" s="17" t="s">
        <v>500</v>
      </c>
      <c r="D957" s="241" t="s">
        <v>888</v>
      </c>
      <c r="E957" s="242"/>
      <c r="F957" s="17" t="s">
        <v>1045</v>
      </c>
      <c r="G957" s="28">
        <v>1</v>
      </c>
      <c r="H957" s="93">
        <v>0</v>
      </c>
      <c r="I957" s="6"/>
    </row>
    <row r="958" spans="1:9" ht="12.2" customHeight="1" x14ac:dyDescent="0.2">
      <c r="A958" s="7"/>
      <c r="B958" s="17"/>
      <c r="C958" s="17"/>
      <c r="D958" s="85" t="s">
        <v>7</v>
      </c>
      <c r="E958" s="267" t="s">
        <v>1756</v>
      </c>
      <c r="F958" s="267"/>
      <c r="G958" s="88">
        <v>1</v>
      </c>
      <c r="H958" s="40"/>
      <c r="I958" s="6"/>
    </row>
    <row r="959" spans="1:9" ht="12.95" customHeight="1" x14ac:dyDescent="0.2">
      <c r="A959" s="6"/>
      <c r="C959" s="84" t="s">
        <v>302</v>
      </c>
      <c r="D959" s="248" t="s">
        <v>876</v>
      </c>
      <c r="E959" s="249"/>
      <c r="F959" s="249"/>
      <c r="G959" s="249"/>
      <c r="H959" s="92"/>
      <c r="I959" s="6"/>
    </row>
    <row r="960" spans="1:9" x14ac:dyDescent="0.2">
      <c r="A960" s="5" t="s">
        <v>216</v>
      </c>
      <c r="B960" s="16" t="s">
        <v>305</v>
      </c>
      <c r="C960" s="16" t="s">
        <v>501</v>
      </c>
      <c r="D960" s="243" t="s">
        <v>889</v>
      </c>
      <c r="E960" s="244"/>
      <c r="F960" s="16" t="s">
        <v>1044</v>
      </c>
      <c r="G960" s="27">
        <v>33.659999999999997</v>
      </c>
      <c r="H960" s="91">
        <v>0</v>
      </c>
      <c r="I960" s="6"/>
    </row>
    <row r="961" spans="1:9" ht="12.2" customHeight="1" x14ac:dyDescent="0.2">
      <c r="A961" s="5"/>
      <c r="B961" s="16"/>
      <c r="C961" s="16"/>
      <c r="D961" s="85" t="s">
        <v>1509</v>
      </c>
      <c r="E961" s="267" t="s">
        <v>1697</v>
      </c>
      <c r="F961" s="267"/>
      <c r="G961" s="87">
        <v>14.28</v>
      </c>
      <c r="H961" s="39"/>
      <c r="I961" s="6"/>
    </row>
    <row r="962" spans="1:9" ht="12.2" customHeight="1" x14ac:dyDescent="0.2">
      <c r="A962" s="5"/>
      <c r="B962" s="16"/>
      <c r="C962" s="16"/>
      <c r="D962" s="85" t="s">
        <v>1510</v>
      </c>
      <c r="E962" s="267" t="s">
        <v>1698</v>
      </c>
      <c r="F962" s="267"/>
      <c r="G962" s="87">
        <v>19.38</v>
      </c>
      <c r="H962" s="39"/>
      <c r="I962" s="6"/>
    </row>
    <row r="963" spans="1:9" x14ac:dyDescent="0.2">
      <c r="A963" s="7" t="s">
        <v>217</v>
      </c>
      <c r="B963" s="17" t="s">
        <v>305</v>
      </c>
      <c r="C963" s="17" t="s">
        <v>502</v>
      </c>
      <c r="D963" s="241" t="s">
        <v>890</v>
      </c>
      <c r="E963" s="242"/>
      <c r="F963" s="17" t="s">
        <v>1045</v>
      </c>
      <c r="G963" s="28">
        <v>33</v>
      </c>
      <c r="H963" s="93">
        <v>0</v>
      </c>
      <c r="I963" s="6"/>
    </row>
    <row r="964" spans="1:9" ht="12.2" customHeight="1" x14ac:dyDescent="0.2">
      <c r="A964" s="7"/>
      <c r="B964" s="17"/>
      <c r="C964" s="17"/>
      <c r="D964" s="85" t="s">
        <v>20</v>
      </c>
      <c r="E964" s="267" t="s">
        <v>1697</v>
      </c>
      <c r="F964" s="267"/>
      <c r="G964" s="88">
        <v>14</v>
      </c>
      <c r="H964" s="40"/>
      <c r="I964" s="6"/>
    </row>
    <row r="965" spans="1:9" ht="12.2" customHeight="1" x14ac:dyDescent="0.2">
      <c r="A965" s="7"/>
      <c r="B965" s="17"/>
      <c r="C965" s="17"/>
      <c r="D965" s="85" t="s">
        <v>25</v>
      </c>
      <c r="E965" s="267" t="s">
        <v>1698</v>
      </c>
      <c r="F965" s="267"/>
      <c r="G965" s="88">
        <v>19</v>
      </c>
      <c r="H965" s="40"/>
      <c r="I965" s="6"/>
    </row>
    <row r="966" spans="1:9" x14ac:dyDescent="0.2">
      <c r="A966" s="5" t="s">
        <v>218</v>
      </c>
      <c r="B966" s="16" t="s">
        <v>305</v>
      </c>
      <c r="C966" s="16" t="s">
        <v>503</v>
      </c>
      <c r="D966" s="243" t="s">
        <v>891</v>
      </c>
      <c r="E966" s="244"/>
      <c r="F966" s="16" t="s">
        <v>1044</v>
      </c>
      <c r="G966" s="27">
        <v>33.659999999999997</v>
      </c>
      <c r="H966" s="91">
        <v>0</v>
      </c>
      <c r="I966" s="6"/>
    </row>
    <row r="967" spans="1:9" ht="12.2" customHeight="1" x14ac:dyDescent="0.2">
      <c r="A967" s="5"/>
      <c r="B967" s="16"/>
      <c r="C967" s="16"/>
      <c r="D967" s="85" t="s">
        <v>1509</v>
      </c>
      <c r="E967" s="267" t="s">
        <v>1697</v>
      </c>
      <c r="F967" s="267"/>
      <c r="G967" s="87">
        <v>14.28</v>
      </c>
      <c r="H967" s="39"/>
      <c r="I967" s="6"/>
    </row>
    <row r="968" spans="1:9" ht="12.2" customHeight="1" x14ac:dyDescent="0.2">
      <c r="A968" s="5"/>
      <c r="B968" s="16"/>
      <c r="C968" s="16"/>
      <c r="D968" s="85" t="s">
        <v>1510</v>
      </c>
      <c r="E968" s="267" t="s">
        <v>1698</v>
      </c>
      <c r="F968" s="267"/>
      <c r="G968" s="87">
        <v>19.38</v>
      </c>
      <c r="H968" s="39"/>
      <c r="I968" s="6"/>
    </row>
    <row r="969" spans="1:9" x14ac:dyDescent="0.2">
      <c r="A969" s="7" t="s">
        <v>219</v>
      </c>
      <c r="B969" s="17" t="s">
        <v>305</v>
      </c>
      <c r="C969" s="17" t="s">
        <v>504</v>
      </c>
      <c r="D969" s="241" t="s">
        <v>892</v>
      </c>
      <c r="E969" s="242"/>
      <c r="F969" s="17" t="s">
        <v>1045</v>
      </c>
      <c r="G969" s="28">
        <v>33</v>
      </c>
      <c r="H969" s="93">
        <v>0</v>
      </c>
      <c r="I969" s="6"/>
    </row>
    <row r="970" spans="1:9" ht="12.2" customHeight="1" x14ac:dyDescent="0.2">
      <c r="A970" s="7"/>
      <c r="B970" s="17"/>
      <c r="C970" s="17"/>
      <c r="D970" s="85" t="s">
        <v>20</v>
      </c>
      <c r="E970" s="267" t="s">
        <v>1697</v>
      </c>
      <c r="F970" s="267"/>
      <c r="G970" s="88">
        <v>14</v>
      </c>
      <c r="H970" s="40"/>
      <c r="I970" s="6"/>
    </row>
    <row r="971" spans="1:9" ht="12.2" customHeight="1" x14ac:dyDescent="0.2">
      <c r="A971" s="7"/>
      <c r="B971" s="17"/>
      <c r="C971" s="17"/>
      <c r="D971" s="85" t="s">
        <v>25</v>
      </c>
      <c r="E971" s="267" t="s">
        <v>1698</v>
      </c>
      <c r="F971" s="267"/>
      <c r="G971" s="88">
        <v>19</v>
      </c>
      <c r="H971" s="40"/>
      <c r="I971" s="6"/>
    </row>
    <row r="972" spans="1:9" x14ac:dyDescent="0.2">
      <c r="A972" s="5" t="s">
        <v>220</v>
      </c>
      <c r="B972" s="16" t="s">
        <v>305</v>
      </c>
      <c r="C972" s="16" t="s">
        <v>505</v>
      </c>
      <c r="D972" s="243" t="s">
        <v>893</v>
      </c>
      <c r="E972" s="244"/>
      <c r="F972" s="16" t="s">
        <v>1044</v>
      </c>
      <c r="G972" s="27">
        <v>28.78</v>
      </c>
      <c r="H972" s="91">
        <v>0</v>
      </c>
      <c r="I972" s="6"/>
    </row>
    <row r="973" spans="1:9" ht="12.2" customHeight="1" x14ac:dyDescent="0.2">
      <c r="A973" s="5"/>
      <c r="B973" s="16"/>
      <c r="C973" s="16"/>
      <c r="D973" s="85" t="s">
        <v>1511</v>
      </c>
      <c r="E973" s="267" t="s">
        <v>1697</v>
      </c>
      <c r="F973" s="267"/>
      <c r="G973" s="87">
        <v>11.87</v>
      </c>
      <c r="H973" s="39"/>
      <c r="I973" s="6"/>
    </row>
    <row r="974" spans="1:9" ht="12.2" customHeight="1" x14ac:dyDescent="0.2">
      <c r="A974" s="5"/>
      <c r="B974" s="16"/>
      <c r="C974" s="16"/>
      <c r="D974" s="85" t="s">
        <v>1512</v>
      </c>
      <c r="E974" s="267" t="s">
        <v>1698</v>
      </c>
      <c r="F974" s="267"/>
      <c r="G974" s="87">
        <v>16.91</v>
      </c>
      <c r="H974" s="39"/>
      <c r="I974" s="6"/>
    </row>
    <row r="975" spans="1:9" x14ac:dyDescent="0.2">
      <c r="A975" s="7" t="s">
        <v>221</v>
      </c>
      <c r="B975" s="17" t="s">
        <v>305</v>
      </c>
      <c r="C975" s="17" t="s">
        <v>506</v>
      </c>
      <c r="D975" s="241" t="s">
        <v>895</v>
      </c>
      <c r="E975" s="242"/>
      <c r="F975" s="17" t="s">
        <v>1044</v>
      </c>
      <c r="G975" s="28">
        <v>28.78</v>
      </c>
      <c r="H975" s="93">
        <v>0</v>
      </c>
      <c r="I975" s="6"/>
    </row>
    <row r="976" spans="1:9" ht="12.2" customHeight="1" x14ac:dyDescent="0.2">
      <c r="A976" s="7"/>
      <c r="B976" s="17"/>
      <c r="C976" s="17"/>
      <c r="D976" s="85" t="s">
        <v>1511</v>
      </c>
      <c r="E976" s="267" t="s">
        <v>1697</v>
      </c>
      <c r="F976" s="267"/>
      <c r="G976" s="88">
        <v>11.87</v>
      </c>
      <c r="H976" s="40"/>
      <c r="I976" s="6"/>
    </row>
    <row r="977" spans="1:9" ht="12.2" customHeight="1" x14ac:dyDescent="0.2">
      <c r="A977" s="7"/>
      <c r="B977" s="17"/>
      <c r="C977" s="17"/>
      <c r="D977" s="85" t="s">
        <v>1512</v>
      </c>
      <c r="E977" s="267" t="s">
        <v>1698</v>
      </c>
      <c r="F977" s="267"/>
      <c r="G977" s="88">
        <v>16.91</v>
      </c>
      <c r="H977" s="40"/>
      <c r="I977" s="6"/>
    </row>
    <row r="978" spans="1:9" x14ac:dyDescent="0.2">
      <c r="A978" s="5" t="s">
        <v>222</v>
      </c>
      <c r="B978" s="16" t="s">
        <v>305</v>
      </c>
      <c r="C978" s="16" t="s">
        <v>507</v>
      </c>
      <c r="D978" s="243" t="s">
        <v>896</v>
      </c>
      <c r="E978" s="244"/>
      <c r="F978" s="16" t="s">
        <v>1043</v>
      </c>
      <c r="G978" s="27">
        <v>3.1</v>
      </c>
      <c r="H978" s="91">
        <v>0</v>
      </c>
      <c r="I978" s="6"/>
    </row>
    <row r="979" spans="1:9" x14ac:dyDescent="0.2">
      <c r="A979" s="5" t="s">
        <v>223</v>
      </c>
      <c r="B979" s="16" t="s">
        <v>306</v>
      </c>
      <c r="C979" s="16" t="s">
        <v>591</v>
      </c>
      <c r="D979" s="243" t="s">
        <v>1004</v>
      </c>
      <c r="E979" s="244"/>
      <c r="F979" s="16" t="s">
        <v>1042</v>
      </c>
      <c r="G979" s="27">
        <v>18.260000000000002</v>
      </c>
      <c r="H979" s="91">
        <v>0</v>
      </c>
      <c r="I979" s="6"/>
    </row>
    <row r="980" spans="1:9" ht="12.2" customHeight="1" x14ac:dyDescent="0.2">
      <c r="A980" s="5"/>
      <c r="B980" s="16"/>
      <c r="C980" s="16"/>
      <c r="D980" s="85" t="s">
        <v>1320</v>
      </c>
      <c r="E980" s="267" t="s">
        <v>1601</v>
      </c>
      <c r="F980" s="267"/>
      <c r="G980" s="87">
        <v>18.260000000000002</v>
      </c>
      <c r="H980" s="39"/>
      <c r="I980" s="6"/>
    </row>
    <row r="981" spans="1:9" x14ac:dyDescent="0.2">
      <c r="A981" s="7" t="s">
        <v>224</v>
      </c>
      <c r="B981" s="17" t="s">
        <v>306</v>
      </c>
      <c r="C981" s="17" t="s">
        <v>592</v>
      </c>
      <c r="D981" s="241" t="s">
        <v>1005</v>
      </c>
      <c r="E981" s="242"/>
      <c r="F981" s="17" t="s">
        <v>1042</v>
      </c>
      <c r="G981" s="28">
        <v>18.63</v>
      </c>
      <c r="H981" s="93">
        <v>0</v>
      </c>
      <c r="I981" s="6"/>
    </row>
    <row r="982" spans="1:9" ht="12.2" customHeight="1" x14ac:dyDescent="0.2">
      <c r="A982" s="7"/>
      <c r="B982" s="17"/>
      <c r="C982" s="17"/>
      <c r="D982" s="85" t="s">
        <v>1320</v>
      </c>
      <c r="E982" s="267" t="s">
        <v>1601</v>
      </c>
      <c r="F982" s="267"/>
      <c r="G982" s="88">
        <v>18.260000000000002</v>
      </c>
      <c r="H982" s="40"/>
      <c r="I982" s="6"/>
    </row>
    <row r="983" spans="1:9" ht="12.2" customHeight="1" x14ac:dyDescent="0.2">
      <c r="A983" s="7"/>
      <c r="B983" s="17"/>
      <c r="C983" s="17"/>
      <c r="D983" s="85" t="s">
        <v>1513</v>
      </c>
      <c r="E983" s="267"/>
      <c r="F983" s="267"/>
      <c r="G983" s="88">
        <v>0.37</v>
      </c>
      <c r="H983" s="40"/>
      <c r="I983" s="6"/>
    </row>
    <row r="984" spans="1:9" x14ac:dyDescent="0.2">
      <c r="A984" s="7" t="s">
        <v>225</v>
      </c>
      <c r="B984" s="17" t="s">
        <v>306</v>
      </c>
      <c r="C984" s="17" t="s">
        <v>593</v>
      </c>
      <c r="D984" s="241" t="s">
        <v>1006</v>
      </c>
      <c r="E984" s="242"/>
      <c r="F984" s="17" t="s">
        <v>1044</v>
      </c>
      <c r="G984" s="28">
        <v>61.88</v>
      </c>
      <c r="H984" s="93">
        <v>0</v>
      </c>
      <c r="I984" s="6"/>
    </row>
    <row r="985" spans="1:9" ht="12.2" customHeight="1" x14ac:dyDescent="0.2">
      <c r="A985" s="7"/>
      <c r="B985" s="17"/>
      <c r="C985" s="17"/>
      <c r="D985" s="85" t="s">
        <v>1514</v>
      </c>
      <c r="E985" s="267" t="s">
        <v>1601</v>
      </c>
      <c r="F985" s="267"/>
      <c r="G985" s="88">
        <v>60.67</v>
      </c>
      <c r="H985" s="40"/>
      <c r="I985" s="6"/>
    </row>
    <row r="986" spans="1:9" ht="12.2" customHeight="1" x14ac:dyDescent="0.2">
      <c r="A986" s="7"/>
      <c r="B986" s="17"/>
      <c r="C986" s="17"/>
      <c r="D986" s="85" t="s">
        <v>1515</v>
      </c>
      <c r="E986" s="267"/>
      <c r="F986" s="267"/>
      <c r="G986" s="88">
        <v>1.21</v>
      </c>
      <c r="H986" s="40"/>
      <c r="I986" s="6"/>
    </row>
    <row r="987" spans="1:9" x14ac:dyDescent="0.2">
      <c r="A987" s="7" t="s">
        <v>226</v>
      </c>
      <c r="B987" s="17" t="s">
        <v>306</v>
      </c>
      <c r="C987" s="17" t="s">
        <v>594</v>
      </c>
      <c r="D987" s="241" t="s">
        <v>1007</v>
      </c>
      <c r="E987" s="242"/>
      <c r="F987" s="17" t="s">
        <v>1045</v>
      </c>
      <c r="G987" s="28">
        <v>115.04</v>
      </c>
      <c r="H987" s="93">
        <v>0</v>
      </c>
      <c r="I987" s="6"/>
    </row>
    <row r="988" spans="1:9" ht="12.2" customHeight="1" x14ac:dyDescent="0.2">
      <c r="A988" s="7"/>
      <c r="B988" s="17"/>
      <c r="C988" s="17"/>
      <c r="D988" s="85" t="s">
        <v>1516</v>
      </c>
      <c r="E988" s="267" t="s">
        <v>1601</v>
      </c>
      <c r="F988" s="267"/>
      <c r="G988" s="88">
        <v>109.56</v>
      </c>
      <c r="H988" s="40"/>
      <c r="I988" s="6"/>
    </row>
    <row r="989" spans="1:9" ht="12.2" customHeight="1" x14ac:dyDescent="0.2">
      <c r="A989" s="7"/>
      <c r="B989" s="17"/>
      <c r="C989" s="17"/>
      <c r="D989" s="85" t="s">
        <v>1517</v>
      </c>
      <c r="E989" s="267"/>
      <c r="F989" s="267"/>
      <c r="G989" s="88">
        <v>5.48</v>
      </c>
      <c r="H989" s="40"/>
      <c r="I989" s="6"/>
    </row>
    <row r="990" spans="1:9" x14ac:dyDescent="0.2">
      <c r="A990" s="7" t="s">
        <v>227</v>
      </c>
      <c r="B990" s="17" t="s">
        <v>306</v>
      </c>
      <c r="C990" s="17" t="s">
        <v>595</v>
      </c>
      <c r="D990" s="241" t="s">
        <v>1008</v>
      </c>
      <c r="E990" s="242"/>
      <c r="F990" s="17" t="s">
        <v>1045</v>
      </c>
      <c r="G990" s="28">
        <v>115.04</v>
      </c>
      <c r="H990" s="93">
        <v>0</v>
      </c>
      <c r="I990" s="6"/>
    </row>
    <row r="991" spans="1:9" ht="12.2" customHeight="1" x14ac:dyDescent="0.2">
      <c r="A991" s="7"/>
      <c r="B991" s="17"/>
      <c r="C991" s="17"/>
      <c r="D991" s="85" t="s">
        <v>1516</v>
      </c>
      <c r="E991" s="267" t="s">
        <v>1601</v>
      </c>
      <c r="F991" s="267"/>
      <c r="G991" s="88">
        <v>109.56</v>
      </c>
      <c r="H991" s="40"/>
      <c r="I991" s="6"/>
    </row>
    <row r="992" spans="1:9" ht="12.2" customHeight="1" x14ac:dyDescent="0.2">
      <c r="A992" s="7"/>
      <c r="B992" s="17"/>
      <c r="C992" s="17"/>
      <c r="D992" s="85" t="s">
        <v>1517</v>
      </c>
      <c r="E992" s="267"/>
      <c r="F992" s="267"/>
      <c r="G992" s="88">
        <v>5.48</v>
      </c>
      <c r="H992" s="40"/>
      <c r="I992" s="6"/>
    </row>
    <row r="993" spans="1:9" x14ac:dyDescent="0.2">
      <c r="A993" s="82"/>
      <c r="B993" s="15"/>
      <c r="C993" s="15" t="s">
        <v>508</v>
      </c>
      <c r="D993" s="237" t="s">
        <v>897</v>
      </c>
      <c r="E993" s="238"/>
      <c r="F993" s="15"/>
      <c r="G993" s="51"/>
      <c r="H993" s="38"/>
      <c r="I993" s="6"/>
    </row>
    <row r="994" spans="1:9" x14ac:dyDescent="0.2">
      <c r="A994" s="5" t="s">
        <v>228</v>
      </c>
      <c r="B994" s="16" t="s">
        <v>305</v>
      </c>
      <c r="C994" s="16" t="s">
        <v>509</v>
      </c>
      <c r="D994" s="243" t="s">
        <v>898</v>
      </c>
      <c r="E994" s="244"/>
      <c r="F994" s="16" t="s">
        <v>1042</v>
      </c>
      <c r="G994" s="27">
        <v>42.11</v>
      </c>
      <c r="H994" s="91">
        <v>0</v>
      </c>
      <c r="I994" s="6"/>
    </row>
    <row r="995" spans="1:9" ht="12.2" customHeight="1" x14ac:dyDescent="0.2">
      <c r="A995" s="5"/>
      <c r="B995" s="16"/>
      <c r="C995" s="16"/>
      <c r="D995" s="85" t="s">
        <v>1327</v>
      </c>
      <c r="E995" s="267" t="s">
        <v>1703</v>
      </c>
      <c r="F995" s="267"/>
      <c r="G995" s="87">
        <v>15.54</v>
      </c>
      <c r="H995" s="39"/>
      <c r="I995" s="6"/>
    </row>
    <row r="996" spans="1:9" ht="12.2" customHeight="1" x14ac:dyDescent="0.2">
      <c r="A996" s="5"/>
      <c r="B996" s="16"/>
      <c r="C996" s="16"/>
      <c r="D996" s="85" t="s">
        <v>1328</v>
      </c>
      <c r="E996" s="267" t="s">
        <v>1704</v>
      </c>
      <c r="F996" s="267"/>
      <c r="G996" s="87">
        <v>3.35</v>
      </c>
      <c r="H996" s="39"/>
      <c r="I996" s="6"/>
    </row>
    <row r="997" spans="1:9" ht="12.2" customHeight="1" x14ac:dyDescent="0.2">
      <c r="A997" s="5"/>
      <c r="B997" s="16"/>
      <c r="C997" s="16"/>
      <c r="D997" s="85" t="s">
        <v>1329</v>
      </c>
      <c r="E997" s="267" t="s">
        <v>1705</v>
      </c>
      <c r="F997" s="267"/>
      <c r="G997" s="87">
        <v>10.33</v>
      </c>
      <c r="H997" s="39"/>
      <c r="I997" s="6"/>
    </row>
    <row r="998" spans="1:9" ht="12.2" customHeight="1" x14ac:dyDescent="0.2">
      <c r="A998" s="5"/>
      <c r="B998" s="16"/>
      <c r="C998" s="16"/>
      <c r="D998" s="85" t="s">
        <v>1330</v>
      </c>
      <c r="E998" s="267" t="s">
        <v>1706</v>
      </c>
      <c r="F998" s="267"/>
      <c r="G998" s="87">
        <v>14.21</v>
      </c>
      <c r="H998" s="39"/>
      <c r="I998" s="6"/>
    </row>
    <row r="999" spans="1:9" ht="12.2" customHeight="1" x14ac:dyDescent="0.2">
      <c r="A999" s="5"/>
      <c r="B999" s="16"/>
      <c r="C999" s="16"/>
      <c r="D999" s="85" t="s">
        <v>1225</v>
      </c>
      <c r="E999" s="267" t="s">
        <v>1631</v>
      </c>
      <c r="F999" s="267"/>
      <c r="G999" s="87">
        <v>-1.32</v>
      </c>
      <c r="H999" s="39"/>
      <c r="I999" s="6"/>
    </row>
    <row r="1000" spans="1:9" x14ac:dyDescent="0.2">
      <c r="A1000" s="5" t="s">
        <v>229</v>
      </c>
      <c r="B1000" s="16" t="s">
        <v>305</v>
      </c>
      <c r="C1000" s="16" t="s">
        <v>510</v>
      </c>
      <c r="D1000" s="243" t="s">
        <v>899</v>
      </c>
      <c r="E1000" s="244"/>
      <c r="F1000" s="16" t="s">
        <v>1044</v>
      </c>
      <c r="G1000" s="27">
        <v>16.600000000000001</v>
      </c>
      <c r="H1000" s="91">
        <v>0</v>
      </c>
      <c r="I1000" s="6"/>
    </row>
    <row r="1001" spans="1:9" ht="12.2" customHeight="1" x14ac:dyDescent="0.2">
      <c r="A1001" s="5"/>
      <c r="B1001" s="16"/>
      <c r="C1001" s="16"/>
      <c r="D1001" s="85" t="s">
        <v>1518</v>
      </c>
      <c r="E1001" s="267" t="s">
        <v>1757</v>
      </c>
      <c r="F1001" s="267"/>
      <c r="G1001" s="87">
        <v>5.6</v>
      </c>
      <c r="H1001" s="39"/>
      <c r="I1001" s="6"/>
    </row>
    <row r="1002" spans="1:9" ht="12.2" customHeight="1" x14ac:dyDescent="0.2">
      <c r="A1002" s="5"/>
      <c r="B1002" s="16"/>
      <c r="C1002" s="16"/>
      <c r="D1002" s="85" t="s">
        <v>1242</v>
      </c>
      <c r="E1002" s="267" t="s">
        <v>1758</v>
      </c>
      <c r="F1002" s="267"/>
      <c r="G1002" s="87">
        <v>2.75</v>
      </c>
      <c r="H1002" s="39"/>
      <c r="I1002" s="6"/>
    </row>
    <row r="1003" spans="1:9" ht="12.2" customHeight="1" x14ac:dyDescent="0.2">
      <c r="A1003" s="5"/>
      <c r="B1003" s="16"/>
      <c r="C1003" s="16"/>
      <c r="D1003" s="85" t="s">
        <v>1242</v>
      </c>
      <c r="E1003" s="267" t="s">
        <v>1759</v>
      </c>
      <c r="F1003" s="267"/>
      <c r="G1003" s="87">
        <v>2.75</v>
      </c>
      <c r="H1003" s="39"/>
      <c r="I1003" s="6"/>
    </row>
    <row r="1004" spans="1:9" ht="12.2" customHeight="1" x14ac:dyDescent="0.2">
      <c r="A1004" s="5"/>
      <c r="B1004" s="16"/>
      <c r="C1004" s="16"/>
      <c r="D1004" s="85" t="s">
        <v>1242</v>
      </c>
      <c r="E1004" s="267" t="s">
        <v>1760</v>
      </c>
      <c r="F1004" s="267"/>
      <c r="G1004" s="87">
        <v>2.75</v>
      </c>
      <c r="H1004" s="39"/>
      <c r="I1004" s="6"/>
    </row>
    <row r="1005" spans="1:9" ht="12.2" customHeight="1" x14ac:dyDescent="0.2">
      <c r="A1005" s="5"/>
      <c r="B1005" s="16"/>
      <c r="C1005" s="16"/>
      <c r="D1005" s="85" t="s">
        <v>1242</v>
      </c>
      <c r="E1005" s="267" t="s">
        <v>1761</v>
      </c>
      <c r="F1005" s="267"/>
      <c r="G1005" s="87">
        <v>2.75</v>
      </c>
      <c r="H1005" s="39"/>
      <c r="I1005" s="6"/>
    </row>
    <row r="1006" spans="1:9" x14ac:dyDescent="0.2">
      <c r="A1006" s="5" t="s">
        <v>230</v>
      </c>
      <c r="B1006" s="16" t="s">
        <v>305</v>
      </c>
      <c r="C1006" s="16" t="s">
        <v>511</v>
      </c>
      <c r="D1006" s="243" t="s">
        <v>900</v>
      </c>
      <c r="E1006" s="244"/>
      <c r="F1006" s="16" t="s">
        <v>1044</v>
      </c>
      <c r="G1006" s="27">
        <v>19.2</v>
      </c>
      <c r="H1006" s="91">
        <v>0</v>
      </c>
      <c r="I1006" s="6"/>
    </row>
    <row r="1007" spans="1:9" ht="12.2" customHeight="1" x14ac:dyDescent="0.2">
      <c r="A1007" s="5"/>
      <c r="B1007" s="16"/>
      <c r="C1007" s="16"/>
      <c r="D1007" s="85" t="s">
        <v>1500</v>
      </c>
      <c r="E1007" s="267" t="s">
        <v>1758</v>
      </c>
      <c r="F1007" s="267"/>
      <c r="G1007" s="87">
        <v>3.7</v>
      </c>
      <c r="H1007" s="39"/>
      <c r="I1007" s="6"/>
    </row>
    <row r="1008" spans="1:9" ht="12.2" customHeight="1" x14ac:dyDescent="0.2">
      <c r="A1008" s="5"/>
      <c r="B1008" s="16"/>
      <c r="C1008" s="16"/>
      <c r="D1008" s="85" t="s">
        <v>1501</v>
      </c>
      <c r="E1008" s="267" t="s">
        <v>1762</v>
      </c>
      <c r="F1008" s="267"/>
      <c r="G1008" s="87">
        <v>5.25</v>
      </c>
      <c r="H1008" s="39"/>
      <c r="I1008" s="6"/>
    </row>
    <row r="1009" spans="1:9" ht="12.2" customHeight="1" x14ac:dyDescent="0.2">
      <c r="A1009" s="5"/>
      <c r="B1009" s="16"/>
      <c r="C1009" s="16"/>
      <c r="D1009" s="85" t="s">
        <v>1502</v>
      </c>
      <c r="E1009" s="267" t="s">
        <v>1759</v>
      </c>
      <c r="F1009" s="267"/>
      <c r="G1009" s="87">
        <v>3.95</v>
      </c>
      <c r="H1009" s="39"/>
      <c r="I1009" s="6"/>
    </row>
    <row r="1010" spans="1:9" ht="12.2" customHeight="1" x14ac:dyDescent="0.2">
      <c r="A1010" s="5"/>
      <c r="B1010" s="16"/>
      <c r="C1010" s="16"/>
      <c r="D1010" s="85" t="s">
        <v>1503</v>
      </c>
      <c r="E1010" s="267" t="s">
        <v>1760</v>
      </c>
      <c r="F1010" s="267"/>
      <c r="G1010" s="87">
        <v>1.3</v>
      </c>
      <c r="H1010" s="39"/>
      <c r="I1010" s="6"/>
    </row>
    <row r="1011" spans="1:9" ht="12.2" customHeight="1" x14ac:dyDescent="0.2">
      <c r="A1011" s="5"/>
      <c r="B1011" s="16"/>
      <c r="C1011" s="16"/>
      <c r="D1011" s="85" t="s">
        <v>11</v>
      </c>
      <c r="E1011" s="267" t="s">
        <v>1761</v>
      </c>
      <c r="F1011" s="267"/>
      <c r="G1011" s="87">
        <v>5</v>
      </c>
      <c r="H1011" s="39"/>
      <c r="I1011" s="6"/>
    </row>
    <row r="1012" spans="1:9" x14ac:dyDescent="0.2">
      <c r="A1012" s="5" t="s">
        <v>231</v>
      </c>
      <c r="B1012" s="16" t="s">
        <v>305</v>
      </c>
      <c r="C1012" s="16" t="s">
        <v>512</v>
      </c>
      <c r="D1012" s="243" t="s">
        <v>902</v>
      </c>
      <c r="E1012" s="244"/>
      <c r="F1012" s="16" t="s">
        <v>1042</v>
      </c>
      <c r="G1012" s="27">
        <v>84.27</v>
      </c>
      <c r="H1012" s="91">
        <v>0</v>
      </c>
      <c r="I1012" s="6"/>
    </row>
    <row r="1013" spans="1:9" ht="12.2" customHeight="1" x14ac:dyDescent="0.2">
      <c r="A1013" s="5"/>
      <c r="B1013" s="16"/>
      <c r="C1013" s="16"/>
      <c r="D1013" s="85" t="s">
        <v>1381</v>
      </c>
      <c r="E1013" s="267" t="s">
        <v>1624</v>
      </c>
      <c r="F1013" s="267"/>
      <c r="G1013" s="87">
        <v>2.4</v>
      </c>
      <c r="H1013" s="39"/>
      <c r="I1013" s="6"/>
    </row>
    <row r="1014" spans="1:9" ht="12.2" customHeight="1" x14ac:dyDescent="0.2">
      <c r="A1014" s="5"/>
      <c r="B1014" s="16"/>
      <c r="C1014" s="16"/>
      <c r="D1014" s="85" t="s">
        <v>1519</v>
      </c>
      <c r="E1014" s="267" t="s">
        <v>1631</v>
      </c>
      <c r="F1014" s="267"/>
      <c r="G1014" s="87">
        <v>1.32</v>
      </c>
      <c r="H1014" s="39"/>
      <c r="I1014" s="6"/>
    </row>
    <row r="1015" spans="1:9" ht="12.2" customHeight="1" x14ac:dyDescent="0.2">
      <c r="A1015" s="5"/>
      <c r="B1015" s="16"/>
      <c r="C1015" s="16"/>
      <c r="D1015" s="85" t="s">
        <v>1385</v>
      </c>
      <c r="E1015" s="267" t="s">
        <v>1634</v>
      </c>
      <c r="F1015" s="267"/>
      <c r="G1015" s="87">
        <v>0.42</v>
      </c>
      <c r="H1015" s="39"/>
      <c r="I1015" s="6"/>
    </row>
    <row r="1016" spans="1:9" ht="12.2" customHeight="1" x14ac:dyDescent="0.2">
      <c r="A1016" s="5"/>
      <c r="B1016" s="16"/>
      <c r="C1016" s="16"/>
      <c r="D1016" s="85" t="s">
        <v>1386</v>
      </c>
      <c r="E1016" s="267" t="s">
        <v>1635</v>
      </c>
      <c r="F1016" s="267"/>
      <c r="G1016" s="87">
        <v>1.36</v>
      </c>
      <c r="H1016" s="39"/>
      <c r="I1016" s="6"/>
    </row>
    <row r="1017" spans="1:9" ht="12.2" customHeight="1" x14ac:dyDescent="0.2">
      <c r="A1017" s="5"/>
      <c r="B1017" s="16"/>
      <c r="C1017" s="16"/>
      <c r="D1017" s="85" t="s">
        <v>1383</v>
      </c>
      <c r="E1017" s="267" t="s">
        <v>1747</v>
      </c>
      <c r="F1017" s="267"/>
      <c r="G1017" s="87">
        <v>2.4300000000000002</v>
      </c>
      <c r="H1017" s="39"/>
      <c r="I1017" s="6"/>
    </row>
    <row r="1018" spans="1:9" ht="12.2" customHeight="1" x14ac:dyDescent="0.2">
      <c r="A1018" s="5"/>
      <c r="B1018" s="16"/>
      <c r="C1018" s="16"/>
      <c r="D1018" s="85" t="s">
        <v>1378</v>
      </c>
      <c r="E1018" s="267" t="s">
        <v>1647</v>
      </c>
      <c r="F1018" s="267"/>
      <c r="G1018" s="87">
        <v>5.13</v>
      </c>
      <c r="H1018" s="39"/>
      <c r="I1018" s="6"/>
    </row>
    <row r="1019" spans="1:9" ht="12.2" customHeight="1" x14ac:dyDescent="0.2">
      <c r="A1019" s="5"/>
      <c r="B1019" s="16"/>
      <c r="C1019" s="16"/>
      <c r="D1019" s="85" t="s">
        <v>1520</v>
      </c>
      <c r="E1019" s="267" t="s">
        <v>1748</v>
      </c>
      <c r="F1019" s="267"/>
      <c r="G1019" s="87">
        <v>10.18</v>
      </c>
      <c r="H1019" s="39"/>
      <c r="I1019" s="6"/>
    </row>
    <row r="1020" spans="1:9" ht="12.2" customHeight="1" x14ac:dyDescent="0.2">
      <c r="A1020" s="5"/>
      <c r="B1020" s="16"/>
      <c r="C1020" s="16"/>
      <c r="D1020" s="85" t="s">
        <v>1521</v>
      </c>
      <c r="E1020" s="267" t="s">
        <v>1749</v>
      </c>
      <c r="F1020" s="267"/>
      <c r="G1020" s="87">
        <v>14.44</v>
      </c>
      <c r="H1020" s="39"/>
      <c r="I1020" s="6"/>
    </row>
    <row r="1021" spans="1:9" ht="12.2" customHeight="1" x14ac:dyDescent="0.2">
      <c r="A1021" s="5"/>
      <c r="B1021" s="16"/>
      <c r="C1021" s="16"/>
      <c r="D1021" s="85" t="s">
        <v>1522</v>
      </c>
      <c r="E1021" s="267" t="s">
        <v>1763</v>
      </c>
      <c r="F1021" s="267"/>
      <c r="G1021" s="87">
        <v>10.59</v>
      </c>
      <c r="H1021" s="39"/>
      <c r="I1021" s="6"/>
    </row>
    <row r="1022" spans="1:9" ht="12.2" customHeight="1" x14ac:dyDescent="0.2">
      <c r="A1022" s="5"/>
      <c r="B1022" s="16"/>
      <c r="C1022" s="16"/>
      <c r="D1022" s="85" t="s">
        <v>1523</v>
      </c>
      <c r="E1022" s="267" t="s">
        <v>1751</v>
      </c>
      <c r="F1022" s="267"/>
      <c r="G1022" s="87">
        <v>3.58</v>
      </c>
      <c r="H1022" s="39"/>
      <c r="I1022" s="6"/>
    </row>
    <row r="1023" spans="1:9" ht="12.2" customHeight="1" x14ac:dyDescent="0.2">
      <c r="A1023" s="5"/>
      <c r="B1023" s="16"/>
      <c r="C1023" s="16"/>
      <c r="D1023" s="85" t="s">
        <v>1524</v>
      </c>
      <c r="E1023" s="267" t="s">
        <v>1752</v>
      </c>
      <c r="F1023" s="267"/>
      <c r="G1023" s="87">
        <v>13.75</v>
      </c>
      <c r="H1023" s="39"/>
      <c r="I1023" s="6"/>
    </row>
    <row r="1024" spans="1:9" ht="12.2" customHeight="1" x14ac:dyDescent="0.2">
      <c r="A1024" s="5"/>
      <c r="B1024" s="16"/>
      <c r="C1024" s="16"/>
      <c r="D1024" s="85" t="s">
        <v>1379</v>
      </c>
      <c r="E1024" s="267" t="s">
        <v>1637</v>
      </c>
      <c r="F1024" s="267"/>
      <c r="G1024" s="87">
        <v>2.97</v>
      </c>
      <c r="H1024" s="39"/>
      <c r="I1024" s="6"/>
    </row>
    <row r="1025" spans="1:9" ht="12.2" customHeight="1" x14ac:dyDescent="0.2">
      <c r="A1025" s="5"/>
      <c r="B1025" s="16"/>
      <c r="C1025" s="16"/>
      <c r="D1025" s="85" t="s">
        <v>1380</v>
      </c>
      <c r="E1025" s="267" t="s">
        <v>1638</v>
      </c>
      <c r="F1025" s="267"/>
      <c r="G1025" s="87">
        <v>1.65</v>
      </c>
      <c r="H1025" s="39"/>
      <c r="I1025" s="6"/>
    </row>
    <row r="1026" spans="1:9" ht="12.2" customHeight="1" x14ac:dyDescent="0.2">
      <c r="A1026" s="5"/>
      <c r="B1026" s="16"/>
      <c r="C1026" s="16"/>
      <c r="D1026" s="85" t="s">
        <v>1382</v>
      </c>
      <c r="E1026" s="267" t="s">
        <v>1639</v>
      </c>
      <c r="F1026" s="267"/>
      <c r="G1026" s="87">
        <v>3.13</v>
      </c>
      <c r="H1026" s="39"/>
      <c r="I1026" s="6"/>
    </row>
    <row r="1027" spans="1:9" ht="12.2" customHeight="1" x14ac:dyDescent="0.2">
      <c r="A1027" s="5"/>
      <c r="B1027" s="16"/>
      <c r="C1027" s="16"/>
      <c r="D1027" s="85" t="s">
        <v>1388</v>
      </c>
      <c r="E1027" s="267" t="s">
        <v>1640</v>
      </c>
      <c r="F1027" s="267"/>
      <c r="G1027" s="87">
        <v>3.22</v>
      </c>
      <c r="H1027" s="39"/>
      <c r="I1027" s="6"/>
    </row>
    <row r="1028" spans="1:9" ht="12.2" customHeight="1" x14ac:dyDescent="0.2">
      <c r="A1028" s="5"/>
      <c r="B1028" s="16"/>
      <c r="C1028" s="16"/>
      <c r="D1028" s="85" t="s">
        <v>1389</v>
      </c>
      <c r="E1028" s="267" t="s">
        <v>1641</v>
      </c>
      <c r="F1028" s="267"/>
      <c r="G1028" s="87">
        <v>2.25</v>
      </c>
      <c r="H1028" s="39"/>
      <c r="I1028" s="6"/>
    </row>
    <row r="1029" spans="1:9" ht="12.2" customHeight="1" x14ac:dyDescent="0.2">
      <c r="A1029" s="5"/>
      <c r="B1029" s="16"/>
      <c r="C1029" s="16"/>
      <c r="D1029" s="85" t="s">
        <v>1525</v>
      </c>
      <c r="E1029" s="267" t="s">
        <v>1764</v>
      </c>
      <c r="F1029" s="267"/>
      <c r="G1029" s="87">
        <v>2.48</v>
      </c>
      <c r="H1029" s="39"/>
      <c r="I1029" s="6"/>
    </row>
    <row r="1030" spans="1:9" ht="12.2" customHeight="1" x14ac:dyDescent="0.2">
      <c r="A1030" s="5"/>
      <c r="B1030" s="16"/>
      <c r="C1030" s="16"/>
      <c r="D1030" s="85" t="s">
        <v>1379</v>
      </c>
      <c r="E1030" s="267" t="s">
        <v>1637</v>
      </c>
      <c r="F1030" s="267"/>
      <c r="G1030" s="87">
        <v>2.97</v>
      </c>
      <c r="H1030" s="39"/>
      <c r="I1030" s="6"/>
    </row>
    <row r="1031" spans="1:9" x14ac:dyDescent="0.2">
      <c r="A1031" s="7" t="s">
        <v>232</v>
      </c>
      <c r="B1031" s="17" t="s">
        <v>305</v>
      </c>
      <c r="C1031" s="17" t="s">
        <v>513</v>
      </c>
      <c r="D1031" s="241" t="s">
        <v>903</v>
      </c>
      <c r="E1031" s="242"/>
      <c r="F1031" s="17" t="s">
        <v>1042</v>
      </c>
      <c r="G1031" s="28">
        <v>84.27</v>
      </c>
      <c r="H1031" s="93">
        <v>0</v>
      </c>
      <c r="I1031" s="6"/>
    </row>
    <row r="1032" spans="1:9" ht="12.2" customHeight="1" x14ac:dyDescent="0.2">
      <c r="A1032" s="7"/>
      <c r="B1032" s="17"/>
      <c r="C1032" s="17"/>
      <c r="D1032" s="85" t="s">
        <v>1381</v>
      </c>
      <c r="E1032" s="267" t="s">
        <v>1624</v>
      </c>
      <c r="F1032" s="267"/>
      <c r="G1032" s="88">
        <v>2.4</v>
      </c>
      <c r="H1032" s="40"/>
      <c r="I1032" s="6"/>
    </row>
    <row r="1033" spans="1:9" ht="12.2" customHeight="1" x14ac:dyDescent="0.2">
      <c r="A1033" s="7"/>
      <c r="B1033" s="17"/>
      <c r="C1033" s="17"/>
      <c r="D1033" s="85" t="s">
        <v>1519</v>
      </c>
      <c r="E1033" s="267" t="s">
        <v>1631</v>
      </c>
      <c r="F1033" s="267"/>
      <c r="G1033" s="88">
        <v>1.32</v>
      </c>
      <c r="H1033" s="40"/>
      <c r="I1033" s="6"/>
    </row>
    <row r="1034" spans="1:9" ht="12.2" customHeight="1" x14ac:dyDescent="0.2">
      <c r="A1034" s="7"/>
      <c r="B1034" s="17"/>
      <c r="C1034" s="17"/>
      <c r="D1034" s="85" t="s">
        <v>1385</v>
      </c>
      <c r="E1034" s="267" t="s">
        <v>1634</v>
      </c>
      <c r="F1034" s="267"/>
      <c r="G1034" s="88">
        <v>0.42</v>
      </c>
      <c r="H1034" s="40"/>
      <c r="I1034" s="6"/>
    </row>
    <row r="1035" spans="1:9" ht="12.2" customHeight="1" x14ac:dyDescent="0.2">
      <c r="A1035" s="7"/>
      <c r="B1035" s="17"/>
      <c r="C1035" s="17"/>
      <c r="D1035" s="85" t="s">
        <v>1386</v>
      </c>
      <c r="E1035" s="267" t="s">
        <v>1635</v>
      </c>
      <c r="F1035" s="267"/>
      <c r="G1035" s="88">
        <v>1.36</v>
      </c>
      <c r="H1035" s="40"/>
      <c r="I1035" s="6"/>
    </row>
    <row r="1036" spans="1:9" ht="12.2" customHeight="1" x14ac:dyDescent="0.2">
      <c r="A1036" s="7"/>
      <c r="B1036" s="17"/>
      <c r="C1036" s="17"/>
      <c r="D1036" s="85" t="s">
        <v>1383</v>
      </c>
      <c r="E1036" s="267" t="s">
        <v>1747</v>
      </c>
      <c r="F1036" s="267"/>
      <c r="G1036" s="88">
        <v>2.4300000000000002</v>
      </c>
      <c r="H1036" s="40"/>
      <c r="I1036" s="6"/>
    </row>
    <row r="1037" spans="1:9" ht="12.2" customHeight="1" x14ac:dyDescent="0.2">
      <c r="A1037" s="7"/>
      <c r="B1037" s="17"/>
      <c r="C1037" s="17"/>
      <c r="D1037" s="85" t="s">
        <v>1378</v>
      </c>
      <c r="E1037" s="267" t="s">
        <v>1647</v>
      </c>
      <c r="F1037" s="267"/>
      <c r="G1037" s="88">
        <v>5.13</v>
      </c>
      <c r="H1037" s="40"/>
      <c r="I1037" s="6"/>
    </row>
    <row r="1038" spans="1:9" ht="12.2" customHeight="1" x14ac:dyDescent="0.2">
      <c r="A1038" s="7"/>
      <c r="B1038" s="17"/>
      <c r="C1038" s="17"/>
      <c r="D1038" s="85" t="s">
        <v>1520</v>
      </c>
      <c r="E1038" s="267" t="s">
        <v>1748</v>
      </c>
      <c r="F1038" s="267"/>
      <c r="G1038" s="88">
        <v>10.18</v>
      </c>
      <c r="H1038" s="40"/>
      <c r="I1038" s="6"/>
    </row>
    <row r="1039" spans="1:9" ht="12.2" customHeight="1" x14ac:dyDescent="0.2">
      <c r="A1039" s="7"/>
      <c r="B1039" s="17"/>
      <c r="C1039" s="17"/>
      <c r="D1039" s="85" t="s">
        <v>1521</v>
      </c>
      <c r="E1039" s="267" t="s">
        <v>1749</v>
      </c>
      <c r="F1039" s="267"/>
      <c r="G1039" s="88">
        <v>14.44</v>
      </c>
      <c r="H1039" s="40"/>
      <c r="I1039" s="6"/>
    </row>
    <row r="1040" spans="1:9" ht="12.2" customHeight="1" x14ac:dyDescent="0.2">
      <c r="A1040" s="7"/>
      <c r="B1040" s="17"/>
      <c r="C1040" s="17"/>
      <c r="D1040" s="85" t="s">
        <v>1522</v>
      </c>
      <c r="E1040" s="267" t="s">
        <v>1763</v>
      </c>
      <c r="F1040" s="267"/>
      <c r="G1040" s="88">
        <v>10.59</v>
      </c>
      <c r="H1040" s="40"/>
      <c r="I1040" s="6"/>
    </row>
    <row r="1041" spans="1:9" ht="12.2" customHeight="1" x14ac:dyDescent="0.2">
      <c r="A1041" s="7"/>
      <c r="B1041" s="17"/>
      <c r="C1041" s="17"/>
      <c r="D1041" s="85" t="s">
        <v>1523</v>
      </c>
      <c r="E1041" s="267" t="s">
        <v>1751</v>
      </c>
      <c r="F1041" s="267"/>
      <c r="G1041" s="88">
        <v>3.58</v>
      </c>
      <c r="H1041" s="40"/>
      <c r="I1041" s="6"/>
    </row>
    <row r="1042" spans="1:9" ht="12.2" customHeight="1" x14ac:dyDescent="0.2">
      <c r="A1042" s="7"/>
      <c r="B1042" s="17"/>
      <c r="C1042" s="17"/>
      <c r="D1042" s="85" t="s">
        <v>1524</v>
      </c>
      <c r="E1042" s="267" t="s">
        <v>1752</v>
      </c>
      <c r="F1042" s="267"/>
      <c r="G1042" s="88">
        <v>13.75</v>
      </c>
      <c r="H1042" s="40"/>
      <c r="I1042" s="6"/>
    </row>
    <row r="1043" spans="1:9" ht="12.2" customHeight="1" x14ac:dyDescent="0.2">
      <c r="A1043" s="7"/>
      <c r="B1043" s="17"/>
      <c r="C1043" s="17"/>
      <c r="D1043" s="85" t="s">
        <v>1379</v>
      </c>
      <c r="E1043" s="267" t="s">
        <v>1637</v>
      </c>
      <c r="F1043" s="267"/>
      <c r="G1043" s="88">
        <v>2.97</v>
      </c>
      <c r="H1043" s="40"/>
      <c r="I1043" s="6"/>
    </row>
    <row r="1044" spans="1:9" ht="12.2" customHeight="1" x14ac:dyDescent="0.2">
      <c r="A1044" s="7"/>
      <c r="B1044" s="17"/>
      <c r="C1044" s="17"/>
      <c r="D1044" s="85" t="s">
        <v>1380</v>
      </c>
      <c r="E1044" s="267" t="s">
        <v>1638</v>
      </c>
      <c r="F1044" s="267"/>
      <c r="G1044" s="88">
        <v>1.65</v>
      </c>
      <c r="H1044" s="40"/>
      <c r="I1044" s="6"/>
    </row>
    <row r="1045" spans="1:9" ht="12.2" customHeight="1" x14ac:dyDescent="0.2">
      <c r="A1045" s="7"/>
      <c r="B1045" s="17"/>
      <c r="C1045" s="17"/>
      <c r="D1045" s="85" t="s">
        <v>1382</v>
      </c>
      <c r="E1045" s="267" t="s">
        <v>1639</v>
      </c>
      <c r="F1045" s="267"/>
      <c r="G1045" s="88">
        <v>3.13</v>
      </c>
      <c r="H1045" s="40"/>
      <c r="I1045" s="6"/>
    </row>
    <row r="1046" spans="1:9" ht="12.2" customHeight="1" x14ac:dyDescent="0.2">
      <c r="A1046" s="7"/>
      <c r="B1046" s="17"/>
      <c r="C1046" s="17"/>
      <c r="D1046" s="85" t="s">
        <v>1388</v>
      </c>
      <c r="E1046" s="267" t="s">
        <v>1640</v>
      </c>
      <c r="F1046" s="267"/>
      <c r="G1046" s="88">
        <v>3.22</v>
      </c>
      <c r="H1046" s="40"/>
      <c r="I1046" s="6"/>
    </row>
    <row r="1047" spans="1:9" ht="12.2" customHeight="1" x14ac:dyDescent="0.2">
      <c r="A1047" s="7"/>
      <c r="B1047" s="17"/>
      <c r="C1047" s="17"/>
      <c r="D1047" s="85" t="s">
        <v>1389</v>
      </c>
      <c r="E1047" s="267" t="s">
        <v>1641</v>
      </c>
      <c r="F1047" s="267"/>
      <c r="G1047" s="88">
        <v>2.25</v>
      </c>
      <c r="H1047" s="40"/>
      <c r="I1047" s="6"/>
    </row>
    <row r="1048" spans="1:9" ht="12.2" customHeight="1" x14ac:dyDescent="0.2">
      <c r="A1048" s="7"/>
      <c r="B1048" s="17"/>
      <c r="C1048" s="17"/>
      <c r="D1048" s="85" t="s">
        <v>1525</v>
      </c>
      <c r="E1048" s="267" t="s">
        <v>1644</v>
      </c>
      <c r="F1048" s="267"/>
      <c r="G1048" s="88">
        <v>2.48</v>
      </c>
      <c r="H1048" s="40"/>
      <c r="I1048" s="6"/>
    </row>
    <row r="1049" spans="1:9" ht="12.2" customHeight="1" x14ac:dyDescent="0.2">
      <c r="A1049" s="7"/>
      <c r="B1049" s="17"/>
      <c r="C1049" s="17"/>
      <c r="D1049" s="85" t="s">
        <v>1379</v>
      </c>
      <c r="E1049" s="267" t="s">
        <v>1637</v>
      </c>
      <c r="F1049" s="267"/>
      <c r="G1049" s="88">
        <v>2.97</v>
      </c>
      <c r="H1049" s="40"/>
      <c r="I1049" s="6"/>
    </row>
    <row r="1050" spans="1:9" ht="12.95" customHeight="1" x14ac:dyDescent="0.2">
      <c r="A1050" s="6"/>
      <c r="C1050" s="84" t="s">
        <v>302</v>
      </c>
      <c r="D1050" s="248" t="s">
        <v>904</v>
      </c>
      <c r="E1050" s="249"/>
      <c r="F1050" s="249"/>
      <c r="G1050" s="249"/>
      <c r="H1050" s="92"/>
      <c r="I1050" s="6"/>
    </row>
    <row r="1051" spans="1:9" x14ac:dyDescent="0.2">
      <c r="A1051" s="5" t="s">
        <v>233</v>
      </c>
      <c r="B1051" s="16" t="s">
        <v>305</v>
      </c>
      <c r="C1051" s="16" t="s">
        <v>514</v>
      </c>
      <c r="D1051" s="243" t="s">
        <v>905</v>
      </c>
      <c r="E1051" s="244"/>
      <c r="F1051" s="16" t="s">
        <v>1045</v>
      </c>
      <c r="G1051" s="27">
        <v>1</v>
      </c>
      <c r="H1051" s="91">
        <v>0</v>
      </c>
      <c r="I1051" s="6"/>
    </row>
    <row r="1052" spans="1:9" ht="12.2" customHeight="1" x14ac:dyDescent="0.2">
      <c r="A1052" s="5"/>
      <c r="B1052" s="16"/>
      <c r="C1052" s="16"/>
      <c r="D1052" s="85" t="s">
        <v>7</v>
      </c>
      <c r="E1052" s="267" t="s">
        <v>1765</v>
      </c>
      <c r="F1052" s="267"/>
      <c r="G1052" s="87">
        <v>1</v>
      </c>
      <c r="H1052" s="39"/>
      <c r="I1052" s="6"/>
    </row>
    <row r="1053" spans="1:9" x14ac:dyDescent="0.2">
      <c r="A1053" s="7" t="s">
        <v>234</v>
      </c>
      <c r="B1053" s="17" t="s">
        <v>305</v>
      </c>
      <c r="C1053" s="17" t="s">
        <v>515</v>
      </c>
      <c r="D1053" s="241" t="s">
        <v>906</v>
      </c>
      <c r="E1053" s="242"/>
      <c r="F1053" s="17" t="s">
        <v>1045</v>
      </c>
      <c r="G1053" s="28">
        <v>1</v>
      </c>
      <c r="H1053" s="93">
        <v>0</v>
      </c>
      <c r="I1053" s="6"/>
    </row>
    <row r="1054" spans="1:9" ht="12.2" customHeight="1" x14ac:dyDescent="0.2">
      <c r="A1054" s="7"/>
      <c r="B1054" s="17"/>
      <c r="C1054" s="17"/>
      <c r="D1054" s="85" t="s">
        <v>7</v>
      </c>
      <c r="E1054" s="267" t="s">
        <v>1765</v>
      </c>
      <c r="F1054" s="267"/>
      <c r="G1054" s="88">
        <v>1</v>
      </c>
      <c r="H1054" s="40"/>
      <c r="I1054" s="6"/>
    </row>
    <row r="1055" spans="1:9" ht="12.95" customHeight="1" x14ac:dyDescent="0.2">
      <c r="A1055" s="6"/>
      <c r="C1055" s="84" t="s">
        <v>302</v>
      </c>
      <c r="D1055" s="248" t="s">
        <v>907</v>
      </c>
      <c r="E1055" s="249"/>
      <c r="F1055" s="249"/>
      <c r="G1055" s="249"/>
      <c r="H1055" s="92"/>
      <c r="I1055" s="6"/>
    </row>
    <row r="1056" spans="1:9" x14ac:dyDescent="0.2">
      <c r="A1056" s="5" t="s">
        <v>235</v>
      </c>
      <c r="B1056" s="16" t="s">
        <v>305</v>
      </c>
      <c r="C1056" s="16" t="s">
        <v>516</v>
      </c>
      <c r="D1056" s="243" t="s">
        <v>908</v>
      </c>
      <c r="E1056" s="244"/>
      <c r="F1056" s="16" t="s">
        <v>1045</v>
      </c>
      <c r="G1056" s="27">
        <v>1</v>
      </c>
      <c r="H1056" s="91">
        <v>0</v>
      </c>
      <c r="I1056" s="6"/>
    </row>
    <row r="1057" spans="1:9" ht="12.2" customHeight="1" x14ac:dyDescent="0.2">
      <c r="A1057" s="5"/>
      <c r="B1057" s="16"/>
      <c r="C1057" s="16"/>
      <c r="D1057" s="85" t="s">
        <v>7</v>
      </c>
      <c r="E1057" s="267" t="s">
        <v>1765</v>
      </c>
      <c r="F1057" s="267"/>
      <c r="G1057" s="87">
        <v>1</v>
      </c>
      <c r="H1057" s="39"/>
      <c r="I1057" s="6"/>
    </row>
    <row r="1058" spans="1:9" x14ac:dyDescent="0.2">
      <c r="A1058" s="7" t="s">
        <v>236</v>
      </c>
      <c r="B1058" s="17" t="s">
        <v>305</v>
      </c>
      <c r="C1058" s="17" t="s">
        <v>517</v>
      </c>
      <c r="D1058" s="241" t="s">
        <v>909</v>
      </c>
      <c r="E1058" s="242"/>
      <c r="F1058" s="17" t="s">
        <v>1045</v>
      </c>
      <c r="G1058" s="28">
        <v>1</v>
      </c>
      <c r="H1058" s="93">
        <v>0</v>
      </c>
      <c r="I1058" s="6"/>
    </row>
    <row r="1059" spans="1:9" ht="12.2" customHeight="1" x14ac:dyDescent="0.2">
      <c r="A1059" s="7"/>
      <c r="B1059" s="17"/>
      <c r="C1059" s="17"/>
      <c r="D1059" s="85" t="s">
        <v>7</v>
      </c>
      <c r="E1059" s="267" t="s">
        <v>1765</v>
      </c>
      <c r="F1059" s="267"/>
      <c r="G1059" s="88">
        <v>1</v>
      </c>
      <c r="H1059" s="40"/>
      <c r="I1059" s="6"/>
    </row>
    <row r="1060" spans="1:9" ht="12.95" customHeight="1" x14ac:dyDescent="0.2">
      <c r="A1060" s="6"/>
      <c r="C1060" s="84" t="s">
        <v>302</v>
      </c>
      <c r="D1060" s="248" t="s">
        <v>910</v>
      </c>
      <c r="E1060" s="249"/>
      <c r="F1060" s="249"/>
      <c r="G1060" s="249"/>
      <c r="H1060" s="92"/>
      <c r="I1060" s="6"/>
    </row>
    <row r="1061" spans="1:9" x14ac:dyDescent="0.2">
      <c r="A1061" s="5" t="s">
        <v>237</v>
      </c>
      <c r="B1061" s="16" t="s">
        <v>305</v>
      </c>
      <c r="C1061" s="16" t="s">
        <v>518</v>
      </c>
      <c r="D1061" s="243" t="s">
        <v>911</v>
      </c>
      <c r="E1061" s="244"/>
      <c r="F1061" s="16" t="s">
        <v>1045</v>
      </c>
      <c r="G1061" s="27">
        <v>1</v>
      </c>
      <c r="H1061" s="91">
        <v>0</v>
      </c>
      <c r="I1061" s="6"/>
    </row>
    <row r="1062" spans="1:9" ht="12.2" customHeight="1" x14ac:dyDescent="0.2">
      <c r="A1062" s="5"/>
      <c r="B1062" s="16"/>
      <c r="C1062" s="16"/>
      <c r="D1062" s="85" t="s">
        <v>7</v>
      </c>
      <c r="E1062" s="267" t="s">
        <v>1668</v>
      </c>
      <c r="F1062" s="267"/>
      <c r="G1062" s="87">
        <v>1</v>
      </c>
      <c r="H1062" s="39"/>
      <c r="I1062" s="6"/>
    </row>
    <row r="1063" spans="1:9" x14ac:dyDescent="0.2">
      <c r="A1063" s="7" t="s">
        <v>238</v>
      </c>
      <c r="B1063" s="17" t="s">
        <v>305</v>
      </c>
      <c r="C1063" s="17" t="s">
        <v>519</v>
      </c>
      <c r="D1063" s="241" t="s">
        <v>912</v>
      </c>
      <c r="E1063" s="242"/>
      <c r="F1063" s="17" t="s">
        <v>1045</v>
      </c>
      <c r="G1063" s="28">
        <v>1</v>
      </c>
      <c r="H1063" s="93">
        <v>0</v>
      </c>
      <c r="I1063" s="6"/>
    </row>
    <row r="1064" spans="1:9" ht="12.2" customHeight="1" x14ac:dyDescent="0.2">
      <c r="A1064" s="7"/>
      <c r="B1064" s="17"/>
      <c r="C1064" s="17"/>
      <c r="D1064" s="85" t="s">
        <v>7</v>
      </c>
      <c r="E1064" s="267" t="s">
        <v>1668</v>
      </c>
      <c r="F1064" s="267"/>
      <c r="G1064" s="88">
        <v>1</v>
      </c>
      <c r="H1064" s="40"/>
      <c r="I1064" s="6"/>
    </row>
    <row r="1065" spans="1:9" ht="12.95" customHeight="1" x14ac:dyDescent="0.2">
      <c r="A1065" s="6"/>
      <c r="C1065" s="84" t="s">
        <v>302</v>
      </c>
      <c r="D1065" s="248" t="s">
        <v>907</v>
      </c>
      <c r="E1065" s="249"/>
      <c r="F1065" s="249"/>
      <c r="G1065" s="249"/>
      <c r="H1065" s="92"/>
      <c r="I1065" s="6"/>
    </row>
    <row r="1066" spans="1:9" x14ac:dyDescent="0.2">
      <c r="A1066" s="5" t="s">
        <v>239</v>
      </c>
      <c r="B1066" s="16" t="s">
        <v>305</v>
      </c>
      <c r="C1066" s="16" t="s">
        <v>520</v>
      </c>
      <c r="D1066" s="243" t="s">
        <v>913</v>
      </c>
      <c r="E1066" s="244"/>
      <c r="F1066" s="16" t="s">
        <v>1045</v>
      </c>
      <c r="G1066" s="27">
        <v>1</v>
      </c>
      <c r="H1066" s="91">
        <v>0</v>
      </c>
      <c r="I1066" s="6"/>
    </row>
    <row r="1067" spans="1:9" ht="12.2" customHeight="1" x14ac:dyDescent="0.2">
      <c r="A1067" s="5"/>
      <c r="B1067" s="16"/>
      <c r="C1067" s="16"/>
      <c r="D1067" s="85" t="s">
        <v>7</v>
      </c>
      <c r="E1067" s="267" t="s">
        <v>1668</v>
      </c>
      <c r="F1067" s="267"/>
      <c r="G1067" s="87">
        <v>1</v>
      </c>
      <c r="H1067" s="39"/>
      <c r="I1067" s="6"/>
    </row>
    <row r="1068" spans="1:9" x14ac:dyDescent="0.2">
      <c r="A1068" s="7" t="s">
        <v>240</v>
      </c>
      <c r="B1068" s="17" t="s">
        <v>305</v>
      </c>
      <c r="C1068" s="17" t="s">
        <v>521</v>
      </c>
      <c r="D1068" s="241" t="s">
        <v>914</v>
      </c>
      <c r="E1068" s="242"/>
      <c r="F1068" s="17" t="s">
        <v>1045</v>
      </c>
      <c r="G1068" s="28">
        <v>1</v>
      </c>
      <c r="H1068" s="93">
        <v>0</v>
      </c>
      <c r="I1068" s="6"/>
    </row>
    <row r="1069" spans="1:9" ht="12.2" customHeight="1" x14ac:dyDescent="0.2">
      <c r="A1069" s="7"/>
      <c r="B1069" s="17"/>
      <c r="C1069" s="17"/>
      <c r="D1069" s="85" t="s">
        <v>7</v>
      </c>
      <c r="E1069" s="267" t="s">
        <v>1668</v>
      </c>
      <c r="F1069" s="267"/>
      <c r="G1069" s="88">
        <v>1</v>
      </c>
      <c r="H1069" s="40"/>
      <c r="I1069" s="6"/>
    </row>
    <row r="1070" spans="1:9" ht="12.95" customHeight="1" x14ac:dyDescent="0.2">
      <c r="A1070" s="6"/>
      <c r="C1070" s="84" t="s">
        <v>302</v>
      </c>
      <c r="D1070" s="248" t="s">
        <v>907</v>
      </c>
      <c r="E1070" s="249"/>
      <c r="F1070" s="249"/>
      <c r="G1070" s="249"/>
      <c r="H1070" s="92"/>
      <c r="I1070" s="6"/>
    </row>
    <row r="1071" spans="1:9" x14ac:dyDescent="0.2">
      <c r="A1071" s="5" t="s">
        <v>241</v>
      </c>
      <c r="B1071" s="16" t="s">
        <v>305</v>
      </c>
      <c r="C1071" s="16" t="s">
        <v>522</v>
      </c>
      <c r="D1071" s="243" t="s">
        <v>915</v>
      </c>
      <c r="E1071" s="244"/>
      <c r="F1071" s="16" t="s">
        <v>1045</v>
      </c>
      <c r="G1071" s="27">
        <v>1</v>
      </c>
      <c r="H1071" s="91">
        <v>0</v>
      </c>
      <c r="I1071" s="6"/>
    </row>
    <row r="1072" spans="1:9" ht="12.2" customHeight="1" x14ac:dyDescent="0.2">
      <c r="A1072" s="5"/>
      <c r="B1072" s="16"/>
      <c r="C1072" s="16"/>
      <c r="D1072" s="85" t="s">
        <v>7</v>
      </c>
      <c r="E1072" s="267" t="s">
        <v>1668</v>
      </c>
      <c r="F1072" s="267"/>
      <c r="G1072" s="87">
        <v>1</v>
      </c>
      <c r="H1072" s="39"/>
      <c r="I1072" s="6"/>
    </row>
    <row r="1073" spans="1:9" x14ac:dyDescent="0.2">
      <c r="A1073" s="7" t="s">
        <v>242</v>
      </c>
      <c r="B1073" s="17" t="s">
        <v>305</v>
      </c>
      <c r="C1073" s="17" t="s">
        <v>523</v>
      </c>
      <c r="D1073" s="241" t="s">
        <v>916</v>
      </c>
      <c r="E1073" s="242"/>
      <c r="F1073" s="17" t="s">
        <v>1045</v>
      </c>
      <c r="G1073" s="28">
        <v>1</v>
      </c>
      <c r="H1073" s="93">
        <v>0</v>
      </c>
      <c r="I1073" s="6"/>
    </row>
    <row r="1074" spans="1:9" ht="12.2" customHeight="1" x14ac:dyDescent="0.2">
      <c r="A1074" s="7"/>
      <c r="B1074" s="17"/>
      <c r="C1074" s="17"/>
      <c r="D1074" s="85" t="s">
        <v>7</v>
      </c>
      <c r="E1074" s="267" t="s">
        <v>1668</v>
      </c>
      <c r="F1074" s="267"/>
      <c r="G1074" s="88">
        <v>1</v>
      </c>
      <c r="H1074" s="40"/>
      <c r="I1074" s="6"/>
    </row>
    <row r="1075" spans="1:9" ht="12.95" customHeight="1" x14ac:dyDescent="0.2">
      <c r="A1075" s="6"/>
      <c r="C1075" s="84" t="s">
        <v>302</v>
      </c>
      <c r="D1075" s="248" t="s">
        <v>907</v>
      </c>
      <c r="E1075" s="249"/>
      <c r="F1075" s="249"/>
      <c r="G1075" s="249"/>
      <c r="H1075" s="92"/>
      <c r="I1075" s="6"/>
    </row>
    <row r="1076" spans="1:9" x14ac:dyDescent="0.2">
      <c r="A1076" s="5" t="s">
        <v>243</v>
      </c>
      <c r="B1076" s="16" t="s">
        <v>305</v>
      </c>
      <c r="C1076" s="16" t="s">
        <v>524</v>
      </c>
      <c r="D1076" s="243" t="s">
        <v>917</v>
      </c>
      <c r="E1076" s="244"/>
      <c r="F1076" s="16" t="s">
        <v>1045</v>
      </c>
      <c r="G1076" s="27">
        <v>1</v>
      </c>
      <c r="H1076" s="91">
        <v>0</v>
      </c>
      <c r="I1076" s="6"/>
    </row>
    <row r="1077" spans="1:9" ht="12.2" customHeight="1" x14ac:dyDescent="0.2">
      <c r="A1077" s="5"/>
      <c r="B1077" s="16"/>
      <c r="C1077" s="16"/>
      <c r="D1077" s="85" t="s">
        <v>7</v>
      </c>
      <c r="E1077" s="267" t="s">
        <v>1627</v>
      </c>
      <c r="F1077" s="267"/>
      <c r="G1077" s="87">
        <v>1</v>
      </c>
      <c r="H1077" s="39"/>
      <c r="I1077" s="6"/>
    </row>
    <row r="1078" spans="1:9" x14ac:dyDescent="0.2">
      <c r="A1078" s="7" t="s">
        <v>244</v>
      </c>
      <c r="B1078" s="17" t="s">
        <v>305</v>
      </c>
      <c r="C1078" s="17" t="s">
        <v>525</v>
      </c>
      <c r="D1078" s="241" t="s">
        <v>918</v>
      </c>
      <c r="E1078" s="242"/>
      <c r="F1078" s="17" t="s">
        <v>1045</v>
      </c>
      <c r="G1078" s="28">
        <v>1</v>
      </c>
      <c r="H1078" s="93">
        <v>0</v>
      </c>
      <c r="I1078" s="6"/>
    </row>
    <row r="1079" spans="1:9" ht="12.2" customHeight="1" x14ac:dyDescent="0.2">
      <c r="A1079" s="7"/>
      <c r="B1079" s="17"/>
      <c r="C1079" s="17"/>
      <c r="D1079" s="85" t="s">
        <v>7</v>
      </c>
      <c r="E1079" s="267" t="s">
        <v>1627</v>
      </c>
      <c r="F1079" s="267"/>
      <c r="G1079" s="88">
        <v>1</v>
      </c>
      <c r="H1079" s="40"/>
      <c r="I1079" s="6"/>
    </row>
    <row r="1080" spans="1:9" ht="12.95" customHeight="1" x14ac:dyDescent="0.2">
      <c r="A1080" s="6"/>
      <c r="C1080" s="84" t="s">
        <v>302</v>
      </c>
      <c r="D1080" s="248" t="s">
        <v>907</v>
      </c>
      <c r="E1080" s="249"/>
      <c r="F1080" s="249"/>
      <c r="G1080" s="249"/>
      <c r="H1080" s="92"/>
      <c r="I1080" s="6"/>
    </row>
    <row r="1081" spans="1:9" x14ac:dyDescent="0.2">
      <c r="A1081" s="5" t="s">
        <v>245</v>
      </c>
      <c r="B1081" s="16" t="s">
        <v>305</v>
      </c>
      <c r="C1081" s="16" t="s">
        <v>526</v>
      </c>
      <c r="D1081" s="243" t="s">
        <v>919</v>
      </c>
      <c r="E1081" s="244"/>
      <c r="F1081" s="16" t="s">
        <v>1047</v>
      </c>
      <c r="G1081" s="27">
        <v>797.35</v>
      </c>
      <c r="H1081" s="91">
        <v>0</v>
      </c>
      <c r="I1081" s="6"/>
    </row>
    <row r="1082" spans="1:9" ht="12.2" customHeight="1" x14ac:dyDescent="0.2">
      <c r="A1082" s="5"/>
      <c r="B1082" s="16"/>
      <c r="C1082" s="16"/>
      <c r="D1082" s="85" t="s">
        <v>1526</v>
      </c>
      <c r="E1082" s="267" t="s">
        <v>1766</v>
      </c>
      <c r="F1082" s="267"/>
      <c r="G1082" s="87">
        <v>213.85</v>
      </c>
      <c r="H1082" s="39"/>
      <c r="I1082" s="6"/>
    </row>
    <row r="1083" spans="1:9" ht="12.2" customHeight="1" x14ac:dyDescent="0.2">
      <c r="A1083" s="5"/>
      <c r="B1083" s="16"/>
      <c r="C1083" s="16"/>
      <c r="D1083" s="85" t="s">
        <v>1527</v>
      </c>
      <c r="E1083" s="267" t="s">
        <v>1767</v>
      </c>
      <c r="F1083" s="267"/>
      <c r="G1083" s="87">
        <v>52.75</v>
      </c>
      <c r="H1083" s="39"/>
      <c r="I1083" s="6"/>
    </row>
    <row r="1084" spans="1:9" ht="12.2" customHeight="1" x14ac:dyDescent="0.2">
      <c r="A1084" s="5"/>
      <c r="B1084" s="16"/>
      <c r="C1084" s="16"/>
      <c r="D1084" s="85" t="s">
        <v>1528</v>
      </c>
      <c r="E1084" s="267" t="s">
        <v>1768</v>
      </c>
      <c r="F1084" s="267"/>
      <c r="G1084" s="87">
        <v>161</v>
      </c>
      <c r="H1084" s="39"/>
      <c r="I1084" s="6"/>
    </row>
    <row r="1085" spans="1:9" ht="12.2" customHeight="1" x14ac:dyDescent="0.2">
      <c r="A1085" s="5"/>
      <c r="B1085" s="16"/>
      <c r="C1085" s="16"/>
      <c r="D1085" s="85" t="s">
        <v>1528</v>
      </c>
      <c r="E1085" s="267" t="s">
        <v>1769</v>
      </c>
      <c r="F1085" s="267"/>
      <c r="G1085" s="87">
        <v>161</v>
      </c>
      <c r="H1085" s="39"/>
      <c r="I1085" s="6"/>
    </row>
    <row r="1086" spans="1:9" ht="12.2" customHeight="1" x14ac:dyDescent="0.2">
      <c r="A1086" s="5"/>
      <c r="B1086" s="16"/>
      <c r="C1086" s="16"/>
      <c r="D1086" s="85" t="s">
        <v>1529</v>
      </c>
      <c r="E1086" s="267" t="s">
        <v>1770</v>
      </c>
      <c r="F1086" s="267"/>
      <c r="G1086" s="87">
        <v>63.9</v>
      </c>
      <c r="H1086" s="39"/>
      <c r="I1086" s="6"/>
    </row>
    <row r="1087" spans="1:9" ht="12.2" customHeight="1" x14ac:dyDescent="0.2">
      <c r="A1087" s="5"/>
      <c r="B1087" s="16"/>
      <c r="C1087" s="16"/>
      <c r="D1087" s="85" t="s">
        <v>1530</v>
      </c>
      <c r="E1087" s="267" t="s">
        <v>1771</v>
      </c>
      <c r="F1087" s="267"/>
      <c r="G1087" s="87">
        <v>73.349999999999994</v>
      </c>
      <c r="H1087" s="39"/>
      <c r="I1087" s="6"/>
    </row>
    <row r="1088" spans="1:9" ht="12.2" customHeight="1" x14ac:dyDescent="0.2">
      <c r="A1088" s="5"/>
      <c r="B1088" s="16"/>
      <c r="C1088" s="16"/>
      <c r="D1088" s="85" t="s">
        <v>1531</v>
      </c>
      <c r="E1088" s="267" t="s">
        <v>1772</v>
      </c>
      <c r="F1088" s="267"/>
      <c r="G1088" s="87">
        <v>71.5</v>
      </c>
      <c r="H1088" s="39"/>
      <c r="I1088" s="6"/>
    </row>
    <row r="1089" spans="1:9" ht="12.95" customHeight="1" x14ac:dyDescent="0.2">
      <c r="A1089" s="6"/>
      <c r="C1089" s="84" t="s">
        <v>302</v>
      </c>
      <c r="D1089" s="248" t="s">
        <v>920</v>
      </c>
      <c r="E1089" s="249"/>
      <c r="F1089" s="249"/>
      <c r="G1089" s="249"/>
      <c r="H1089" s="92"/>
      <c r="I1089" s="6"/>
    </row>
    <row r="1090" spans="1:9" x14ac:dyDescent="0.2">
      <c r="A1090" s="5" t="s">
        <v>246</v>
      </c>
      <c r="B1090" s="16" t="s">
        <v>305</v>
      </c>
      <c r="C1090" s="16" t="s">
        <v>527</v>
      </c>
      <c r="D1090" s="243" t="s">
        <v>921</v>
      </c>
      <c r="E1090" s="244"/>
      <c r="F1090" s="16" t="s">
        <v>1043</v>
      </c>
      <c r="G1090" s="27">
        <v>1.4</v>
      </c>
      <c r="H1090" s="91">
        <v>0</v>
      </c>
      <c r="I1090" s="6"/>
    </row>
    <row r="1091" spans="1:9" x14ac:dyDescent="0.2">
      <c r="A1091" s="5" t="s">
        <v>247</v>
      </c>
      <c r="B1091" s="16" t="s">
        <v>307</v>
      </c>
      <c r="C1091" s="16" t="s">
        <v>526</v>
      </c>
      <c r="D1091" s="243" t="s">
        <v>919</v>
      </c>
      <c r="E1091" s="244"/>
      <c r="F1091" s="16" t="s">
        <v>1047</v>
      </c>
      <c r="G1091" s="27">
        <v>643.19000000000005</v>
      </c>
      <c r="H1091" s="91">
        <v>0</v>
      </c>
      <c r="I1091" s="6"/>
    </row>
    <row r="1092" spans="1:9" ht="12.2" customHeight="1" x14ac:dyDescent="0.2">
      <c r="A1092" s="5"/>
      <c r="B1092" s="16"/>
      <c r="C1092" s="16"/>
      <c r="D1092" s="85" t="s">
        <v>1532</v>
      </c>
      <c r="E1092" s="267" t="s">
        <v>1773</v>
      </c>
      <c r="F1092" s="267"/>
      <c r="G1092" s="87">
        <v>350.94</v>
      </c>
      <c r="H1092" s="39"/>
      <c r="I1092" s="6"/>
    </row>
    <row r="1093" spans="1:9" ht="12.2" customHeight="1" x14ac:dyDescent="0.2">
      <c r="A1093" s="5"/>
      <c r="B1093" s="16"/>
      <c r="C1093" s="16"/>
      <c r="D1093" s="85" t="s">
        <v>1533</v>
      </c>
      <c r="E1093" s="267" t="s">
        <v>1774</v>
      </c>
      <c r="F1093" s="267"/>
      <c r="G1093" s="87">
        <v>42</v>
      </c>
      <c r="H1093" s="39"/>
      <c r="I1093" s="6"/>
    </row>
    <row r="1094" spans="1:9" ht="12.2" customHeight="1" x14ac:dyDescent="0.2">
      <c r="A1094" s="5"/>
      <c r="B1094" s="16"/>
      <c r="C1094" s="16"/>
      <c r="D1094" s="85" t="s">
        <v>1534</v>
      </c>
      <c r="E1094" s="267" t="s">
        <v>1775</v>
      </c>
      <c r="F1094" s="267"/>
      <c r="G1094" s="87">
        <v>52.5</v>
      </c>
      <c r="H1094" s="39"/>
      <c r="I1094" s="6"/>
    </row>
    <row r="1095" spans="1:9" ht="12.2" customHeight="1" x14ac:dyDescent="0.2">
      <c r="A1095" s="5"/>
      <c r="B1095" s="16"/>
      <c r="C1095" s="16"/>
      <c r="D1095" s="85" t="s">
        <v>1535</v>
      </c>
      <c r="E1095" s="267" t="s">
        <v>1776</v>
      </c>
      <c r="F1095" s="267"/>
      <c r="G1095" s="87">
        <v>99.75</v>
      </c>
      <c r="H1095" s="39"/>
      <c r="I1095" s="6"/>
    </row>
    <row r="1096" spans="1:9" ht="12.2" customHeight="1" x14ac:dyDescent="0.2">
      <c r="A1096" s="5"/>
      <c r="B1096" s="16"/>
      <c r="C1096" s="16"/>
      <c r="D1096" s="85" t="s">
        <v>1536</v>
      </c>
      <c r="E1096" s="267" t="s">
        <v>1777</v>
      </c>
      <c r="F1096" s="267"/>
      <c r="G1096" s="87">
        <v>98</v>
      </c>
      <c r="H1096" s="39"/>
      <c r="I1096" s="6"/>
    </row>
    <row r="1097" spans="1:9" ht="12.95" customHeight="1" x14ac:dyDescent="0.2">
      <c r="A1097" s="6"/>
      <c r="C1097" s="84" t="s">
        <v>302</v>
      </c>
      <c r="D1097" s="248" t="s">
        <v>920</v>
      </c>
      <c r="E1097" s="249"/>
      <c r="F1097" s="249"/>
      <c r="G1097" s="249"/>
      <c r="H1097" s="92"/>
      <c r="I1097" s="6"/>
    </row>
    <row r="1098" spans="1:9" x14ac:dyDescent="0.2">
      <c r="A1098" s="7" t="s">
        <v>248</v>
      </c>
      <c r="B1098" s="17" t="s">
        <v>307</v>
      </c>
      <c r="C1098" s="17" t="s">
        <v>606</v>
      </c>
      <c r="D1098" s="241" t="s">
        <v>1025</v>
      </c>
      <c r="E1098" s="242"/>
      <c r="F1098" s="17" t="s">
        <v>1048</v>
      </c>
      <c r="G1098" s="28">
        <v>2</v>
      </c>
      <c r="H1098" s="93">
        <v>0</v>
      </c>
      <c r="I1098" s="6"/>
    </row>
    <row r="1099" spans="1:9" ht="12.2" customHeight="1" x14ac:dyDescent="0.2">
      <c r="A1099" s="7"/>
      <c r="B1099" s="17"/>
      <c r="C1099" s="17"/>
      <c r="D1099" s="85" t="s">
        <v>7</v>
      </c>
      <c r="E1099" s="267" t="s">
        <v>1774</v>
      </c>
      <c r="F1099" s="267"/>
      <c r="G1099" s="88">
        <v>1</v>
      </c>
      <c r="H1099" s="40"/>
      <c r="I1099" s="6"/>
    </row>
    <row r="1100" spans="1:9" ht="12.2" customHeight="1" x14ac:dyDescent="0.2">
      <c r="A1100" s="7"/>
      <c r="B1100" s="17"/>
      <c r="C1100" s="17"/>
      <c r="D1100" s="85" t="s">
        <v>7</v>
      </c>
      <c r="E1100" s="267" t="s">
        <v>1775</v>
      </c>
      <c r="F1100" s="267"/>
      <c r="G1100" s="88">
        <v>1</v>
      </c>
      <c r="H1100" s="40"/>
      <c r="I1100" s="6"/>
    </row>
    <row r="1101" spans="1:9" x14ac:dyDescent="0.2">
      <c r="A1101" s="7" t="s">
        <v>249</v>
      </c>
      <c r="B1101" s="17" t="s">
        <v>307</v>
      </c>
      <c r="C1101" s="17" t="s">
        <v>607</v>
      </c>
      <c r="D1101" s="241" t="s">
        <v>1026</v>
      </c>
      <c r="E1101" s="242"/>
      <c r="F1101" s="17" t="s">
        <v>1048</v>
      </c>
      <c r="G1101" s="28">
        <v>2</v>
      </c>
      <c r="H1101" s="93">
        <v>0</v>
      </c>
      <c r="I1101" s="6"/>
    </row>
    <row r="1102" spans="1:9" ht="12.2" customHeight="1" x14ac:dyDescent="0.2">
      <c r="A1102" s="7"/>
      <c r="B1102" s="17"/>
      <c r="C1102" s="17"/>
      <c r="D1102" s="85" t="s">
        <v>8</v>
      </c>
      <c r="E1102" s="267"/>
      <c r="F1102" s="267"/>
      <c r="G1102" s="88">
        <v>2</v>
      </c>
      <c r="H1102" s="40"/>
      <c r="I1102" s="6"/>
    </row>
    <row r="1103" spans="1:9" x14ac:dyDescent="0.2">
      <c r="A1103" s="7" t="s">
        <v>250</v>
      </c>
      <c r="B1103" s="17" t="s">
        <v>307</v>
      </c>
      <c r="C1103" s="17" t="s">
        <v>608</v>
      </c>
      <c r="D1103" s="241" t="s">
        <v>1027</v>
      </c>
      <c r="E1103" s="242"/>
      <c r="F1103" s="17" t="s">
        <v>1048</v>
      </c>
      <c r="G1103" s="28">
        <v>2</v>
      </c>
      <c r="H1103" s="93">
        <v>0</v>
      </c>
      <c r="I1103" s="6"/>
    </row>
    <row r="1104" spans="1:9" ht="12.2" customHeight="1" x14ac:dyDescent="0.2">
      <c r="A1104" s="7"/>
      <c r="B1104" s="17"/>
      <c r="C1104" s="17"/>
      <c r="D1104" s="85" t="s">
        <v>8</v>
      </c>
      <c r="E1104" s="267"/>
      <c r="F1104" s="267"/>
      <c r="G1104" s="88">
        <v>2</v>
      </c>
      <c r="H1104" s="40"/>
      <c r="I1104" s="6"/>
    </row>
    <row r="1105" spans="1:9" x14ac:dyDescent="0.2">
      <c r="A1105" s="7" t="s">
        <v>251</v>
      </c>
      <c r="B1105" s="17" t="s">
        <v>307</v>
      </c>
      <c r="C1105" s="17" t="s">
        <v>609</v>
      </c>
      <c r="D1105" s="241" t="s">
        <v>1028</v>
      </c>
      <c r="E1105" s="242"/>
      <c r="F1105" s="17" t="s">
        <v>1049</v>
      </c>
      <c r="G1105" s="28">
        <v>6</v>
      </c>
      <c r="H1105" s="93">
        <v>0</v>
      </c>
      <c r="I1105" s="6"/>
    </row>
    <row r="1106" spans="1:9" ht="12.2" customHeight="1" x14ac:dyDescent="0.2">
      <c r="A1106" s="7"/>
      <c r="B1106" s="17"/>
      <c r="C1106" s="17"/>
      <c r="D1106" s="85" t="s">
        <v>12</v>
      </c>
      <c r="E1106" s="267"/>
      <c r="F1106" s="267"/>
      <c r="G1106" s="88">
        <v>6</v>
      </c>
      <c r="H1106" s="40"/>
      <c r="I1106" s="6"/>
    </row>
    <row r="1107" spans="1:9" x14ac:dyDescent="0.2">
      <c r="A1107" s="7" t="s">
        <v>252</v>
      </c>
      <c r="B1107" s="17" t="s">
        <v>307</v>
      </c>
      <c r="C1107" s="17" t="s">
        <v>610</v>
      </c>
      <c r="D1107" s="241" t="s">
        <v>1029</v>
      </c>
      <c r="E1107" s="242"/>
      <c r="F1107" s="17" t="s">
        <v>1048</v>
      </c>
      <c r="G1107" s="28">
        <v>2</v>
      </c>
      <c r="H1107" s="93">
        <v>0</v>
      </c>
      <c r="I1107" s="6"/>
    </row>
    <row r="1108" spans="1:9" ht="12.2" customHeight="1" x14ac:dyDescent="0.2">
      <c r="A1108" s="7"/>
      <c r="B1108" s="17"/>
      <c r="C1108" s="17"/>
      <c r="D1108" s="85" t="s">
        <v>8</v>
      </c>
      <c r="E1108" s="267"/>
      <c r="F1108" s="267"/>
      <c r="G1108" s="88">
        <v>2</v>
      </c>
      <c r="H1108" s="40"/>
      <c r="I1108" s="6"/>
    </row>
    <row r="1109" spans="1:9" x14ac:dyDescent="0.2">
      <c r="A1109" s="5" t="s">
        <v>253</v>
      </c>
      <c r="B1109" s="16" t="s">
        <v>307</v>
      </c>
      <c r="C1109" s="16" t="s">
        <v>611</v>
      </c>
      <c r="D1109" s="243" t="s">
        <v>1030</v>
      </c>
      <c r="E1109" s="244"/>
      <c r="F1109" s="16" t="s">
        <v>1043</v>
      </c>
      <c r="G1109" s="27">
        <v>0.11</v>
      </c>
      <c r="H1109" s="91">
        <v>0</v>
      </c>
      <c r="I1109" s="6"/>
    </row>
    <row r="1110" spans="1:9" x14ac:dyDescent="0.2">
      <c r="A1110" s="82"/>
      <c r="B1110" s="15"/>
      <c r="C1110" s="15" t="s">
        <v>528</v>
      </c>
      <c r="D1110" s="237" t="s">
        <v>922</v>
      </c>
      <c r="E1110" s="238"/>
      <c r="F1110" s="15"/>
      <c r="G1110" s="51"/>
      <c r="H1110" s="38"/>
      <c r="I1110" s="6"/>
    </row>
    <row r="1111" spans="1:9" x14ac:dyDescent="0.2">
      <c r="A1111" s="5" t="s">
        <v>254</v>
      </c>
      <c r="B1111" s="16" t="s">
        <v>305</v>
      </c>
      <c r="C1111" s="16" t="s">
        <v>529</v>
      </c>
      <c r="D1111" s="243" t="s">
        <v>923</v>
      </c>
      <c r="E1111" s="244"/>
      <c r="F1111" s="16" t="s">
        <v>1042</v>
      </c>
      <c r="G1111" s="27">
        <v>32.18</v>
      </c>
      <c r="H1111" s="91">
        <v>0</v>
      </c>
      <c r="I1111" s="6"/>
    </row>
    <row r="1112" spans="1:9" ht="12.2" customHeight="1" x14ac:dyDescent="0.2">
      <c r="A1112" s="5"/>
      <c r="B1112" s="16"/>
      <c r="C1112" s="16"/>
      <c r="D1112" s="85" t="s">
        <v>1454</v>
      </c>
      <c r="E1112" s="267" t="s">
        <v>1707</v>
      </c>
      <c r="F1112" s="267"/>
      <c r="G1112" s="87">
        <v>8.98</v>
      </c>
      <c r="H1112" s="39"/>
      <c r="I1112" s="6"/>
    </row>
    <row r="1113" spans="1:9" ht="12.2" customHeight="1" x14ac:dyDescent="0.2">
      <c r="A1113" s="5"/>
      <c r="B1113" s="16"/>
      <c r="C1113" s="16"/>
      <c r="D1113" s="85" t="s">
        <v>1455</v>
      </c>
      <c r="E1113" s="267" t="s">
        <v>1722</v>
      </c>
      <c r="F1113" s="267"/>
      <c r="G1113" s="87">
        <v>4.63</v>
      </c>
      <c r="H1113" s="39"/>
      <c r="I1113" s="6"/>
    </row>
    <row r="1114" spans="1:9" ht="12.2" customHeight="1" x14ac:dyDescent="0.2">
      <c r="A1114" s="5"/>
      <c r="B1114" s="16"/>
      <c r="C1114" s="16"/>
      <c r="D1114" s="85" t="s">
        <v>1456</v>
      </c>
      <c r="E1114" s="267" t="s">
        <v>1709</v>
      </c>
      <c r="F1114" s="267"/>
      <c r="G1114" s="87">
        <v>1.74</v>
      </c>
      <c r="H1114" s="39"/>
      <c r="I1114" s="6"/>
    </row>
    <row r="1115" spans="1:9" ht="12.2" customHeight="1" x14ac:dyDescent="0.2">
      <c r="A1115" s="5"/>
      <c r="B1115" s="16"/>
      <c r="C1115" s="16"/>
      <c r="D1115" s="85" t="s">
        <v>1310</v>
      </c>
      <c r="E1115" s="267" t="s">
        <v>1694</v>
      </c>
      <c r="F1115" s="267"/>
      <c r="G1115" s="87">
        <v>7</v>
      </c>
      <c r="H1115" s="39"/>
      <c r="I1115" s="6"/>
    </row>
    <row r="1116" spans="1:9" ht="12.2" customHeight="1" x14ac:dyDescent="0.2">
      <c r="A1116" s="5"/>
      <c r="B1116" s="16"/>
      <c r="C1116" s="16"/>
      <c r="D1116" s="85" t="s">
        <v>1311</v>
      </c>
      <c r="E1116" s="267" t="s">
        <v>1695</v>
      </c>
      <c r="F1116" s="267"/>
      <c r="G1116" s="87">
        <v>1.49</v>
      </c>
      <c r="H1116" s="39"/>
      <c r="I1116" s="6"/>
    </row>
    <row r="1117" spans="1:9" ht="12.2" customHeight="1" x14ac:dyDescent="0.2">
      <c r="A1117" s="5"/>
      <c r="B1117" s="16"/>
      <c r="C1117" s="16"/>
      <c r="D1117" s="85" t="s">
        <v>1312</v>
      </c>
      <c r="E1117" s="267" t="s">
        <v>1696</v>
      </c>
      <c r="F1117" s="267"/>
      <c r="G1117" s="87">
        <v>8.34</v>
      </c>
      <c r="H1117" s="39"/>
      <c r="I1117" s="6"/>
    </row>
    <row r="1118" spans="1:9" x14ac:dyDescent="0.2">
      <c r="A1118" s="5" t="s">
        <v>255</v>
      </c>
      <c r="B1118" s="16" t="s">
        <v>305</v>
      </c>
      <c r="C1118" s="16" t="s">
        <v>530</v>
      </c>
      <c r="D1118" s="243" t="s">
        <v>924</v>
      </c>
      <c r="E1118" s="244"/>
      <c r="F1118" s="16" t="s">
        <v>1042</v>
      </c>
      <c r="G1118" s="27">
        <v>32.18</v>
      </c>
      <c r="H1118" s="91">
        <v>0</v>
      </c>
      <c r="I1118" s="6"/>
    </row>
    <row r="1119" spans="1:9" ht="12.2" customHeight="1" x14ac:dyDescent="0.2">
      <c r="A1119" s="5"/>
      <c r="B1119" s="16"/>
      <c r="C1119" s="16"/>
      <c r="D1119" s="85" t="s">
        <v>1454</v>
      </c>
      <c r="E1119" s="267" t="s">
        <v>1707</v>
      </c>
      <c r="F1119" s="267"/>
      <c r="G1119" s="87">
        <v>8.98</v>
      </c>
      <c r="H1119" s="39"/>
      <c r="I1119" s="6"/>
    </row>
    <row r="1120" spans="1:9" ht="12.2" customHeight="1" x14ac:dyDescent="0.2">
      <c r="A1120" s="5"/>
      <c r="B1120" s="16"/>
      <c r="C1120" s="16"/>
      <c r="D1120" s="85" t="s">
        <v>1455</v>
      </c>
      <c r="E1120" s="267" t="s">
        <v>1722</v>
      </c>
      <c r="F1120" s="267"/>
      <c r="G1120" s="87">
        <v>4.63</v>
      </c>
      <c r="H1120" s="39"/>
      <c r="I1120" s="6"/>
    </row>
    <row r="1121" spans="1:9" ht="12.2" customHeight="1" x14ac:dyDescent="0.2">
      <c r="A1121" s="5"/>
      <c r="B1121" s="16"/>
      <c r="C1121" s="16"/>
      <c r="D1121" s="85" t="s">
        <v>1456</v>
      </c>
      <c r="E1121" s="267" t="s">
        <v>1709</v>
      </c>
      <c r="F1121" s="267"/>
      <c r="G1121" s="87">
        <v>1.74</v>
      </c>
      <c r="H1121" s="39"/>
      <c r="I1121" s="6"/>
    </row>
    <row r="1122" spans="1:9" ht="12.2" customHeight="1" x14ac:dyDescent="0.2">
      <c r="A1122" s="5"/>
      <c r="B1122" s="16"/>
      <c r="C1122" s="16"/>
      <c r="D1122" s="85" t="s">
        <v>1310</v>
      </c>
      <c r="E1122" s="267" t="s">
        <v>1694</v>
      </c>
      <c r="F1122" s="267"/>
      <c r="G1122" s="87">
        <v>7</v>
      </c>
      <c r="H1122" s="39"/>
      <c r="I1122" s="6"/>
    </row>
    <row r="1123" spans="1:9" ht="12.2" customHeight="1" x14ac:dyDescent="0.2">
      <c r="A1123" s="5"/>
      <c r="B1123" s="16"/>
      <c r="C1123" s="16"/>
      <c r="D1123" s="85" t="s">
        <v>1311</v>
      </c>
      <c r="E1123" s="267" t="s">
        <v>1695</v>
      </c>
      <c r="F1123" s="267"/>
      <c r="G1123" s="87">
        <v>1.49</v>
      </c>
      <c r="H1123" s="39"/>
      <c r="I1123" s="6"/>
    </row>
    <row r="1124" spans="1:9" ht="12.2" customHeight="1" x14ac:dyDescent="0.2">
      <c r="A1124" s="5"/>
      <c r="B1124" s="16"/>
      <c r="C1124" s="16"/>
      <c r="D1124" s="85" t="s">
        <v>1312</v>
      </c>
      <c r="E1124" s="267" t="s">
        <v>1696</v>
      </c>
      <c r="F1124" s="267"/>
      <c r="G1124" s="87">
        <v>8.34</v>
      </c>
      <c r="H1124" s="39"/>
      <c r="I1124" s="6"/>
    </row>
    <row r="1125" spans="1:9" x14ac:dyDescent="0.2">
      <c r="A1125" s="5" t="s">
        <v>256</v>
      </c>
      <c r="B1125" s="16" t="s">
        <v>305</v>
      </c>
      <c r="C1125" s="16" t="s">
        <v>531</v>
      </c>
      <c r="D1125" s="243" t="s">
        <v>926</v>
      </c>
      <c r="E1125" s="244"/>
      <c r="F1125" s="16" t="s">
        <v>1042</v>
      </c>
      <c r="G1125" s="27">
        <v>32.18</v>
      </c>
      <c r="H1125" s="91">
        <v>0</v>
      </c>
      <c r="I1125" s="6"/>
    </row>
    <row r="1126" spans="1:9" ht="12.2" customHeight="1" x14ac:dyDescent="0.2">
      <c r="A1126" s="5"/>
      <c r="B1126" s="16"/>
      <c r="C1126" s="16"/>
      <c r="D1126" s="85" t="s">
        <v>1454</v>
      </c>
      <c r="E1126" s="267" t="s">
        <v>1707</v>
      </c>
      <c r="F1126" s="267"/>
      <c r="G1126" s="87">
        <v>8.98</v>
      </c>
      <c r="H1126" s="39"/>
      <c r="I1126" s="6"/>
    </row>
    <row r="1127" spans="1:9" ht="12.2" customHeight="1" x14ac:dyDescent="0.2">
      <c r="A1127" s="5"/>
      <c r="B1127" s="16"/>
      <c r="C1127" s="16"/>
      <c r="D1127" s="85" t="s">
        <v>1455</v>
      </c>
      <c r="E1127" s="267" t="s">
        <v>1722</v>
      </c>
      <c r="F1127" s="267"/>
      <c r="G1127" s="87">
        <v>4.63</v>
      </c>
      <c r="H1127" s="39"/>
      <c r="I1127" s="6"/>
    </row>
    <row r="1128" spans="1:9" ht="12.2" customHeight="1" x14ac:dyDescent="0.2">
      <c r="A1128" s="5"/>
      <c r="B1128" s="16"/>
      <c r="C1128" s="16"/>
      <c r="D1128" s="85" t="s">
        <v>1456</v>
      </c>
      <c r="E1128" s="267" t="s">
        <v>1709</v>
      </c>
      <c r="F1128" s="267"/>
      <c r="G1128" s="87">
        <v>1.74</v>
      </c>
      <c r="H1128" s="39"/>
      <c r="I1128" s="6"/>
    </row>
    <row r="1129" spans="1:9" ht="12.2" customHeight="1" x14ac:dyDescent="0.2">
      <c r="A1129" s="5"/>
      <c r="B1129" s="16"/>
      <c r="C1129" s="16"/>
      <c r="D1129" s="85" t="s">
        <v>1310</v>
      </c>
      <c r="E1129" s="267" t="s">
        <v>1694</v>
      </c>
      <c r="F1129" s="267"/>
      <c r="G1129" s="87">
        <v>7</v>
      </c>
      <c r="H1129" s="39"/>
      <c r="I1129" s="6"/>
    </row>
    <row r="1130" spans="1:9" ht="12.2" customHeight="1" x14ac:dyDescent="0.2">
      <c r="A1130" s="5"/>
      <c r="B1130" s="16"/>
      <c r="C1130" s="16"/>
      <c r="D1130" s="85" t="s">
        <v>1311</v>
      </c>
      <c r="E1130" s="267" t="s">
        <v>1695</v>
      </c>
      <c r="F1130" s="267"/>
      <c r="G1130" s="87">
        <v>1.49</v>
      </c>
      <c r="H1130" s="39"/>
      <c r="I1130" s="6"/>
    </row>
    <row r="1131" spans="1:9" ht="12.2" customHeight="1" x14ac:dyDescent="0.2">
      <c r="A1131" s="5"/>
      <c r="B1131" s="16"/>
      <c r="C1131" s="16"/>
      <c r="D1131" s="85" t="s">
        <v>1312</v>
      </c>
      <c r="E1131" s="267" t="s">
        <v>1696</v>
      </c>
      <c r="F1131" s="267"/>
      <c r="G1131" s="87">
        <v>8.34</v>
      </c>
      <c r="H1131" s="39"/>
      <c r="I1131" s="6"/>
    </row>
    <row r="1132" spans="1:9" x14ac:dyDescent="0.2">
      <c r="A1132" s="5" t="s">
        <v>257</v>
      </c>
      <c r="B1132" s="16" t="s">
        <v>305</v>
      </c>
      <c r="C1132" s="16" t="s">
        <v>532</v>
      </c>
      <c r="D1132" s="243" t="s">
        <v>927</v>
      </c>
      <c r="E1132" s="244"/>
      <c r="F1132" s="16" t="s">
        <v>1044</v>
      </c>
      <c r="G1132" s="27">
        <v>5.79</v>
      </c>
      <c r="H1132" s="91">
        <v>0</v>
      </c>
      <c r="I1132" s="6"/>
    </row>
    <row r="1133" spans="1:9" ht="12.2" customHeight="1" x14ac:dyDescent="0.2">
      <c r="A1133" s="5"/>
      <c r="B1133" s="16"/>
      <c r="C1133" s="16"/>
      <c r="D1133" s="85" t="s">
        <v>1537</v>
      </c>
      <c r="E1133" s="267" t="s">
        <v>1778</v>
      </c>
      <c r="F1133" s="267"/>
      <c r="G1133" s="87">
        <v>5.79</v>
      </c>
      <c r="H1133" s="39"/>
      <c r="I1133" s="6"/>
    </row>
    <row r="1134" spans="1:9" x14ac:dyDescent="0.2">
      <c r="A1134" s="7" t="s">
        <v>258</v>
      </c>
      <c r="B1134" s="17" t="s">
        <v>305</v>
      </c>
      <c r="C1134" s="17" t="s">
        <v>533</v>
      </c>
      <c r="D1134" s="241" t="s">
        <v>928</v>
      </c>
      <c r="E1134" s="242"/>
      <c r="F1134" s="17" t="s">
        <v>1042</v>
      </c>
      <c r="G1134" s="28">
        <v>17.52</v>
      </c>
      <c r="H1134" s="93">
        <v>0</v>
      </c>
      <c r="I1134" s="6"/>
    </row>
    <row r="1135" spans="1:9" ht="12.2" customHeight="1" x14ac:dyDescent="0.2">
      <c r="A1135" s="7"/>
      <c r="B1135" s="17"/>
      <c r="C1135" s="17"/>
      <c r="D1135" s="85" t="s">
        <v>1538</v>
      </c>
      <c r="E1135" s="267" t="s">
        <v>1779</v>
      </c>
      <c r="F1135" s="267"/>
      <c r="G1135" s="88">
        <v>15.35</v>
      </c>
      <c r="H1135" s="40"/>
      <c r="I1135" s="6"/>
    </row>
    <row r="1136" spans="1:9" ht="12.2" customHeight="1" x14ac:dyDescent="0.2">
      <c r="A1136" s="7"/>
      <c r="B1136" s="17"/>
      <c r="C1136" s="17"/>
      <c r="D1136" s="85" t="s">
        <v>1539</v>
      </c>
      <c r="E1136" s="267" t="s">
        <v>1780</v>
      </c>
      <c r="F1136" s="267"/>
      <c r="G1136" s="88">
        <v>0.57999999999999996</v>
      </c>
      <c r="H1136" s="40"/>
      <c r="I1136" s="6"/>
    </row>
    <row r="1137" spans="1:9" ht="12.2" customHeight="1" x14ac:dyDescent="0.2">
      <c r="A1137" s="7"/>
      <c r="B1137" s="17"/>
      <c r="C1137" s="17"/>
      <c r="D1137" s="85" t="s">
        <v>1540</v>
      </c>
      <c r="E1137" s="267"/>
      <c r="F1137" s="267"/>
      <c r="G1137" s="88">
        <v>1.59</v>
      </c>
      <c r="H1137" s="40"/>
      <c r="I1137" s="6"/>
    </row>
    <row r="1138" spans="1:9" x14ac:dyDescent="0.2">
      <c r="A1138" s="7" t="s">
        <v>259</v>
      </c>
      <c r="B1138" s="17" t="s">
        <v>305</v>
      </c>
      <c r="C1138" s="17" t="s">
        <v>534</v>
      </c>
      <c r="D1138" s="241" t="s">
        <v>929</v>
      </c>
      <c r="E1138" s="242"/>
      <c r="F1138" s="17" t="s">
        <v>1042</v>
      </c>
      <c r="G1138" s="28">
        <v>19.350000000000001</v>
      </c>
      <c r="H1138" s="93">
        <v>0</v>
      </c>
      <c r="I1138" s="6"/>
    </row>
    <row r="1139" spans="1:9" ht="12.2" customHeight="1" x14ac:dyDescent="0.2">
      <c r="A1139" s="7"/>
      <c r="B1139" s="17"/>
      <c r="C1139" s="17"/>
      <c r="D1139" s="85" t="s">
        <v>1310</v>
      </c>
      <c r="E1139" s="267" t="s">
        <v>1694</v>
      </c>
      <c r="F1139" s="267"/>
      <c r="G1139" s="88">
        <v>7</v>
      </c>
      <c r="H1139" s="40"/>
      <c r="I1139" s="6"/>
    </row>
    <row r="1140" spans="1:9" ht="12.2" customHeight="1" x14ac:dyDescent="0.2">
      <c r="A1140" s="7"/>
      <c r="B1140" s="17"/>
      <c r="C1140" s="17"/>
      <c r="D1140" s="85" t="s">
        <v>1311</v>
      </c>
      <c r="E1140" s="267" t="s">
        <v>1695</v>
      </c>
      <c r="F1140" s="267"/>
      <c r="G1140" s="88">
        <v>1.49</v>
      </c>
      <c r="H1140" s="40"/>
      <c r="I1140" s="6"/>
    </row>
    <row r="1141" spans="1:9" ht="12.2" customHeight="1" x14ac:dyDescent="0.2">
      <c r="A1141" s="7"/>
      <c r="B1141" s="17"/>
      <c r="C1141" s="17"/>
      <c r="D1141" s="85" t="s">
        <v>1312</v>
      </c>
      <c r="E1141" s="267" t="s">
        <v>1696</v>
      </c>
      <c r="F1141" s="267"/>
      <c r="G1141" s="88">
        <v>8.34</v>
      </c>
      <c r="H1141" s="40"/>
      <c r="I1141" s="6"/>
    </row>
    <row r="1142" spans="1:9" ht="12.2" customHeight="1" x14ac:dyDescent="0.2">
      <c r="A1142" s="7"/>
      <c r="B1142" s="17"/>
      <c r="C1142" s="17"/>
      <c r="D1142" s="85" t="s">
        <v>1541</v>
      </c>
      <c r="E1142" s="267"/>
      <c r="F1142" s="267"/>
      <c r="G1142" s="88">
        <v>2.52</v>
      </c>
      <c r="H1142" s="40"/>
      <c r="I1142" s="6"/>
    </row>
    <row r="1143" spans="1:9" x14ac:dyDescent="0.2">
      <c r="A1143" s="5" t="s">
        <v>260</v>
      </c>
      <c r="B1143" s="16" t="s">
        <v>305</v>
      </c>
      <c r="C1143" s="16" t="s">
        <v>535</v>
      </c>
      <c r="D1143" s="243" t="s">
        <v>930</v>
      </c>
      <c r="E1143" s="244"/>
      <c r="F1143" s="16" t="s">
        <v>1044</v>
      </c>
      <c r="G1143" s="27">
        <v>2.5</v>
      </c>
      <c r="H1143" s="91">
        <v>0</v>
      </c>
      <c r="I1143" s="6"/>
    </row>
    <row r="1144" spans="1:9" ht="12.2" customHeight="1" x14ac:dyDescent="0.2">
      <c r="A1144" s="5"/>
      <c r="B1144" s="16"/>
      <c r="C1144" s="16"/>
      <c r="D1144" s="85" t="s">
        <v>1542</v>
      </c>
      <c r="E1144" s="267" t="s">
        <v>1625</v>
      </c>
      <c r="F1144" s="267"/>
      <c r="G1144" s="87">
        <v>0.9</v>
      </c>
      <c r="H1144" s="39"/>
      <c r="I1144" s="6"/>
    </row>
    <row r="1145" spans="1:9" ht="12.2" customHeight="1" x14ac:dyDescent="0.2">
      <c r="A1145" s="5"/>
      <c r="B1145" s="16"/>
      <c r="C1145" s="16"/>
      <c r="D1145" s="85" t="s">
        <v>1543</v>
      </c>
      <c r="E1145" s="267" t="s">
        <v>1621</v>
      </c>
      <c r="F1145" s="267"/>
      <c r="G1145" s="87">
        <v>1.6</v>
      </c>
      <c r="H1145" s="39"/>
      <c r="I1145" s="6"/>
    </row>
    <row r="1146" spans="1:9" x14ac:dyDescent="0.2">
      <c r="A1146" s="5" t="s">
        <v>261</v>
      </c>
      <c r="B1146" s="16" t="s">
        <v>305</v>
      </c>
      <c r="C1146" s="16" t="s">
        <v>536</v>
      </c>
      <c r="D1146" s="243" t="s">
        <v>932</v>
      </c>
      <c r="E1146" s="244"/>
      <c r="F1146" s="16" t="s">
        <v>1043</v>
      </c>
      <c r="G1146" s="27">
        <v>0.86</v>
      </c>
      <c r="H1146" s="91">
        <v>0</v>
      </c>
      <c r="I1146" s="6"/>
    </row>
    <row r="1147" spans="1:9" x14ac:dyDescent="0.2">
      <c r="A1147" s="82"/>
      <c r="B1147" s="15"/>
      <c r="C1147" s="15" t="s">
        <v>537</v>
      </c>
      <c r="D1147" s="237" t="s">
        <v>933</v>
      </c>
      <c r="E1147" s="238"/>
      <c r="F1147" s="15"/>
      <c r="G1147" s="51"/>
      <c r="H1147" s="38"/>
      <c r="I1147" s="6"/>
    </row>
    <row r="1148" spans="1:9" x14ac:dyDescent="0.2">
      <c r="A1148" s="5" t="s">
        <v>262</v>
      </c>
      <c r="B1148" s="16" t="s">
        <v>305</v>
      </c>
      <c r="C1148" s="16" t="s">
        <v>538</v>
      </c>
      <c r="D1148" s="243" t="s">
        <v>934</v>
      </c>
      <c r="E1148" s="244"/>
      <c r="F1148" s="16" t="s">
        <v>1042</v>
      </c>
      <c r="G1148" s="27">
        <v>160.4</v>
      </c>
      <c r="H1148" s="91">
        <v>0</v>
      </c>
      <c r="I1148" s="6"/>
    </row>
    <row r="1149" spans="1:9" ht="12.2" customHeight="1" x14ac:dyDescent="0.2">
      <c r="A1149" s="5"/>
      <c r="B1149" s="16"/>
      <c r="C1149" s="16"/>
      <c r="D1149" s="85" t="s">
        <v>1403</v>
      </c>
      <c r="E1149" s="267" t="s">
        <v>1725</v>
      </c>
      <c r="F1149" s="267"/>
      <c r="G1149" s="87">
        <v>81.27</v>
      </c>
      <c r="H1149" s="39"/>
      <c r="I1149" s="6"/>
    </row>
    <row r="1150" spans="1:9" ht="12.2" customHeight="1" x14ac:dyDescent="0.2">
      <c r="A1150" s="5"/>
      <c r="B1150" s="16"/>
      <c r="C1150" s="16"/>
      <c r="D1150" s="85" t="s">
        <v>1404</v>
      </c>
      <c r="E1150" s="267" t="s">
        <v>1726</v>
      </c>
      <c r="F1150" s="267"/>
      <c r="G1150" s="87">
        <v>13.85</v>
      </c>
      <c r="H1150" s="39"/>
      <c r="I1150" s="6"/>
    </row>
    <row r="1151" spans="1:9" ht="12.2" customHeight="1" x14ac:dyDescent="0.2">
      <c r="A1151" s="5"/>
      <c r="B1151" s="16"/>
      <c r="C1151" s="16"/>
      <c r="D1151" s="85" t="s">
        <v>1405</v>
      </c>
      <c r="E1151" s="267" t="s">
        <v>1727</v>
      </c>
      <c r="F1151" s="267"/>
      <c r="G1151" s="87">
        <v>12.08</v>
      </c>
      <c r="H1151" s="39"/>
      <c r="I1151" s="6"/>
    </row>
    <row r="1152" spans="1:9" ht="12.2" customHeight="1" x14ac:dyDescent="0.2">
      <c r="A1152" s="5"/>
      <c r="B1152" s="16"/>
      <c r="C1152" s="16"/>
      <c r="D1152" s="85" t="s">
        <v>1406</v>
      </c>
      <c r="E1152" s="267" t="s">
        <v>1728</v>
      </c>
      <c r="F1152" s="267"/>
      <c r="G1152" s="87">
        <v>6.11</v>
      </c>
      <c r="H1152" s="39"/>
      <c r="I1152" s="6"/>
    </row>
    <row r="1153" spans="1:9" ht="12.2" customHeight="1" x14ac:dyDescent="0.2">
      <c r="A1153" s="5"/>
      <c r="B1153" s="16"/>
      <c r="C1153" s="16"/>
      <c r="D1153" s="85" t="s">
        <v>1306</v>
      </c>
      <c r="E1153" s="267" t="s">
        <v>1690</v>
      </c>
      <c r="F1153" s="267"/>
      <c r="G1153" s="87">
        <v>14.03</v>
      </c>
      <c r="H1153" s="39"/>
      <c r="I1153" s="6"/>
    </row>
    <row r="1154" spans="1:9" ht="12.2" customHeight="1" x14ac:dyDescent="0.2">
      <c r="A1154" s="5"/>
      <c r="B1154" s="16"/>
      <c r="C1154" s="16"/>
      <c r="D1154" s="85" t="s">
        <v>1307</v>
      </c>
      <c r="E1154" s="267" t="s">
        <v>1691</v>
      </c>
      <c r="F1154" s="267"/>
      <c r="G1154" s="87">
        <v>17.350000000000001</v>
      </c>
      <c r="H1154" s="39"/>
      <c r="I1154" s="6"/>
    </row>
    <row r="1155" spans="1:9" ht="12.2" customHeight="1" x14ac:dyDescent="0.2">
      <c r="A1155" s="5"/>
      <c r="B1155" s="16"/>
      <c r="C1155" s="16"/>
      <c r="D1155" s="85" t="s">
        <v>1308</v>
      </c>
      <c r="E1155" s="267" t="s">
        <v>1692</v>
      </c>
      <c r="F1155" s="267"/>
      <c r="G1155" s="87">
        <v>9.36</v>
      </c>
      <c r="H1155" s="39"/>
      <c r="I1155" s="6"/>
    </row>
    <row r="1156" spans="1:9" ht="12.2" customHeight="1" x14ac:dyDescent="0.2">
      <c r="A1156" s="5"/>
      <c r="B1156" s="16"/>
      <c r="C1156" s="16"/>
      <c r="D1156" s="85" t="s">
        <v>1309</v>
      </c>
      <c r="E1156" s="267" t="s">
        <v>1693</v>
      </c>
      <c r="F1156" s="267"/>
      <c r="G1156" s="87">
        <v>6.35</v>
      </c>
      <c r="H1156" s="39"/>
      <c r="I1156" s="6"/>
    </row>
    <row r="1157" spans="1:9" x14ac:dyDescent="0.2">
      <c r="A1157" s="5" t="s">
        <v>263</v>
      </c>
      <c r="B1157" s="16" t="s">
        <v>305</v>
      </c>
      <c r="C1157" s="16" t="s">
        <v>539</v>
      </c>
      <c r="D1157" s="243" t="s">
        <v>935</v>
      </c>
      <c r="E1157" s="244"/>
      <c r="F1157" s="16" t="s">
        <v>1042</v>
      </c>
      <c r="G1157" s="27">
        <v>160.4</v>
      </c>
      <c r="H1157" s="91">
        <v>0</v>
      </c>
      <c r="I1157" s="6"/>
    </row>
    <row r="1158" spans="1:9" ht="12.2" customHeight="1" x14ac:dyDescent="0.2">
      <c r="A1158" s="5"/>
      <c r="B1158" s="16"/>
      <c r="C1158" s="16"/>
      <c r="D1158" s="85" t="s">
        <v>1403</v>
      </c>
      <c r="E1158" s="267" t="s">
        <v>1725</v>
      </c>
      <c r="F1158" s="267"/>
      <c r="G1158" s="87">
        <v>81.27</v>
      </c>
      <c r="H1158" s="39"/>
      <c r="I1158" s="6"/>
    </row>
    <row r="1159" spans="1:9" ht="12.2" customHeight="1" x14ac:dyDescent="0.2">
      <c r="A1159" s="5"/>
      <c r="B1159" s="16"/>
      <c r="C1159" s="16"/>
      <c r="D1159" s="85" t="s">
        <v>1404</v>
      </c>
      <c r="E1159" s="267" t="s">
        <v>1726</v>
      </c>
      <c r="F1159" s="267"/>
      <c r="G1159" s="87">
        <v>13.85</v>
      </c>
      <c r="H1159" s="39"/>
      <c r="I1159" s="6"/>
    </row>
    <row r="1160" spans="1:9" ht="12.2" customHeight="1" x14ac:dyDescent="0.2">
      <c r="A1160" s="5"/>
      <c r="B1160" s="16"/>
      <c r="C1160" s="16"/>
      <c r="D1160" s="85" t="s">
        <v>1405</v>
      </c>
      <c r="E1160" s="267" t="s">
        <v>1727</v>
      </c>
      <c r="F1160" s="267"/>
      <c r="G1160" s="87">
        <v>12.08</v>
      </c>
      <c r="H1160" s="39"/>
      <c r="I1160" s="6"/>
    </row>
    <row r="1161" spans="1:9" ht="12.2" customHeight="1" x14ac:dyDescent="0.2">
      <c r="A1161" s="5"/>
      <c r="B1161" s="16"/>
      <c r="C1161" s="16"/>
      <c r="D1161" s="85" t="s">
        <v>1406</v>
      </c>
      <c r="E1161" s="267" t="s">
        <v>1728</v>
      </c>
      <c r="F1161" s="267"/>
      <c r="G1161" s="87">
        <v>6.11</v>
      </c>
      <c r="H1161" s="39"/>
      <c r="I1161" s="6"/>
    </row>
    <row r="1162" spans="1:9" ht="12.2" customHeight="1" x14ac:dyDescent="0.2">
      <c r="A1162" s="5"/>
      <c r="B1162" s="16"/>
      <c r="C1162" s="16"/>
      <c r="D1162" s="85" t="s">
        <v>1306</v>
      </c>
      <c r="E1162" s="267" t="s">
        <v>1690</v>
      </c>
      <c r="F1162" s="267"/>
      <c r="G1162" s="87">
        <v>14.03</v>
      </c>
      <c r="H1162" s="39"/>
      <c r="I1162" s="6"/>
    </row>
    <row r="1163" spans="1:9" ht="12.2" customHeight="1" x14ac:dyDescent="0.2">
      <c r="A1163" s="5"/>
      <c r="B1163" s="16"/>
      <c r="C1163" s="16"/>
      <c r="D1163" s="85" t="s">
        <v>1307</v>
      </c>
      <c r="E1163" s="267" t="s">
        <v>1691</v>
      </c>
      <c r="F1163" s="267"/>
      <c r="G1163" s="87">
        <v>17.350000000000001</v>
      </c>
      <c r="H1163" s="39"/>
      <c r="I1163" s="6"/>
    </row>
    <row r="1164" spans="1:9" ht="12.2" customHeight="1" x14ac:dyDescent="0.2">
      <c r="A1164" s="5"/>
      <c r="B1164" s="16"/>
      <c r="C1164" s="16"/>
      <c r="D1164" s="85" t="s">
        <v>1308</v>
      </c>
      <c r="E1164" s="267" t="s">
        <v>1692</v>
      </c>
      <c r="F1164" s="267"/>
      <c r="G1164" s="87">
        <v>9.36</v>
      </c>
      <c r="H1164" s="39"/>
      <c r="I1164" s="6"/>
    </row>
    <row r="1165" spans="1:9" ht="12.2" customHeight="1" x14ac:dyDescent="0.2">
      <c r="A1165" s="5"/>
      <c r="B1165" s="16"/>
      <c r="C1165" s="16"/>
      <c r="D1165" s="85" t="s">
        <v>1309</v>
      </c>
      <c r="E1165" s="267" t="s">
        <v>1693</v>
      </c>
      <c r="F1165" s="267"/>
      <c r="G1165" s="87">
        <v>6.35</v>
      </c>
      <c r="H1165" s="39"/>
      <c r="I1165" s="6"/>
    </row>
    <row r="1166" spans="1:9" x14ac:dyDescent="0.2">
      <c r="A1166" s="5" t="s">
        <v>264</v>
      </c>
      <c r="B1166" s="16" t="s">
        <v>305</v>
      </c>
      <c r="C1166" s="16" t="s">
        <v>540</v>
      </c>
      <c r="D1166" s="243" t="s">
        <v>936</v>
      </c>
      <c r="E1166" s="244"/>
      <c r="F1166" s="16" t="s">
        <v>1042</v>
      </c>
      <c r="G1166" s="27">
        <v>160.4</v>
      </c>
      <c r="H1166" s="91">
        <v>0</v>
      </c>
      <c r="I1166" s="6"/>
    </row>
    <row r="1167" spans="1:9" ht="12.2" customHeight="1" x14ac:dyDescent="0.2">
      <c r="A1167" s="5"/>
      <c r="B1167" s="16"/>
      <c r="C1167" s="16"/>
      <c r="D1167" s="85" t="s">
        <v>1403</v>
      </c>
      <c r="E1167" s="267" t="s">
        <v>1725</v>
      </c>
      <c r="F1167" s="267"/>
      <c r="G1167" s="87">
        <v>81.27</v>
      </c>
      <c r="H1167" s="39"/>
      <c r="I1167" s="6"/>
    </row>
    <row r="1168" spans="1:9" ht="12.2" customHeight="1" x14ac:dyDescent="0.2">
      <c r="A1168" s="5"/>
      <c r="B1168" s="16"/>
      <c r="C1168" s="16"/>
      <c r="D1168" s="85" t="s">
        <v>1404</v>
      </c>
      <c r="E1168" s="267" t="s">
        <v>1726</v>
      </c>
      <c r="F1168" s="267"/>
      <c r="G1168" s="87">
        <v>13.85</v>
      </c>
      <c r="H1168" s="39"/>
      <c r="I1168" s="6"/>
    </row>
    <row r="1169" spans="1:9" ht="12.2" customHeight="1" x14ac:dyDescent="0.2">
      <c r="A1169" s="5"/>
      <c r="B1169" s="16"/>
      <c r="C1169" s="16"/>
      <c r="D1169" s="85" t="s">
        <v>1405</v>
      </c>
      <c r="E1169" s="267" t="s">
        <v>1727</v>
      </c>
      <c r="F1169" s="267"/>
      <c r="G1169" s="87">
        <v>12.08</v>
      </c>
      <c r="H1169" s="39"/>
      <c r="I1169" s="6"/>
    </row>
    <row r="1170" spans="1:9" ht="12.2" customHeight="1" x14ac:dyDescent="0.2">
      <c r="A1170" s="5"/>
      <c r="B1170" s="16"/>
      <c r="C1170" s="16"/>
      <c r="D1170" s="85" t="s">
        <v>1406</v>
      </c>
      <c r="E1170" s="267" t="s">
        <v>1728</v>
      </c>
      <c r="F1170" s="267"/>
      <c r="G1170" s="87">
        <v>6.11</v>
      </c>
      <c r="H1170" s="39"/>
      <c r="I1170" s="6"/>
    </row>
    <row r="1171" spans="1:9" ht="12.2" customHeight="1" x14ac:dyDescent="0.2">
      <c r="A1171" s="5"/>
      <c r="B1171" s="16"/>
      <c r="C1171" s="16"/>
      <c r="D1171" s="85" t="s">
        <v>1306</v>
      </c>
      <c r="E1171" s="267" t="s">
        <v>1690</v>
      </c>
      <c r="F1171" s="267"/>
      <c r="G1171" s="87">
        <v>14.03</v>
      </c>
      <c r="H1171" s="39"/>
      <c r="I1171" s="6"/>
    </row>
    <row r="1172" spans="1:9" ht="12.2" customHeight="1" x14ac:dyDescent="0.2">
      <c r="A1172" s="5"/>
      <c r="B1172" s="16"/>
      <c r="C1172" s="16"/>
      <c r="D1172" s="85" t="s">
        <v>1307</v>
      </c>
      <c r="E1172" s="267" t="s">
        <v>1691</v>
      </c>
      <c r="F1172" s="267"/>
      <c r="G1172" s="87">
        <v>17.350000000000001</v>
      </c>
      <c r="H1172" s="39"/>
      <c r="I1172" s="6"/>
    </row>
    <row r="1173" spans="1:9" ht="12.2" customHeight="1" x14ac:dyDescent="0.2">
      <c r="A1173" s="5"/>
      <c r="B1173" s="16"/>
      <c r="C1173" s="16"/>
      <c r="D1173" s="85" t="s">
        <v>1308</v>
      </c>
      <c r="E1173" s="267" t="s">
        <v>1692</v>
      </c>
      <c r="F1173" s="267"/>
      <c r="G1173" s="87">
        <v>9.36</v>
      </c>
      <c r="H1173" s="39"/>
      <c r="I1173" s="6"/>
    </row>
    <row r="1174" spans="1:9" ht="12.2" customHeight="1" x14ac:dyDescent="0.2">
      <c r="A1174" s="5"/>
      <c r="B1174" s="16"/>
      <c r="C1174" s="16"/>
      <c r="D1174" s="85" t="s">
        <v>1309</v>
      </c>
      <c r="E1174" s="267" t="s">
        <v>1693</v>
      </c>
      <c r="F1174" s="267"/>
      <c r="G1174" s="87">
        <v>6.35</v>
      </c>
      <c r="H1174" s="39"/>
      <c r="I1174" s="6"/>
    </row>
    <row r="1175" spans="1:9" x14ac:dyDescent="0.2">
      <c r="A1175" s="7" t="s">
        <v>265</v>
      </c>
      <c r="B1175" s="17" t="s">
        <v>305</v>
      </c>
      <c r="C1175" s="17" t="s">
        <v>541</v>
      </c>
      <c r="D1175" s="241" t="s">
        <v>937</v>
      </c>
      <c r="E1175" s="242"/>
      <c r="F1175" s="17" t="s">
        <v>1042</v>
      </c>
      <c r="G1175" s="28">
        <v>184.46</v>
      </c>
      <c r="H1175" s="93">
        <v>0</v>
      </c>
      <c r="I1175" s="6"/>
    </row>
    <row r="1176" spans="1:9" ht="12.2" customHeight="1" x14ac:dyDescent="0.2">
      <c r="A1176" s="7"/>
      <c r="B1176" s="17"/>
      <c r="C1176" s="17"/>
      <c r="D1176" s="85" t="s">
        <v>1403</v>
      </c>
      <c r="E1176" s="267" t="s">
        <v>1725</v>
      </c>
      <c r="F1176" s="267"/>
      <c r="G1176" s="88">
        <v>81.27</v>
      </c>
      <c r="H1176" s="40"/>
      <c r="I1176" s="6"/>
    </row>
    <row r="1177" spans="1:9" ht="12.2" customHeight="1" x14ac:dyDescent="0.2">
      <c r="A1177" s="7"/>
      <c r="B1177" s="17"/>
      <c r="C1177" s="17"/>
      <c r="D1177" s="85" t="s">
        <v>1404</v>
      </c>
      <c r="E1177" s="267" t="s">
        <v>1726</v>
      </c>
      <c r="F1177" s="267"/>
      <c r="G1177" s="88">
        <v>13.85</v>
      </c>
      <c r="H1177" s="40"/>
      <c r="I1177" s="6"/>
    </row>
    <row r="1178" spans="1:9" ht="12.2" customHeight="1" x14ac:dyDescent="0.2">
      <c r="A1178" s="7"/>
      <c r="B1178" s="17"/>
      <c r="C1178" s="17"/>
      <c r="D1178" s="85" t="s">
        <v>1405</v>
      </c>
      <c r="E1178" s="267" t="s">
        <v>1727</v>
      </c>
      <c r="F1178" s="267"/>
      <c r="G1178" s="88">
        <v>12.08</v>
      </c>
      <c r="H1178" s="40"/>
      <c r="I1178" s="6"/>
    </row>
    <row r="1179" spans="1:9" ht="12.2" customHeight="1" x14ac:dyDescent="0.2">
      <c r="A1179" s="7"/>
      <c r="B1179" s="17"/>
      <c r="C1179" s="17"/>
      <c r="D1179" s="85" t="s">
        <v>1406</v>
      </c>
      <c r="E1179" s="267" t="s">
        <v>1728</v>
      </c>
      <c r="F1179" s="267"/>
      <c r="G1179" s="88">
        <v>6.11</v>
      </c>
      <c r="H1179" s="40"/>
      <c r="I1179" s="6"/>
    </row>
    <row r="1180" spans="1:9" ht="12.2" customHeight="1" x14ac:dyDescent="0.2">
      <c r="A1180" s="7"/>
      <c r="B1180" s="17"/>
      <c r="C1180" s="17"/>
      <c r="D1180" s="85" t="s">
        <v>1306</v>
      </c>
      <c r="E1180" s="267" t="s">
        <v>1690</v>
      </c>
      <c r="F1180" s="267"/>
      <c r="G1180" s="88">
        <v>14.03</v>
      </c>
      <c r="H1180" s="40"/>
      <c r="I1180" s="6"/>
    </row>
    <row r="1181" spans="1:9" ht="12.2" customHeight="1" x14ac:dyDescent="0.2">
      <c r="A1181" s="7"/>
      <c r="B1181" s="17"/>
      <c r="C1181" s="17"/>
      <c r="D1181" s="85" t="s">
        <v>1307</v>
      </c>
      <c r="E1181" s="267" t="s">
        <v>1691</v>
      </c>
      <c r="F1181" s="267"/>
      <c r="G1181" s="88">
        <v>17.350000000000001</v>
      </c>
      <c r="H1181" s="40"/>
      <c r="I1181" s="6"/>
    </row>
    <row r="1182" spans="1:9" ht="12.2" customHeight="1" x14ac:dyDescent="0.2">
      <c r="A1182" s="7"/>
      <c r="B1182" s="17"/>
      <c r="C1182" s="17"/>
      <c r="D1182" s="85" t="s">
        <v>1308</v>
      </c>
      <c r="E1182" s="267" t="s">
        <v>1692</v>
      </c>
      <c r="F1182" s="267"/>
      <c r="G1182" s="88">
        <v>9.36</v>
      </c>
      <c r="H1182" s="40"/>
      <c r="I1182" s="6"/>
    </row>
    <row r="1183" spans="1:9" ht="12.2" customHeight="1" x14ac:dyDescent="0.2">
      <c r="A1183" s="7"/>
      <c r="B1183" s="17"/>
      <c r="C1183" s="17"/>
      <c r="D1183" s="85" t="s">
        <v>1309</v>
      </c>
      <c r="E1183" s="267" t="s">
        <v>1693</v>
      </c>
      <c r="F1183" s="267"/>
      <c r="G1183" s="88">
        <v>6.35</v>
      </c>
      <c r="H1183" s="40"/>
      <c r="I1183" s="6"/>
    </row>
    <row r="1184" spans="1:9" ht="12.2" customHeight="1" x14ac:dyDescent="0.2">
      <c r="A1184" s="7"/>
      <c r="B1184" s="17"/>
      <c r="C1184" s="17"/>
      <c r="D1184" s="85" t="s">
        <v>1544</v>
      </c>
      <c r="E1184" s="267"/>
      <c r="F1184" s="267"/>
      <c r="G1184" s="88">
        <v>24.06</v>
      </c>
      <c r="H1184" s="40"/>
      <c r="I1184" s="6"/>
    </row>
    <row r="1185" spans="1:9" x14ac:dyDescent="0.2">
      <c r="A1185" s="124" t="s">
        <v>266</v>
      </c>
      <c r="B1185" s="124" t="s">
        <v>305</v>
      </c>
      <c r="C1185" s="124" t="s">
        <v>542</v>
      </c>
      <c r="D1185" s="274" t="s">
        <v>938</v>
      </c>
      <c r="E1185" s="275"/>
      <c r="F1185" s="124" t="s">
        <v>1044</v>
      </c>
      <c r="G1185" s="126">
        <v>137.37</v>
      </c>
      <c r="H1185" s="121">
        <v>0</v>
      </c>
      <c r="I1185" s="123"/>
    </row>
    <row r="1186" spans="1:9" ht="12.2" customHeight="1" x14ac:dyDescent="0.2">
      <c r="A1186" s="124"/>
      <c r="B1186" s="124"/>
      <c r="C1186" s="124"/>
      <c r="D1186" s="130" t="s">
        <v>1479</v>
      </c>
      <c r="E1186" s="270" t="s">
        <v>1725</v>
      </c>
      <c r="F1186" s="271"/>
      <c r="G1186" s="131">
        <v>38.11</v>
      </c>
      <c r="H1186" s="127"/>
      <c r="I1186" s="123"/>
    </row>
    <row r="1187" spans="1:9" ht="12.2" customHeight="1" x14ac:dyDescent="0.2">
      <c r="A1187" s="124"/>
      <c r="B1187" s="124"/>
      <c r="C1187" s="124"/>
      <c r="D1187" s="130" t="s">
        <v>1480</v>
      </c>
      <c r="E1187" s="270" t="s">
        <v>1726</v>
      </c>
      <c r="F1187" s="271"/>
      <c r="G1187" s="131">
        <v>15.36</v>
      </c>
      <c r="H1187" s="127"/>
      <c r="I1187" s="123"/>
    </row>
    <row r="1188" spans="1:9" ht="12.2" customHeight="1" x14ac:dyDescent="0.2">
      <c r="A1188" s="124"/>
      <c r="B1188" s="124"/>
      <c r="C1188" s="124"/>
      <c r="D1188" s="130" t="s">
        <v>1481</v>
      </c>
      <c r="E1188" s="270" t="s">
        <v>1727</v>
      </c>
      <c r="F1188" s="271"/>
      <c r="G1188" s="131">
        <v>22.54</v>
      </c>
      <c r="H1188" s="127"/>
      <c r="I1188" s="123"/>
    </row>
    <row r="1189" spans="1:9" ht="12.2" customHeight="1" x14ac:dyDescent="0.2">
      <c r="A1189" s="124"/>
      <c r="B1189" s="124"/>
      <c r="C1189" s="124"/>
      <c r="D1189" s="130" t="s">
        <v>1482</v>
      </c>
      <c r="E1189" s="270" t="s">
        <v>1728</v>
      </c>
      <c r="F1189" s="271"/>
      <c r="G1189" s="131">
        <v>12.17</v>
      </c>
      <c r="H1189" s="127"/>
      <c r="I1189" s="123"/>
    </row>
    <row r="1190" spans="1:9" ht="12.2" customHeight="1" x14ac:dyDescent="0.2">
      <c r="A1190" s="124"/>
      <c r="B1190" s="124"/>
      <c r="C1190" s="124"/>
      <c r="D1190" s="130" t="s">
        <v>1545</v>
      </c>
      <c r="E1190" s="270" t="s">
        <v>1781</v>
      </c>
      <c r="F1190" s="271"/>
      <c r="G1190" s="131">
        <v>-5.0199999999999996</v>
      </c>
      <c r="H1190" s="127"/>
      <c r="I1190" s="123"/>
    </row>
    <row r="1191" spans="1:9" ht="12.2" customHeight="1" x14ac:dyDescent="0.2">
      <c r="A1191" s="124"/>
      <c r="B1191" s="124"/>
      <c r="C1191" s="124"/>
      <c r="D1191" s="130" t="s">
        <v>1485</v>
      </c>
      <c r="E1191" s="270" t="s">
        <v>1690</v>
      </c>
      <c r="F1191" s="271"/>
      <c r="G1191" s="131">
        <v>15.03</v>
      </c>
      <c r="H1191" s="127"/>
      <c r="I1191" s="123"/>
    </row>
    <row r="1192" spans="1:9" ht="12.2" customHeight="1" x14ac:dyDescent="0.2">
      <c r="A1192" s="124"/>
      <c r="B1192" s="124"/>
      <c r="C1192" s="124"/>
      <c r="D1192" s="130" t="s">
        <v>1486</v>
      </c>
      <c r="E1192" s="270" t="s">
        <v>1691</v>
      </c>
      <c r="F1192" s="271"/>
      <c r="G1192" s="131">
        <v>16.68</v>
      </c>
      <c r="H1192" s="127"/>
      <c r="I1192" s="123"/>
    </row>
    <row r="1193" spans="1:9" ht="12.2" customHeight="1" x14ac:dyDescent="0.2">
      <c r="A1193" s="124"/>
      <c r="B1193" s="124"/>
      <c r="C1193" s="124"/>
      <c r="D1193" s="130" t="s">
        <v>1487</v>
      </c>
      <c r="E1193" s="270" t="s">
        <v>1692</v>
      </c>
      <c r="F1193" s="271"/>
      <c r="G1193" s="131">
        <v>12.57</v>
      </c>
      <c r="H1193" s="127"/>
      <c r="I1193" s="123"/>
    </row>
    <row r="1194" spans="1:9" ht="12.2" customHeight="1" x14ac:dyDescent="0.2">
      <c r="A1194" s="124"/>
      <c r="B1194" s="124"/>
      <c r="C1194" s="124"/>
      <c r="D1194" s="130" t="s">
        <v>1489</v>
      </c>
      <c r="E1194" s="270" t="s">
        <v>1693</v>
      </c>
      <c r="F1194" s="271"/>
      <c r="G1194" s="131">
        <v>14.15</v>
      </c>
      <c r="H1194" s="127"/>
      <c r="I1194" s="123"/>
    </row>
    <row r="1195" spans="1:9" ht="12.2" customHeight="1" x14ac:dyDescent="0.2">
      <c r="A1195" s="124"/>
      <c r="B1195" s="124"/>
      <c r="C1195" s="124"/>
      <c r="D1195" s="130" t="s">
        <v>1546</v>
      </c>
      <c r="E1195" s="270" t="s">
        <v>1782</v>
      </c>
      <c r="F1195" s="271"/>
      <c r="G1195" s="131">
        <v>-4.22</v>
      </c>
      <c r="H1195" s="127"/>
      <c r="I1195" s="123"/>
    </row>
    <row r="1196" spans="1:9" x14ac:dyDescent="0.2">
      <c r="A1196" s="135" t="s">
        <v>267</v>
      </c>
      <c r="B1196" s="135" t="s">
        <v>305</v>
      </c>
      <c r="C1196" s="135" t="s">
        <v>543</v>
      </c>
      <c r="D1196" s="272" t="s">
        <v>939</v>
      </c>
      <c r="E1196" s="273"/>
      <c r="F1196" s="135" t="s">
        <v>1044</v>
      </c>
      <c r="G1196" s="136">
        <v>145.31</v>
      </c>
      <c r="H1196" s="133">
        <v>0</v>
      </c>
      <c r="I1196" s="123"/>
    </row>
    <row r="1197" spans="1:9" ht="12.2" customHeight="1" x14ac:dyDescent="0.2">
      <c r="A1197" s="135"/>
      <c r="B1197" s="135"/>
      <c r="C1197" s="135"/>
      <c r="D1197" s="130" t="s">
        <v>1547</v>
      </c>
      <c r="E1197" s="270"/>
      <c r="F1197" s="271"/>
      <c r="G1197" s="140">
        <v>138.38999999999999</v>
      </c>
      <c r="H1197" s="137"/>
      <c r="I1197" s="123"/>
    </row>
    <row r="1198" spans="1:9" ht="12.2" customHeight="1" x14ac:dyDescent="0.2">
      <c r="A1198" s="132"/>
      <c r="B1198" s="132"/>
      <c r="C1198" s="132"/>
      <c r="D1198" s="125" t="s">
        <v>1548</v>
      </c>
      <c r="E1198" s="268"/>
      <c r="F1198" s="269"/>
      <c r="G1198" s="139">
        <v>6.92</v>
      </c>
      <c r="H1198" s="138"/>
      <c r="I1198" s="123"/>
    </row>
    <row r="1199" spans="1:9" x14ac:dyDescent="0.2">
      <c r="A1199" s="5" t="s">
        <v>268</v>
      </c>
      <c r="B1199" s="16" t="s">
        <v>305</v>
      </c>
      <c r="C1199" s="16" t="s">
        <v>544</v>
      </c>
      <c r="D1199" s="243" t="s">
        <v>940</v>
      </c>
      <c r="E1199" s="244"/>
      <c r="F1199" s="16" t="s">
        <v>1044</v>
      </c>
      <c r="G1199" s="27">
        <v>8.84</v>
      </c>
      <c r="H1199" s="91">
        <v>0</v>
      </c>
      <c r="I1199" s="6"/>
    </row>
    <row r="1200" spans="1:9" ht="12.2" customHeight="1" x14ac:dyDescent="0.2">
      <c r="A1200" s="5"/>
      <c r="B1200" s="16"/>
      <c r="C1200" s="16"/>
      <c r="D1200" s="85" t="s">
        <v>1549</v>
      </c>
      <c r="E1200" s="267" t="s">
        <v>1783</v>
      </c>
      <c r="F1200" s="267"/>
      <c r="G1200" s="87">
        <v>4.62</v>
      </c>
      <c r="H1200" s="39"/>
      <c r="I1200" s="6"/>
    </row>
    <row r="1201" spans="1:9" ht="12.2" customHeight="1" x14ac:dyDescent="0.2">
      <c r="A1201" s="5"/>
      <c r="B1201" s="16"/>
      <c r="C1201" s="16"/>
      <c r="D1201" s="85" t="s">
        <v>1550</v>
      </c>
      <c r="E1201" s="267" t="s">
        <v>1784</v>
      </c>
      <c r="F1201" s="267"/>
      <c r="G1201" s="87">
        <v>4.22</v>
      </c>
      <c r="H1201" s="39"/>
      <c r="I1201" s="6"/>
    </row>
    <row r="1202" spans="1:9" x14ac:dyDescent="0.2">
      <c r="A1202" s="5" t="s">
        <v>269</v>
      </c>
      <c r="B1202" s="16" t="s">
        <v>305</v>
      </c>
      <c r="C1202" s="16" t="s">
        <v>545</v>
      </c>
      <c r="D1202" s="243" t="s">
        <v>942</v>
      </c>
      <c r="E1202" s="244"/>
      <c r="F1202" s="16" t="s">
        <v>1043</v>
      </c>
      <c r="G1202" s="27">
        <v>1.35</v>
      </c>
      <c r="H1202" s="91">
        <v>0</v>
      </c>
      <c r="I1202" s="6"/>
    </row>
    <row r="1203" spans="1:9" x14ac:dyDescent="0.2">
      <c r="A1203" s="82"/>
      <c r="B1203" s="15"/>
      <c r="C1203" s="15" t="s">
        <v>546</v>
      </c>
      <c r="D1203" s="237" t="s">
        <v>943</v>
      </c>
      <c r="E1203" s="238"/>
      <c r="F1203" s="15"/>
      <c r="G1203" s="51"/>
      <c r="H1203" s="38"/>
      <c r="I1203" s="6"/>
    </row>
    <row r="1204" spans="1:9" x14ac:dyDescent="0.2">
      <c r="A1204" s="5" t="s">
        <v>270</v>
      </c>
      <c r="B1204" s="16" t="s">
        <v>305</v>
      </c>
      <c r="C1204" s="16" t="s">
        <v>547</v>
      </c>
      <c r="D1204" s="243" t="s">
        <v>944</v>
      </c>
      <c r="E1204" s="244"/>
      <c r="F1204" s="16" t="s">
        <v>1042</v>
      </c>
      <c r="G1204" s="27">
        <v>28.73</v>
      </c>
      <c r="H1204" s="91">
        <v>0</v>
      </c>
      <c r="I1204" s="6"/>
    </row>
    <row r="1205" spans="1:9" ht="12.2" customHeight="1" x14ac:dyDescent="0.2">
      <c r="A1205" s="5"/>
      <c r="B1205" s="16"/>
      <c r="C1205" s="16"/>
      <c r="D1205" s="85" t="s">
        <v>1551</v>
      </c>
      <c r="E1205" s="267" t="s">
        <v>1707</v>
      </c>
      <c r="F1205" s="267"/>
      <c r="G1205" s="87">
        <v>17.18</v>
      </c>
      <c r="H1205" s="39"/>
      <c r="I1205" s="6"/>
    </row>
    <row r="1206" spans="1:9" ht="12.2" customHeight="1" x14ac:dyDescent="0.2">
      <c r="A1206" s="5"/>
      <c r="B1206" s="16"/>
      <c r="C1206" s="16"/>
      <c r="D1206" s="85" t="s">
        <v>1552</v>
      </c>
      <c r="E1206" s="267" t="s">
        <v>1709</v>
      </c>
      <c r="F1206" s="267"/>
      <c r="G1206" s="87">
        <v>11.55</v>
      </c>
      <c r="H1206" s="39"/>
      <c r="I1206" s="6"/>
    </row>
    <row r="1207" spans="1:9" x14ac:dyDescent="0.2">
      <c r="A1207" s="5" t="s">
        <v>271</v>
      </c>
      <c r="B1207" s="16" t="s">
        <v>305</v>
      </c>
      <c r="C1207" s="16" t="s">
        <v>548</v>
      </c>
      <c r="D1207" s="243" t="s">
        <v>945</v>
      </c>
      <c r="E1207" s="244"/>
      <c r="F1207" s="16" t="s">
        <v>1042</v>
      </c>
      <c r="G1207" s="27">
        <v>79.069999999999993</v>
      </c>
      <c r="H1207" s="91">
        <v>0</v>
      </c>
      <c r="I1207" s="6"/>
    </row>
    <row r="1208" spans="1:9" ht="12.2" customHeight="1" x14ac:dyDescent="0.2">
      <c r="A1208" s="5"/>
      <c r="B1208" s="16"/>
      <c r="C1208" s="16"/>
      <c r="D1208" s="85" t="s">
        <v>1551</v>
      </c>
      <c r="E1208" s="267" t="s">
        <v>1707</v>
      </c>
      <c r="F1208" s="267"/>
      <c r="G1208" s="87">
        <v>17.18</v>
      </c>
      <c r="H1208" s="39"/>
      <c r="I1208" s="6"/>
    </row>
    <row r="1209" spans="1:9" ht="12.2" customHeight="1" x14ac:dyDescent="0.2">
      <c r="A1209" s="5"/>
      <c r="B1209" s="16"/>
      <c r="C1209" s="16"/>
      <c r="D1209" s="85" t="s">
        <v>1552</v>
      </c>
      <c r="E1209" s="267" t="s">
        <v>1709</v>
      </c>
      <c r="F1209" s="267"/>
      <c r="G1209" s="87">
        <v>11.55</v>
      </c>
      <c r="H1209" s="39"/>
      <c r="I1209" s="6"/>
    </row>
    <row r="1210" spans="1:9" ht="12.2" customHeight="1" x14ac:dyDescent="0.2">
      <c r="A1210" s="5"/>
      <c r="B1210" s="16"/>
      <c r="C1210" s="16"/>
      <c r="D1210" s="85" t="s">
        <v>1213</v>
      </c>
      <c r="E1210" s="267" t="s">
        <v>1621</v>
      </c>
      <c r="F1210" s="267"/>
      <c r="G1210" s="87">
        <v>-1.68</v>
      </c>
      <c r="H1210" s="39"/>
      <c r="I1210" s="6"/>
    </row>
    <row r="1211" spans="1:9" ht="12.2" customHeight="1" x14ac:dyDescent="0.2">
      <c r="A1211" s="5"/>
      <c r="B1211" s="16"/>
      <c r="C1211" s="16"/>
      <c r="D1211" s="85" t="s">
        <v>1553</v>
      </c>
      <c r="E1211" s="267" t="s">
        <v>1694</v>
      </c>
      <c r="F1211" s="267"/>
      <c r="G1211" s="87">
        <v>26.25</v>
      </c>
      <c r="H1211" s="39"/>
      <c r="I1211" s="6"/>
    </row>
    <row r="1212" spans="1:9" ht="12.2" customHeight="1" x14ac:dyDescent="0.2">
      <c r="A1212" s="5"/>
      <c r="B1212" s="16"/>
      <c r="C1212" s="16"/>
      <c r="D1212" s="85" t="s">
        <v>1421</v>
      </c>
      <c r="E1212" s="267" t="s">
        <v>1735</v>
      </c>
      <c r="F1212" s="267"/>
      <c r="G1212" s="87">
        <v>-3.04</v>
      </c>
      <c r="H1212" s="39"/>
      <c r="I1212" s="6"/>
    </row>
    <row r="1213" spans="1:9" ht="12.2" customHeight="1" x14ac:dyDescent="0.2">
      <c r="A1213" s="5"/>
      <c r="B1213" s="16"/>
      <c r="C1213" s="16"/>
      <c r="D1213" s="85" t="s">
        <v>1334</v>
      </c>
      <c r="E1213" s="267" t="s">
        <v>1695</v>
      </c>
      <c r="F1213" s="267"/>
      <c r="G1213" s="87">
        <v>10.65</v>
      </c>
      <c r="H1213" s="39"/>
      <c r="I1213" s="6"/>
    </row>
    <row r="1214" spans="1:9" ht="12.2" customHeight="1" x14ac:dyDescent="0.2">
      <c r="A1214" s="5"/>
      <c r="B1214" s="16"/>
      <c r="C1214" s="16"/>
      <c r="D1214" s="85" t="s">
        <v>1213</v>
      </c>
      <c r="E1214" s="267" t="s">
        <v>1736</v>
      </c>
      <c r="F1214" s="267"/>
      <c r="G1214" s="87">
        <v>-1.68</v>
      </c>
      <c r="H1214" s="39"/>
      <c r="I1214" s="6"/>
    </row>
    <row r="1215" spans="1:9" ht="12.2" customHeight="1" x14ac:dyDescent="0.2">
      <c r="A1215" s="5"/>
      <c r="B1215" s="16"/>
      <c r="C1215" s="16"/>
      <c r="D1215" s="85" t="s">
        <v>1335</v>
      </c>
      <c r="E1215" s="267" t="s">
        <v>1696</v>
      </c>
      <c r="F1215" s="267"/>
      <c r="G1215" s="87">
        <v>23.98</v>
      </c>
      <c r="H1215" s="39"/>
      <c r="I1215" s="6"/>
    </row>
    <row r="1216" spans="1:9" ht="12.2" customHeight="1" x14ac:dyDescent="0.2">
      <c r="A1216" s="5"/>
      <c r="B1216" s="16"/>
      <c r="C1216" s="16"/>
      <c r="D1216" s="85" t="s">
        <v>1424</v>
      </c>
      <c r="E1216" s="267" t="s">
        <v>1735</v>
      </c>
      <c r="F1216" s="267"/>
      <c r="G1216" s="87">
        <v>-4.1399999999999997</v>
      </c>
      <c r="H1216" s="39"/>
      <c r="I1216" s="6"/>
    </row>
    <row r="1217" spans="1:9" x14ac:dyDescent="0.2">
      <c r="A1217" s="7" t="s">
        <v>272</v>
      </c>
      <c r="B1217" s="17" t="s">
        <v>305</v>
      </c>
      <c r="C1217" s="17" t="s">
        <v>549</v>
      </c>
      <c r="D1217" s="241" t="s">
        <v>946</v>
      </c>
      <c r="E1217" s="242"/>
      <c r="F1217" s="17" t="s">
        <v>1042</v>
      </c>
      <c r="G1217" s="28">
        <v>90.93</v>
      </c>
      <c r="H1217" s="93">
        <v>0</v>
      </c>
      <c r="I1217" s="6"/>
    </row>
    <row r="1218" spans="1:9" ht="12.2" customHeight="1" x14ac:dyDescent="0.2">
      <c r="A1218" s="7"/>
      <c r="B1218" s="17"/>
      <c r="C1218" s="17"/>
      <c r="D1218" s="85" t="s">
        <v>1554</v>
      </c>
      <c r="E1218" s="267" t="s">
        <v>1785</v>
      </c>
      <c r="F1218" s="267"/>
      <c r="G1218" s="88">
        <v>79.069999999999993</v>
      </c>
      <c r="H1218" s="40"/>
      <c r="I1218" s="6"/>
    </row>
    <row r="1219" spans="1:9" ht="12.2" customHeight="1" x14ac:dyDescent="0.2">
      <c r="A1219" s="7"/>
      <c r="B1219" s="17"/>
      <c r="C1219" s="17"/>
      <c r="D1219" s="85" t="s">
        <v>1555</v>
      </c>
      <c r="E1219" s="267"/>
      <c r="F1219" s="267"/>
      <c r="G1219" s="88">
        <v>11.86</v>
      </c>
      <c r="H1219" s="40"/>
      <c r="I1219" s="6"/>
    </row>
    <row r="1220" spans="1:9" x14ac:dyDescent="0.2">
      <c r="A1220" s="5" t="s">
        <v>273</v>
      </c>
      <c r="B1220" s="16" t="s">
        <v>305</v>
      </c>
      <c r="C1220" s="16" t="s">
        <v>550</v>
      </c>
      <c r="D1220" s="243" t="s">
        <v>947</v>
      </c>
      <c r="E1220" s="244"/>
      <c r="F1220" s="16" t="s">
        <v>1044</v>
      </c>
      <c r="G1220" s="27">
        <v>7.3</v>
      </c>
      <c r="H1220" s="91">
        <v>0</v>
      </c>
      <c r="I1220" s="6"/>
    </row>
    <row r="1221" spans="1:9" ht="12.2" customHeight="1" x14ac:dyDescent="0.2">
      <c r="A1221" s="5"/>
      <c r="B1221" s="16"/>
      <c r="C1221" s="16"/>
      <c r="D1221" s="85" t="s">
        <v>1556</v>
      </c>
      <c r="E1221" s="267" t="s">
        <v>1694</v>
      </c>
      <c r="F1221" s="267"/>
      <c r="G1221" s="87">
        <v>4.2</v>
      </c>
      <c r="H1221" s="39"/>
      <c r="I1221" s="6"/>
    </row>
    <row r="1222" spans="1:9" ht="12.2" customHeight="1" x14ac:dyDescent="0.2">
      <c r="A1222" s="5"/>
      <c r="B1222" s="16"/>
      <c r="C1222" s="16"/>
      <c r="D1222" s="85" t="s">
        <v>1557</v>
      </c>
      <c r="E1222" s="267" t="s">
        <v>1696</v>
      </c>
      <c r="F1222" s="267"/>
      <c r="G1222" s="87">
        <v>3.1</v>
      </c>
      <c r="H1222" s="39"/>
      <c r="I1222" s="6"/>
    </row>
    <row r="1223" spans="1:9" x14ac:dyDescent="0.2">
      <c r="A1223" s="5" t="s">
        <v>274</v>
      </c>
      <c r="B1223" s="16" t="s">
        <v>305</v>
      </c>
      <c r="C1223" s="16" t="s">
        <v>551</v>
      </c>
      <c r="D1223" s="243" t="s">
        <v>949</v>
      </c>
      <c r="E1223" s="244"/>
      <c r="F1223" s="16" t="s">
        <v>1043</v>
      </c>
      <c r="G1223" s="27">
        <v>2.1800000000000002</v>
      </c>
      <c r="H1223" s="91">
        <v>0</v>
      </c>
      <c r="I1223" s="6"/>
    </row>
    <row r="1224" spans="1:9" x14ac:dyDescent="0.2">
      <c r="A1224" s="82"/>
      <c r="B1224" s="15"/>
      <c r="C1224" s="15" t="s">
        <v>552</v>
      </c>
      <c r="D1224" s="237" t="s">
        <v>950</v>
      </c>
      <c r="E1224" s="238"/>
      <c r="F1224" s="15"/>
      <c r="G1224" s="51"/>
      <c r="H1224" s="38"/>
      <c r="I1224" s="6"/>
    </row>
    <row r="1225" spans="1:9" x14ac:dyDescent="0.2">
      <c r="A1225" s="5" t="s">
        <v>275</v>
      </c>
      <c r="B1225" s="16" t="s">
        <v>305</v>
      </c>
      <c r="C1225" s="16" t="s">
        <v>553</v>
      </c>
      <c r="D1225" s="243" t="s">
        <v>951</v>
      </c>
      <c r="E1225" s="244"/>
      <c r="F1225" s="16" t="s">
        <v>1042</v>
      </c>
      <c r="G1225" s="27">
        <v>230.49</v>
      </c>
      <c r="H1225" s="91">
        <v>0</v>
      </c>
      <c r="I1225" s="6"/>
    </row>
    <row r="1226" spans="1:9" ht="12.2" customHeight="1" x14ac:dyDescent="0.2">
      <c r="A1226" s="5"/>
      <c r="B1226" s="16"/>
      <c r="C1226" s="16"/>
      <c r="D1226" s="85" t="s">
        <v>1453</v>
      </c>
      <c r="E1226" s="267" t="s">
        <v>1721</v>
      </c>
      <c r="F1226" s="267"/>
      <c r="G1226" s="87">
        <v>62.32</v>
      </c>
      <c r="H1226" s="39"/>
      <c r="I1226" s="6"/>
    </row>
    <row r="1227" spans="1:9" ht="12.2" customHeight="1" x14ac:dyDescent="0.2">
      <c r="A1227" s="5"/>
      <c r="B1227" s="16"/>
      <c r="C1227" s="16"/>
      <c r="D1227" s="85" t="s">
        <v>1454</v>
      </c>
      <c r="E1227" s="267" t="s">
        <v>1707</v>
      </c>
      <c r="F1227" s="267"/>
      <c r="G1227" s="87">
        <v>8.98</v>
      </c>
      <c r="H1227" s="39"/>
      <c r="I1227" s="6"/>
    </row>
    <row r="1228" spans="1:9" ht="12.2" customHeight="1" x14ac:dyDescent="0.2">
      <c r="A1228" s="5"/>
      <c r="B1228" s="16"/>
      <c r="C1228" s="16"/>
      <c r="D1228" s="85" t="s">
        <v>1456</v>
      </c>
      <c r="E1228" s="267" t="s">
        <v>1709</v>
      </c>
      <c r="F1228" s="267"/>
      <c r="G1228" s="87">
        <v>1.74</v>
      </c>
      <c r="H1228" s="39"/>
      <c r="I1228" s="6"/>
    </row>
    <row r="1229" spans="1:9" ht="12.2" customHeight="1" x14ac:dyDescent="0.2">
      <c r="A1229" s="5"/>
      <c r="B1229" s="16"/>
      <c r="C1229" s="16"/>
      <c r="D1229" s="85" t="s">
        <v>1457</v>
      </c>
      <c r="E1229" s="267" t="s">
        <v>1723</v>
      </c>
      <c r="F1229" s="267"/>
      <c r="G1229" s="87">
        <v>3.25</v>
      </c>
      <c r="H1229" s="39"/>
      <c r="I1229" s="6"/>
    </row>
    <row r="1230" spans="1:9" ht="12.2" customHeight="1" x14ac:dyDescent="0.2">
      <c r="A1230" s="5"/>
      <c r="B1230" s="16"/>
      <c r="C1230" s="16"/>
      <c r="D1230" s="85" t="s">
        <v>1458</v>
      </c>
      <c r="E1230" s="267" t="s">
        <v>1724</v>
      </c>
      <c r="F1230" s="267"/>
      <c r="G1230" s="87">
        <v>40.89</v>
      </c>
      <c r="H1230" s="39"/>
      <c r="I1230" s="6"/>
    </row>
    <row r="1231" spans="1:9" ht="12.2" customHeight="1" x14ac:dyDescent="0.2">
      <c r="A1231" s="5"/>
      <c r="B1231" s="16"/>
      <c r="C1231" s="16"/>
      <c r="D1231" s="85" t="s">
        <v>1403</v>
      </c>
      <c r="E1231" s="267" t="s">
        <v>1725</v>
      </c>
      <c r="F1231" s="267"/>
      <c r="G1231" s="87">
        <v>81.27</v>
      </c>
      <c r="H1231" s="39"/>
      <c r="I1231" s="6"/>
    </row>
    <row r="1232" spans="1:9" ht="12.2" customHeight="1" x14ac:dyDescent="0.2">
      <c r="A1232" s="5"/>
      <c r="B1232" s="16"/>
      <c r="C1232" s="16"/>
      <c r="D1232" s="85" t="s">
        <v>1404</v>
      </c>
      <c r="E1232" s="267" t="s">
        <v>1726</v>
      </c>
      <c r="F1232" s="267"/>
      <c r="G1232" s="87">
        <v>13.85</v>
      </c>
      <c r="H1232" s="39"/>
      <c r="I1232" s="6"/>
    </row>
    <row r="1233" spans="1:9" ht="12.2" customHeight="1" x14ac:dyDescent="0.2">
      <c r="A1233" s="5"/>
      <c r="B1233" s="16"/>
      <c r="C1233" s="16"/>
      <c r="D1233" s="85" t="s">
        <v>1405</v>
      </c>
      <c r="E1233" s="267" t="s">
        <v>1727</v>
      </c>
      <c r="F1233" s="267"/>
      <c r="G1233" s="87">
        <v>12.08</v>
      </c>
      <c r="H1233" s="39"/>
      <c r="I1233" s="6"/>
    </row>
    <row r="1234" spans="1:9" ht="12.2" customHeight="1" x14ac:dyDescent="0.2">
      <c r="A1234" s="5"/>
      <c r="B1234" s="16"/>
      <c r="C1234" s="16"/>
      <c r="D1234" s="85" t="s">
        <v>1406</v>
      </c>
      <c r="E1234" s="267" t="s">
        <v>1728</v>
      </c>
      <c r="F1234" s="267"/>
      <c r="G1234" s="87">
        <v>6.11</v>
      </c>
      <c r="H1234" s="39"/>
      <c r="I1234" s="6"/>
    </row>
    <row r="1235" spans="1:9" x14ac:dyDescent="0.2">
      <c r="A1235" s="5" t="s">
        <v>276</v>
      </c>
      <c r="B1235" s="16" t="s">
        <v>305</v>
      </c>
      <c r="C1235" s="16" t="s">
        <v>554</v>
      </c>
      <c r="D1235" s="243" t="s">
        <v>952</v>
      </c>
      <c r="E1235" s="244"/>
      <c r="F1235" s="16" t="s">
        <v>1042</v>
      </c>
      <c r="G1235" s="27">
        <v>113.73</v>
      </c>
      <c r="H1235" s="91">
        <v>0</v>
      </c>
      <c r="I1235" s="6"/>
    </row>
    <row r="1236" spans="1:9" ht="12.2" customHeight="1" x14ac:dyDescent="0.2">
      <c r="A1236" s="5"/>
      <c r="B1236" s="16"/>
      <c r="C1236" s="16"/>
      <c r="D1236" s="85" t="s">
        <v>1558</v>
      </c>
      <c r="E1236" s="267" t="s">
        <v>1786</v>
      </c>
      <c r="F1236" s="267"/>
      <c r="G1236" s="87">
        <v>66</v>
      </c>
      <c r="H1236" s="39"/>
      <c r="I1236" s="6"/>
    </row>
    <row r="1237" spans="1:9" ht="12.2" customHeight="1" x14ac:dyDescent="0.2">
      <c r="A1237" s="5"/>
      <c r="B1237" s="16"/>
      <c r="C1237" s="16"/>
      <c r="D1237" s="85" t="s">
        <v>1559</v>
      </c>
      <c r="E1237" s="267" t="s">
        <v>1787</v>
      </c>
      <c r="F1237" s="267"/>
      <c r="G1237" s="87">
        <v>4.0999999999999996</v>
      </c>
      <c r="H1237" s="39"/>
      <c r="I1237" s="6"/>
    </row>
    <row r="1238" spans="1:9" ht="12.2" customHeight="1" x14ac:dyDescent="0.2">
      <c r="A1238" s="5"/>
      <c r="B1238" s="16"/>
      <c r="C1238" s="16"/>
      <c r="D1238" s="85" t="s">
        <v>1560</v>
      </c>
      <c r="E1238" s="267" t="s">
        <v>1788</v>
      </c>
      <c r="F1238" s="267"/>
      <c r="G1238" s="87">
        <v>43.63</v>
      </c>
      <c r="H1238" s="39"/>
      <c r="I1238" s="6"/>
    </row>
    <row r="1239" spans="1:9" x14ac:dyDescent="0.2">
      <c r="A1239" s="5" t="s">
        <v>277</v>
      </c>
      <c r="B1239" s="16" t="s">
        <v>305</v>
      </c>
      <c r="C1239" s="16" t="s">
        <v>555</v>
      </c>
      <c r="D1239" s="243" t="s">
        <v>953</v>
      </c>
      <c r="E1239" s="244"/>
      <c r="F1239" s="16" t="s">
        <v>1042</v>
      </c>
      <c r="G1239" s="27">
        <v>18.260000000000002</v>
      </c>
      <c r="H1239" s="91">
        <v>0</v>
      </c>
      <c r="I1239" s="6"/>
    </row>
    <row r="1240" spans="1:9" ht="12.2" customHeight="1" x14ac:dyDescent="0.2">
      <c r="A1240" s="5"/>
      <c r="B1240" s="16"/>
      <c r="C1240" s="16"/>
      <c r="D1240" s="85" t="s">
        <v>1320</v>
      </c>
      <c r="E1240" s="267" t="s">
        <v>1601</v>
      </c>
      <c r="F1240" s="267"/>
      <c r="G1240" s="87">
        <v>18.260000000000002</v>
      </c>
      <c r="H1240" s="39"/>
      <c r="I1240" s="6"/>
    </row>
    <row r="1241" spans="1:9" x14ac:dyDescent="0.2">
      <c r="A1241" s="5" t="s">
        <v>278</v>
      </c>
      <c r="B1241" s="16" t="s">
        <v>305</v>
      </c>
      <c r="C1241" s="16" t="s">
        <v>556</v>
      </c>
      <c r="D1241" s="243" t="s">
        <v>954</v>
      </c>
      <c r="E1241" s="244"/>
      <c r="F1241" s="16" t="s">
        <v>1042</v>
      </c>
      <c r="G1241" s="27">
        <v>26.04</v>
      </c>
      <c r="H1241" s="91">
        <v>0</v>
      </c>
      <c r="I1241" s="6"/>
    </row>
    <row r="1242" spans="1:9" ht="12.2" customHeight="1" x14ac:dyDescent="0.2">
      <c r="A1242" s="5"/>
      <c r="B1242" s="16"/>
      <c r="C1242" s="16"/>
      <c r="D1242" s="85" t="s">
        <v>1561</v>
      </c>
      <c r="E1242" s="267" t="s">
        <v>1789</v>
      </c>
      <c r="F1242" s="267"/>
      <c r="G1242" s="87">
        <v>3.43</v>
      </c>
      <c r="H1242" s="39"/>
      <c r="I1242" s="6"/>
    </row>
    <row r="1243" spans="1:9" ht="12.2" customHeight="1" x14ac:dyDescent="0.2">
      <c r="A1243" s="5"/>
      <c r="B1243" s="16"/>
      <c r="C1243" s="16"/>
      <c r="D1243" s="85" t="s">
        <v>1562</v>
      </c>
      <c r="E1243" s="267" t="s">
        <v>1790</v>
      </c>
      <c r="F1243" s="267"/>
      <c r="G1243" s="87">
        <v>5.39</v>
      </c>
      <c r="H1243" s="39"/>
      <c r="I1243" s="6"/>
    </row>
    <row r="1244" spans="1:9" ht="12.2" customHeight="1" x14ac:dyDescent="0.2">
      <c r="A1244" s="5"/>
      <c r="B1244" s="16"/>
      <c r="C1244" s="16"/>
      <c r="D1244" s="85" t="s">
        <v>1563</v>
      </c>
      <c r="E1244" s="267" t="s">
        <v>1791</v>
      </c>
      <c r="F1244" s="267"/>
      <c r="G1244" s="87">
        <v>3.24</v>
      </c>
      <c r="H1244" s="39"/>
      <c r="I1244" s="6"/>
    </row>
    <row r="1245" spans="1:9" ht="12.2" customHeight="1" x14ac:dyDescent="0.2">
      <c r="A1245" s="5"/>
      <c r="B1245" s="16"/>
      <c r="C1245" s="16"/>
      <c r="D1245" s="85" t="s">
        <v>1564</v>
      </c>
      <c r="E1245" s="267" t="s">
        <v>1792</v>
      </c>
      <c r="F1245" s="267"/>
      <c r="G1245" s="87">
        <v>2.63</v>
      </c>
      <c r="H1245" s="39"/>
      <c r="I1245" s="6"/>
    </row>
    <row r="1246" spans="1:9" ht="12.2" customHeight="1" x14ac:dyDescent="0.2">
      <c r="A1246" s="5"/>
      <c r="B1246" s="16"/>
      <c r="C1246" s="16"/>
      <c r="D1246" s="85" t="s">
        <v>1565</v>
      </c>
      <c r="E1246" s="267" t="s">
        <v>1793</v>
      </c>
      <c r="F1246" s="267"/>
      <c r="G1246" s="87">
        <v>1.19</v>
      </c>
      <c r="H1246" s="39"/>
      <c r="I1246" s="6"/>
    </row>
    <row r="1247" spans="1:9" ht="12.2" customHeight="1" x14ac:dyDescent="0.2">
      <c r="A1247" s="5"/>
      <c r="B1247" s="16"/>
      <c r="C1247" s="16"/>
      <c r="D1247" s="85" t="s">
        <v>1566</v>
      </c>
      <c r="E1247" s="267" t="s">
        <v>1794</v>
      </c>
      <c r="F1247" s="267"/>
      <c r="G1247" s="87">
        <v>1.69</v>
      </c>
      <c r="H1247" s="39"/>
      <c r="I1247" s="6"/>
    </row>
    <row r="1248" spans="1:9" ht="12.2" customHeight="1" x14ac:dyDescent="0.2">
      <c r="A1248" s="5"/>
      <c r="B1248" s="16"/>
      <c r="C1248" s="16"/>
      <c r="D1248" s="85" t="s">
        <v>1567</v>
      </c>
      <c r="E1248" s="267" t="s">
        <v>1795</v>
      </c>
      <c r="F1248" s="267"/>
      <c r="G1248" s="87">
        <v>8.4700000000000006</v>
      </c>
      <c r="H1248" s="39"/>
      <c r="I1248" s="6"/>
    </row>
    <row r="1249" spans="1:9" x14ac:dyDescent="0.2">
      <c r="A1249" s="82"/>
      <c r="B1249" s="15"/>
      <c r="C1249" s="15" t="s">
        <v>557</v>
      </c>
      <c r="D1249" s="237" t="s">
        <v>955</v>
      </c>
      <c r="E1249" s="238"/>
      <c r="F1249" s="15"/>
      <c r="G1249" s="51"/>
      <c r="H1249" s="38"/>
      <c r="I1249" s="6"/>
    </row>
    <row r="1250" spans="1:9" x14ac:dyDescent="0.2">
      <c r="A1250" s="5" t="s">
        <v>279</v>
      </c>
      <c r="B1250" s="16" t="s">
        <v>305</v>
      </c>
      <c r="C1250" s="16" t="s">
        <v>558</v>
      </c>
      <c r="D1250" s="243" t="s">
        <v>956</v>
      </c>
      <c r="E1250" s="244"/>
      <c r="F1250" s="16" t="s">
        <v>1042</v>
      </c>
      <c r="G1250" s="27">
        <v>398.37</v>
      </c>
      <c r="H1250" s="91">
        <v>0</v>
      </c>
      <c r="I1250" s="6"/>
    </row>
    <row r="1251" spans="1:9" ht="12.2" customHeight="1" x14ac:dyDescent="0.2">
      <c r="A1251" s="5"/>
      <c r="B1251" s="16"/>
      <c r="C1251" s="16"/>
      <c r="D1251" s="85" t="s">
        <v>1568</v>
      </c>
      <c r="E1251" s="267" t="s">
        <v>1796</v>
      </c>
      <c r="F1251" s="267"/>
      <c r="G1251" s="87">
        <v>334.45</v>
      </c>
      <c r="H1251" s="39"/>
      <c r="I1251" s="6"/>
    </row>
    <row r="1252" spans="1:9" ht="12.2" customHeight="1" x14ac:dyDescent="0.2">
      <c r="A1252" s="5"/>
      <c r="B1252" s="16"/>
      <c r="C1252" s="16"/>
      <c r="D1252" s="85" t="s">
        <v>1306</v>
      </c>
      <c r="E1252" s="267" t="s">
        <v>1797</v>
      </c>
      <c r="F1252" s="267"/>
      <c r="G1252" s="87">
        <v>14.03</v>
      </c>
      <c r="H1252" s="39"/>
      <c r="I1252" s="6"/>
    </row>
    <row r="1253" spans="1:9" ht="12.2" customHeight="1" x14ac:dyDescent="0.2">
      <c r="A1253" s="5"/>
      <c r="B1253" s="16"/>
      <c r="C1253" s="16"/>
      <c r="D1253" s="85" t="s">
        <v>1307</v>
      </c>
      <c r="E1253" s="267" t="s">
        <v>1798</v>
      </c>
      <c r="F1253" s="267"/>
      <c r="G1253" s="87">
        <v>17.350000000000001</v>
      </c>
      <c r="H1253" s="39"/>
      <c r="I1253" s="6"/>
    </row>
    <row r="1254" spans="1:9" ht="12.2" customHeight="1" x14ac:dyDescent="0.2">
      <c r="A1254" s="5"/>
      <c r="B1254" s="16"/>
      <c r="C1254" s="16"/>
      <c r="D1254" s="85" t="s">
        <v>1308</v>
      </c>
      <c r="E1254" s="267" t="s">
        <v>1799</v>
      </c>
      <c r="F1254" s="267"/>
      <c r="G1254" s="87">
        <v>9.36</v>
      </c>
      <c r="H1254" s="39"/>
      <c r="I1254" s="6"/>
    </row>
    <row r="1255" spans="1:9" ht="12.2" customHeight="1" x14ac:dyDescent="0.2">
      <c r="A1255" s="5"/>
      <c r="B1255" s="16"/>
      <c r="C1255" s="16"/>
      <c r="D1255" s="85" t="s">
        <v>1309</v>
      </c>
      <c r="E1255" s="267" t="s">
        <v>1800</v>
      </c>
      <c r="F1255" s="267"/>
      <c r="G1255" s="87">
        <v>6.35</v>
      </c>
      <c r="H1255" s="39"/>
      <c r="I1255" s="6"/>
    </row>
    <row r="1256" spans="1:9" ht="12.2" customHeight="1" x14ac:dyDescent="0.2">
      <c r="A1256" s="5"/>
      <c r="B1256" s="16"/>
      <c r="C1256" s="16"/>
      <c r="D1256" s="85" t="s">
        <v>1310</v>
      </c>
      <c r="E1256" s="267" t="s">
        <v>1801</v>
      </c>
      <c r="F1256" s="267"/>
      <c r="G1256" s="87">
        <v>7</v>
      </c>
      <c r="H1256" s="39"/>
      <c r="I1256" s="6"/>
    </row>
    <row r="1257" spans="1:9" ht="12.2" customHeight="1" x14ac:dyDescent="0.2">
      <c r="A1257" s="5"/>
      <c r="B1257" s="16"/>
      <c r="C1257" s="16"/>
      <c r="D1257" s="85" t="s">
        <v>1311</v>
      </c>
      <c r="E1257" s="267" t="s">
        <v>1802</v>
      </c>
      <c r="F1257" s="267"/>
      <c r="G1257" s="87">
        <v>1.49</v>
      </c>
      <c r="H1257" s="39"/>
      <c r="I1257" s="6"/>
    </row>
    <row r="1258" spans="1:9" ht="12.2" customHeight="1" x14ac:dyDescent="0.2">
      <c r="A1258" s="5"/>
      <c r="B1258" s="16"/>
      <c r="C1258" s="16"/>
      <c r="D1258" s="85" t="s">
        <v>1312</v>
      </c>
      <c r="E1258" s="267" t="s">
        <v>1803</v>
      </c>
      <c r="F1258" s="267"/>
      <c r="G1258" s="87">
        <v>8.34</v>
      </c>
      <c r="H1258" s="39"/>
      <c r="I1258" s="6"/>
    </row>
    <row r="1259" spans="1:9" x14ac:dyDescent="0.2">
      <c r="A1259" s="5" t="s">
        <v>280</v>
      </c>
      <c r="B1259" s="16" t="s">
        <v>305</v>
      </c>
      <c r="C1259" s="16" t="s">
        <v>559</v>
      </c>
      <c r="D1259" s="243" t="s">
        <v>957</v>
      </c>
      <c r="E1259" s="244"/>
      <c r="F1259" s="16" t="s">
        <v>1042</v>
      </c>
      <c r="G1259" s="27">
        <v>398.37</v>
      </c>
      <c r="H1259" s="91">
        <v>0</v>
      </c>
      <c r="I1259" s="6"/>
    </row>
    <row r="1260" spans="1:9" ht="12.2" customHeight="1" x14ac:dyDescent="0.2">
      <c r="A1260" s="5"/>
      <c r="B1260" s="16"/>
      <c r="C1260" s="16"/>
      <c r="D1260" s="85" t="s">
        <v>1568</v>
      </c>
      <c r="E1260" s="267" t="s">
        <v>1796</v>
      </c>
      <c r="F1260" s="267"/>
      <c r="G1260" s="87">
        <v>334.45</v>
      </c>
      <c r="H1260" s="39"/>
      <c r="I1260" s="6"/>
    </row>
    <row r="1261" spans="1:9" ht="12.2" customHeight="1" x14ac:dyDescent="0.2">
      <c r="A1261" s="5"/>
      <c r="B1261" s="16"/>
      <c r="C1261" s="16"/>
      <c r="D1261" s="85" t="s">
        <v>1569</v>
      </c>
      <c r="E1261" s="267" t="s">
        <v>1804</v>
      </c>
      <c r="F1261" s="267"/>
      <c r="G1261" s="87">
        <v>63.92</v>
      </c>
      <c r="H1261" s="39"/>
      <c r="I1261" s="6"/>
    </row>
    <row r="1262" spans="1:9" x14ac:dyDescent="0.2">
      <c r="A1262" s="82"/>
      <c r="B1262" s="15"/>
      <c r="C1262" s="15" t="s">
        <v>560</v>
      </c>
      <c r="D1262" s="237" t="s">
        <v>958</v>
      </c>
      <c r="E1262" s="238"/>
      <c r="F1262" s="15"/>
      <c r="G1262" s="51"/>
      <c r="H1262" s="38"/>
      <c r="I1262" s="6"/>
    </row>
    <row r="1263" spans="1:9" x14ac:dyDescent="0.2">
      <c r="A1263" s="5" t="s">
        <v>281</v>
      </c>
      <c r="B1263" s="16" t="s">
        <v>305</v>
      </c>
      <c r="C1263" s="16" t="s">
        <v>561</v>
      </c>
      <c r="D1263" s="243" t="s">
        <v>959</v>
      </c>
      <c r="E1263" s="244"/>
      <c r="F1263" s="16" t="s">
        <v>1042</v>
      </c>
      <c r="G1263" s="27">
        <v>74.09</v>
      </c>
      <c r="H1263" s="91">
        <v>0</v>
      </c>
      <c r="I1263" s="6"/>
    </row>
    <row r="1264" spans="1:9" ht="12.2" customHeight="1" x14ac:dyDescent="0.2">
      <c r="A1264" s="5"/>
      <c r="B1264" s="16"/>
      <c r="C1264" s="16"/>
      <c r="D1264" s="85" t="s">
        <v>1378</v>
      </c>
      <c r="E1264" s="267" t="s">
        <v>1647</v>
      </c>
      <c r="F1264" s="267"/>
      <c r="G1264" s="87">
        <v>5.13</v>
      </c>
      <c r="H1264" s="39"/>
      <c r="I1264" s="6"/>
    </row>
    <row r="1265" spans="1:9" ht="12.2" customHeight="1" x14ac:dyDescent="0.2">
      <c r="A1265" s="5"/>
      <c r="B1265" s="16"/>
      <c r="C1265" s="16"/>
      <c r="D1265" s="85" t="s">
        <v>1520</v>
      </c>
      <c r="E1265" s="267" t="s">
        <v>1748</v>
      </c>
      <c r="F1265" s="267"/>
      <c r="G1265" s="87">
        <v>10.18</v>
      </c>
      <c r="H1265" s="39"/>
      <c r="I1265" s="6"/>
    </row>
    <row r="1266" spans="1:9" ht="12.2" customHeight="1" x14ac:dyDescent="0.2">
      <c r="A1266" s="5"/>
      <c r="B1266" s="16"/>
      <c r="C1266" s="16"/>
      <c r="D1266" s="85" t="s">
        <v>1521</v>
      </c>
      <c r="E1266" s="267" t="s">
        <v>1749</v>
      </c>
      <c r="F1266" s="267"/>
      <c r="G1266" s="87">
        <v>14.44</v>
      </c>
      <c r="H1266" s="39"/>
      <c r="I1266" s="6"/>
    </row>
    <row r="1267" spans="1:9" ht="12.2" customHeight="1" x14ac:dyDescent="0.2">
      <c r="A1267" s="5"/>
      <c r="B1267" s="16"/>
      <c r="C1267" s="16"/>
      <c r="D1267" s="85" t="s">
        <v>1522</v>
      </c>
      <c r="E1267" s="267" t="s">
        <v>1763</v>
      </c>
      <c r="F1267" s="267"/>
      <c r="G1267" s="87">
        <v>10.59</v>
      </c>
      <c r="H1267" s="39"/>
      <c r="I1267" s="6"/>
    </row>
    <row r="1268" spans="1:9" ht="12.2" customHeight="1" x14ac:dyDescent="0.2">
      <c r="A1268" s="5"/>
      <c r="B1268" s="16"/>
      <c r="C1268" s="16"/>
      <c r="D1268" s="85" t="s">
        <v>1523</v>
      </c>
      <c r="E1268" s="267" t="s">
        <v>1751</v>
      </c>
      <c r="F1268" s="267"/>
      <c r="G1268" s="87">
        <v>3.58</v>
      </c>
      <c r="H1268" s="39"/>
      <c r="I1268" s="6"/>
    </row>
    <row r="1269" spans="1:9" ht="12.2" customHeight="1" x14ac:dyDescent="0.2">
      <c r="A1269" s="5"/>
      <c r="B1269" s="16"/>
      <c r="C1269" s="16"/>
      <c r="D1269" s="85" t="s">
        <v>1524</v>
      </c>
      <c r="E1269" s="267" t="s">
        <v>1752</v>
      </c>
      <c r="F1269" s="267"/>
      <c r="G1269" s="87">
        <v>13.75</v>
      </c>
      <c r="H1269" s="39"/>
      <c r="I1269" s="6"/>
    </row>
    <row r="1270" spans="1:9" ht="12.2" customHeight="1" x14ac:dyDescent="0.2">
      <c r="A1270" s="5"/>
      <c r="B1270" s="16"/>
      <c r="C1270" s="16"/>
      <c r="D1270" s="85" t="s">
        <v>1379</v>
      </c>
      <c r="E1270" s="267" t="s">
        <v>1637</v>
      </c>
      <c r="F1270" s="267"/>
      <c r="G1270" s="87">
        <v>2.97</v>
      </c>
      <c r="H1270" s="39"/>
      <c r="I1270" s="6"/>
    </row>
    <row r="1271" spans="1:9" ht="12.2" customHeight="1" x14ac:dyDescent="0.2">
      <c r="A1271" s="5"/>
      <c r="B1271" s="16"/>
      <c r="C1271" s="16"/>
      <c r="D1271" s="85" t="s">
        <v>1380</v>
      </c>
      <c r="E1271" s="267" t="s">
        <v>1638</v>
      </c>
      <c r="F1271" s="267"/>
      <c r="G1271" s="87">
        <v>1.65</v>
      </c>
      <c r="H1271" s="39"/>
      <c r="I1271" s="6"/>
    </row>
    <row r="1272" spans="1:9" ht="12.2" customHeight="1" x14ac:dyDescent="0.2">
      <c r="A1272" s="5"/>
      <c r="B1272" s="16"/>
      <c r="C1272" s="16"/>
      <c r="D1272" s="85" t="s">
        <v>1382</v>
      </c>
      <c r="E1272" s="267" t="s">
        <v>1639</v>
      </c>
      <c r="F1272" s="267"/>
      <c r="G1272" s="87">
        <v>3.13</v>
      </c>
      <c r="H1272" s="39"/>
      <c r="I1272" s="6"/>
    </row>
    <row r="1273" spans="1:9" ht="12.2" customHeight="1" x14ac:dyDescent="0.2">
      <c r="A1273" s="5"/>
      <c r="B1273" s="16"/>
      <c r="C1273" s="16"/>
      <c r="D1273" s="85" t="s">
        <v>1388</v>
      </c>
      <c r="E1273" s="267" t="s">
        <v>1640</v>
      </c>
      <c r="F1273" s="267"/>
      <c r="G1273" s="87">
        <v>3.22</v>
      </c>
      <c r="H1273" s="39"/>
      <c r="I1273" s="6"/>
    </row>
    <row r="1274" spans="1:9" ht="12.2" customHeight="1" x14ac:dyDescent="0.2">
      <c r="A1274" s="5"/>
      <c r="B1274" s="16"/>
      <c r="C1274" s="16"/>
      <c r="D1274" s="85" t="s">
        <v>1525</v>
      </c>
      <c r="E1274" s="267" t="s">
        <v>1644</v>
      </c>
      <c r="F1274" s="267"/>
      <c r="G1274" s="87">
        <v>2.48</v>
      </c>
      <c r="H1274" s="39"/>
      <c r="I1274" s="6"/>
    </row>
    <row r="1275" spans="1:9" ht="12.2" customHeight="1" x14ac:dyDescent="0.2">
      <c r="A1275" s="5"/>
      <c r="B1275" s="16"/>
      <c r="C1275" s="16"/>
      <c r="D1275" s="85" t="s">
        <v>1379</v>
      </c>
      <c r="E1275" s="267" t="s">
        <v>1637</v>
      </c>
      <c r="F1275" s="267"/>
      <c r="G1275" s="87">
        <v>2.97</v>
      </c>
      <c r="H1275" s="39"/>
      <c r="I1275" s="6"/>
    </row>
    <row r="1276" spans="1:9" ht="12.95" customHeight="1" x14ac:dyDescent="0.2">
      <c r="A1276" s="6"/>
      <c r="C1276" s="84" t="s">
        <v>302</v>
      </c>
      <c r="D1276" s="248" t="s">
        <v>960</v>
      </c>
      <c r="E1276" s="249"/>
      <c r="F1276" s="249"/>
      <c r="G1276" s="249"/>
      <c r="H1276" s="92"/>
      <c r="I1276" s="6"/>
    </row>
    <row r="1277" spans="1:9" x14ac:dyDescent="0.2">
      <c r="A1277" s="5" t="s">
        <v>282</v>
      </c>
      <c r="B1277" s="16" t="s">
        <v>305</v>
      </c>
      <c r="C1277" s="16" t="s">
        <v>562</v>
      </c>
      <c r="D1277" s="243" t="s">
        <v>961</v>
      </c>
      <c r="E1277" s="244"/>
      <c r="F1277" s="16" t="s">
        <v>1043</v>
      </c>
      <c r="G1277" s="27">
        <v>0.33</v>
      </c>
      <c r="H1277" s="91">
        <v>0</v>
      </c>
      <c r="I1277" s="6"/>
    </row>
    <row r="1278" spans="1:9" x14ac:dyDescent="0.2">
      <c r="A1278" s="82"/>
      <c r="B1278" s="15"/>
      <c r="C1278" s="15" t="s">
        <v>97</v>
      </c>
      <c r="D1278" s="237" t="s">
        <v>1009</v>
      </c>
      <c r="E1278" s="238"/>
      <c r="F1278" s="15"/>
      <c r="G1278" s="51"/>
      <c r="H1278" s="38"/>
      <c r="I1278" s="6"/>
    </row>
    <row r="1279" spans="1:9" x14ac:dyDescent="0.2">
      <c r="A1279" s="5" t="s">
        <v>283</v>
      </c>
      <c r="B1279" s="16" t="s">
        <v>306</v>
      </c>
      <c r="C1279" s="16" t="s">
        <v>596</v>
      </c>
      <c r="D1279" s="243" t="s">
        <v>1010</v>
      </c>
      <c r="E1279" s="244"/>
      <c r="F1279" s="16" t="s">
        <v>1044</v>
      </c>
      <c r="G1279" s="27">
        <v>7.7</v>
      </c>
      <c r="H1279" s="91">
        <v>0</v>
      </c>
      <c r="I1279" s="6"/>
    </row>
    <row r="1280" spans="1:9" ht="12.2" customHeight="1" x14ac:dyDescent="0.2">
      <c r="A1280" s="5"/>
      <c r="B1280" s="16"/>
      <c r="C1280" s="16"/>
      <c r="D1280" s="85" t="s">
        <v>1570</v>
      </c>
      <c r="E1280" s="267" t="s">
        <v>1805</v>
      </c>
      <c r="F1280" s="267"/>
      <c r="G1280" s="87">
        <v>7.7</v>
      </c>
      <c r="H1280" s="39"/>
      <c r="I1280" s="6"/>
    </row>
    <row r="1281" spans="1:9" x14ac:dyDescent="0.2">
      <c r="A1281" s="82"/>
      <c r="B1281" s="15"/>
      <c r="C1281" s="15" t="s">
        <v>100</v>
      </c>
      <c r="D1281" s="237" t="s">
        <v>962</v>
      </c>
      <c r="E1281" s="238"/>
      <c r="F1281" s="15"/>
      <c r="G1281" s="51"/>
      <c r="H1281" s="38"/>
      <c r="I1281" s="6"/>
    </row>
    <row r="1282" spans="1:9" x14ac:dyDescent="0.2">
      <c r="A1282" s="5" t="s">
        <v>284</v>
      </c>
      <c r="B1282" s="16" t="s">
        <v>305</v>
      </c>
      <c r="C1282" s="16" t="s">
        <v>563</v>
      </c>
      <c r="D1282" s="243" t="s">
        <v>963</v>
      </c>
      <c r="E1282" s="244"/>
      <c r="F1282" s="16" t="s">
        <v>1042</v>
      </c>
      <c r="G1282" s="27">
        <v>350.06</v>
      </c>
      <c r="H1282" s="91">
        <v>0</v>
      </c>
      <c r="I1282" s="6"/>
    </row>
    <row r="1283" spans="1:9" ht="12.2" customHeight="1" x14ac:dyDescent="0.2">
      <c r="A1283" s="5"/>
      <c r="B1283" s="16"/>
      <c r="C1283" s="16"/>
      <c r="D1283" s="85" t="s">
        <v>1355</v>
      </c>
      <c r="E1283" s="267" t="s">
        <v>1714</v>
      </c>
      <c r="F1283" s="267"/>
      <c r="G1283" s="87">
        <v>47.96</v>
      </c>
      <c r="H1283" s="39"/>
      <c r="I1283" s="6"/>
    </row>
    <row r="1284" spans="1:9" ht="12.2" customHeight="1" x14ac:dyDescent="0.2">
      <c r="A1284" s="5"/>
      <c r="B1284" s="16"/>
      <c r="C1284" s="16"/>
      <c r="D1284" s="85" t="s">
        <v>1358</v>
      </c>
      <c r="E1284" s="267" t="s">
        <v>1715</v>
      </c>
      <c r="F1284" s="267"/>
      <c r="G1284" s="87">
        <v>68.180000000000007</v>
      </c>
      <c r="H1284" s="39"/>
      <c r="I1284" s="6"/>
    </row>
    <row r="1285" spans="1:9" ht="12.2" customHeight="1" x14ac:dyDescent="0.2">
      <c r="A1285" s="5"/>
      <c r="B1285" s="16"/>
      <c r="C1285" s="16"/>
      <c r="D1285" s="85" t="s">
        <v>1352</v>
      </c>
      <c r="E1285" s="267" t="s">
        <v>1712</v>
      </c>
      <c r="F1285" s="267"/>
      <c r="G1285" s="87">
        <v>48.49</v>
      </c>
      <c r="H1285" s="39"/>
      <c r="I1285" s="6"/>
    </row>
    <row r="1286" spans="1:9" ht="12.2" customHeight="1" x14ac:dyDescent="0.2">
      <c r="A1286" s="5"/>
      <c r="B1286" s="16"/>
      <c r="C1286" s="16"/>
      <c r="D1286" s="85" t="s">
        <v>1354</v>
      </c>
      <c r="E1286" s="267" t="s">
        <v>1713</v>
      </c>
      <c r="F1286" s="267"/>
      <c r="G1286" s="87">
        <v>75.45</v>
      </c>
      <c r="H1286" s="39"/>
      <c r="I1286" s="6"/>
    </row>
    <row r="1287" spans="1:9" ht="12.2" customHeight="1" x14ac:dyDescent="0.2">
      <c r="A1287" s="5"/>
      <c r="B1287" s="16"/>
      <c r="C1287" s="16"/>
      <c r="D1287" s="85" t="s">
        <v>1571</v>
      </c>
      <c r="E1287" s="267" t="s">
        <v>1806</v>
      </c>
      <c r="F1287" s="267"/>
      <c r="G1287" s="87">
        <v>109.98</v>
      </c>
      <c r="H1287" s="39"/>
      <c r="I1287" s="6"/>
    </row>
    <row r="1288" spans="1:9" x14ac:dyDescent="0.2">
      <c r="A1288" s="5" t="s">
        <v>285</v>
      </c>
      <c r="B1288" s="16" t="s">
        <v>305</v>
      </c>
      <c r="C1288" s="16" t="s">
        <v>564</v>
      </c>
      <c r="D1288" s="243" t="s">
        <v>965</v>
      </c>
      <c r="E1288" s="244"/>
      <c r="F1288" s="16" t="s">
        <v>1042</v>
      </c>
      <c r="G1288" s="27">
        <v>960.32</v>
      </c>
      <c r="H1288" s="91">
        <v>0</v>
      </c>
      <c r="I1288" s="6"/>
    </row>
    <row r="1289" spans="1:9" ht="12.2" customHeight="1" x14ac:dyDescent="0.2">
      <c r="A1289" s="5"/>
      <c r="B1289" s="16"/>
      <c r="C1289" s="16"/>
      <c r="D1289" s="85" t="s">
        <v>1572</v>
      </c>
      <c r="E1289" s="267" t="s">
        <v>1807</v>
      </c>
      <c r="F1289" s="267"/>
      <c r="G1289" s="87">
        <v>960.32</v>
      </c>
      <c r="H1289" s="39"/>
      <c r="I1289" s="6"/>
    </row>
    <row r="1290" spans="1:9" x14ac:dyDescent="0.2">
      <c r="A1290" s="5" t="s">
        <v>286</v>
      </c>
      <c r="B1290" s="16" t="s">
        <v>305</v>
      </c>
      <c r="C1290" s="16" t="s">
        <v>565</v>
      </c>
      <c r="D1290" s="243" t="s">
        <v>966</v>
      </c>
      <c r="E1290" s="244"/>
      <c r="F1290" s="16" t="s">
        <v>1042</v>
      </c>
      <c r="G1290" s="27">
        <v>350.06</v>
      </c>
      <c r="H1290" s="91">
        <v>0</v>
      </c>
      <c r="I1290" s="6"/>
    </row>
    <row r="1291" spans="1:9" ht="12.2" customHeight="1" x14ac:dyDescent="0.2">
      <c r="A1291" s="5"/>
      <c r="B1291" s="16"/>
      <c r="C1291" s="16"/>
      <c r="D1291" s="85" t="s">
        <v>1355</v>
      </c>
      <c r="E1291" s="267" t="s">
        <v>1714</v>
      </c>
      <c r="F1291" s="267"/>
      <c r="G1291" s="87">
        <v>47.96</v>
      </c>
      <c r="H1291" s="39"/>
      <c r="I1291" s="6"/>
    </row>
    <row r="1292" spans="1:9" ht="12.2" customHeight="1" x14ac:dyDescent="0.2">
      <c r="A1292" s="5"/>
      <c r="B1292" s="16"/>
      <c r="C1292" s="16"/>
      <c r="D1292" s="85" t="s">
        <v>1358</v>
      </c>
      <c r="E1292" s="267" t="s">
        <v>1715</v>
      </c>
      <c r="F1292" s="267"/>
      <c r="G1292" s="87">
        <v>68.180000000000007</v>
      </c>
      <c r="H1292" s="39"/>
      <c r="I1292" s="6"/>
    </row>
    <row r="1293" spans="1:9" ht="12.2" customHeight="1" x14ac:dyDescent="0.2">
      <c r="A1293" s="5"/>
      <c r="B1293" s="16"/>
      <c r="C1293" s="16"/>
      <c r="D1293" s="85" t="s">
        <v>1352</v>
      </c>
      <c r="E1293" s="267" t="s">
        <v>1712</v>
      </c>
      <c r="F1293" s="267"/>
      <c r="G1293" s="87">
        <v>48.49</v>
      </c>
      <c r="H1293" s="39"/>
      <c r="I1293" s="6"/>
    </row>
    <row r="1294" spans="1:9" ht="12.2" customHeight="1" x14ac:dyDescent="0.2">
      <c r="A1294" s="5"/>
      <c r="B1294" s="16"/>
      <c r="C1294" s="16"/>
      <c r="D1294" s="85" t="s">
        <v>1354</v>
      </c>
      <c r="E1294" s="267" t="s">
        <v>1713</v>
      </c>
      <c r="F1294" s="267"/>
      <c r="G1294" s="87">
        <v>75.45</v>
      </c>
      <c r="H1294" s="39"/>
      <c r="I1294" s="6"/>
    </row>
    <row r="1295" spans="1:9" ht="12.2" customHeight="1" x14ac:dyDescent="0.2">
      <c r="A1295" s="5"/>
      <c r="B1295" s="16"/>
      <c r="C1295" s="16"/>
      <c r="D1295" s="85" t="s">
        <v>1571</v>
      </c>
      <c r="E1295" s="267" t="s">
        <v>1806</v>
      </c>
      <c r="F1295" s="267"/>
      <c r="G1295" s="87">
        <v>109.98</v>
      </c>
      <c r="H1295" s="39"/>
      <c r="I1295" s="6"/>
    </row>
    <row r="1296" spans="1:9" x14ac:dyDescent="0.2">
      <c r="A1296" s="5" t="s">
        <v>287</v>
      </c>
      <c r="B1296" s="16" t="s">
        <v>305</v>
      </c>
      <c r="C1296" s="16" t="s">
        <v>566</v>
      </c>
      <c r="D1296" s="243" t="s">
        <v>967</v>
      </c>
      <c r="E1296" s="244"/>
      <c r="F1296" s="16" t="s">
        <v>1042</v>
      </c>
      <c r="G1296" s="27">
        <v>253.18</v>
      </c>
      <c r="H1296" s="91">
        <v>0</v>
      </c>
      <c r="I1296" s="6"/>
    </row>
    <row r="1297" spans="1:9" ht="12.2" customHeight="1" x14ac:dyDescent="0.2">
      <c r="A1297" s="5"/>
      <c r="B1297" s="16"/>
      <c r="C1297" s="16"/>
      <c r="D1297" s="85" t="s">
        <v>1573</v>
      </c>
      <c r="E1297" s="267" t="s">
        <v>1808</v>
      </c>
      <c r="F1297" s="267"/>
      <c r="G1297" s="87">
        <v>253.18</v>
      </c>
      <c r="H1297" s="39"/>
      <c r="I1297" s="6"/>
    </row>
    <row r="1298" spans="1:9" x14ac:dyDescent="0.2">
      <c r="A1298" s="82"/>
      <c r="B1298" s="15"/>
      <c r="C1298" s="15" t="s">
        <v>101</v>
      </c>
      <c r="D1298" s="237" t="s">
        <v>968</v>
      </c>
      <c r="E1298" s="238"/>
      <c r="F1298" s="15"/>
      <c r="G1298" s="51"/>
      <c r="H1298" s="38"/>
      <c r="I1298" s="6"/>
    </row>
    <row r="1299" spans="1:9" x14ac:dyDescent="0.2">
      <c r="A1299" s="5" t="s">
        <v>288</v>
      </c>
      <c r="B1299" s="16" t="s">
        <v>305</v>
      </c>
      <c r="C1299" s="16" t="s">
        <v>567</v>
      </c>
      <c r="D1299" s="243" t="s">
        <v>969</v>
      </c>
      <c r="E1299" s="244"/>
      <c r="F1299" s="16" t="s">
        <v>1042</v>
      </c>
      <c r="G1299" s="27">
        <v>52.76</v>
      </c>
      <c r="H1299" s="91">
        <v>0</v>
      </c>
      <c r="I1299" s="6"/>
    </row>
    <row r="1300" spans="1:9" ht="12.2" customHeight="1" x14ac:dyDescent="0.2">
      <c r="A1300" s="5"/>
      <c r="B1300" s="16"/>
      <c r="C1300" s="16"/>
      <c r="D1300" s="85" t="s">
        <v>1415</v>
      </c>
      <c r="E1300" s="267" t="s">
        <v>1734</v>
      </c>
      <c r="F1300" s="267"/>
      <c r="G1300" s="87">
        <v>52.76</v>
      </c>
      <c r="H1300" s="39"/>
      <c r="I1300" s="6"/>
    </row>
    <row r="1301" spans="1:9" x14ac:dyDescent="0.2">
      <c r="A1301" s="5" t="s">
        <v>289</v>
      </c>
      <c r="B1301" s="16" t="s">
        <v>305</v>
      </c>
      <c r="C1301" s="16" t="s">
        <v>568</v>
      </c>
      <c r="D1301" s="243" t="s">
        <v>970</v>
      </c>
      <c r="E1301" s="244"/>
      <c r="F1301" s="16" t="s">
        <v>1042</v>
      </c>
      <c r="G1301" s="27">
        <v>253.18</v>
      </c>
      <c r="H1301" s="91">
        <v>0</v>
      </c>
      <c r="I1301" s="6"/>
    </row>
    <row r="1302" spans="1:9" ht="12.2" customHeight="1" x14ac:dyDescent="0.2">
      <c r="A1302" s="5"/>
      <c r="B1302" s="16"/>
      <c r="C1302" s="16"/>
      <c r="D1302" s="85" t="s">
        <v>1573</v>
      </c>
      <c r="E1302" s="267" t="s">
        <v>1808</v>
      </c>
      <c r="F1302" s="267"/>
      <c r="G1302" s="87">
        <v>253.18</v>
      </c>
      <c r="H1302" s="39"/>
      <c r="I1302" s="6"/>
    </row>
    <row r="1303" spans="1:9" x14ac:dyDescent="0.2">
      <c r="A1303" s="5" t="s">
        <v>290</v>
      </c>
      <c r="B1303" s="16" t="s">
        <v>305</v>
      </c>
      <c r="C1303" s="16" t="s">
        <v>569</v>
      </c>
      <c r="D1303" s="243" t="s">
        <v>971</v>
      </c>
      <c r="E1303" s="244"/>
      <c r="F1303" s="16" t="s">
        <v>1045</v>
      </c>
      <c r="G1303" s="27">
        <v>2</v>
      </c>
      <c r="H1303" s="91">
        <v>0</v>
      </c>
      <c r="I1303" s="6"/>
    </row>
    <row r="1304" spans="1:9" ht="12.2" customHeight="1" x14ac:dyDescent="0.2">
      <c r="A1304" s="5"/>
      <c r="B1304" s="16"/>
      <c r="C1304" s="16"/>
      <c r="D1304" s="85" t="s">
        <v>8</v>
      </c>
      <c r="E1304" s="267" t="s">
        <v>1809</v>
      </c>
      <c r="F1304" s="267"/>
      <c r="G1304" s="87">
        <v>2</v>
      </c>
      <c r="H1304" s="39"/>
      <c r="I1304" s="6"/>
    </row>
    <row r="1305" spans="1:9" x14ac:dyDescent="0.2">
      <c r="A1305" s="7" t="s">
        <v>291</v>
      </c>
      <c r="B1305" s="17" t="s">
        <v>305</v>
      </c>
      <c r="C1305" s="17" t="s">
        <v>570</v>
      </c>
      <c r="D1305" s="241" t="s">
        <v>973</v>
      </c>
      <c r="E1305" s="242"/>
      <c r="F1305" s="17" t="s">
        <v>1045</v>
      </c>
      <c r="G1305" s="28">
        <v>2</v>
      </c>
      <c r="H1305" s="93">
        <v>0</v>
      </c>
      <c r="I1305" s="6"/>
    </row>
    <row r="1306" spans="1:9" ht="12.2" customHeight="1" x14ac:dyDescent="0.2">
      <c r="A1306" s="7"/>
      <c r="B1306" s="17"/>
      <c r="C1306" s="17"/>
      <c r="D1306" s="85" t="s">
        <v>8</v>
      </c>
      <c r="E1306" s="267" t="s">
        <v>1809</v>
      </c>
      <c r="F1306" s="267"/>
      <c r="G1306" s="88">
        <v>2</v>
      </c>
      <c r="H1306" s="40"/>
      <c r="I1306" s="6"/>
    </row>
    <row r="1307" spans="1:9" x14ac:dyDescent="0.2">
      <c r="A1307" s="82"/>
      <c r="B1307" s="15"/>
      <c r="C1307" s="15" t="s">
        <v>571</v>
      </c>
      <c r="D1307" s="237" t="s">
        <v>974</v>
      </c>
      <c r="E1307" s="238"/>
      <c r="F1307" s="15"/>
      <c r="G1307" s="51"/>
      <c r="H1307" s="38"/>
      <c r="I1307" s="6"/>
    </row>
    <row r="1308" spans="1:9" x14ac:dyDescent="0.2">
      <c r="A1308" s="5" t="s">
        <v>292</v>
      </c>
      <c r="B1308" s="16" t="s">
        <v>305</v>
      </c>
      <c r="C1308" s="16" t="s">
        <v>572</v>
      </c>
      <c r="D1308" s="243" t="s">
        <v>975</v>
      </c>
      <c r="E1308" s="244"/>
      <c r="F1308" s="16" t="s">
        <v>1043</v>
      </c>
      <c r="G1308" s="27">
        <v>820.36</v>
      </c>
      <c r="H1308" s="91">
        <v>0</v>
      </c>
      <c r="I1308" s="6"/>
    </row>
    <row r="1309" spans="1:9" x14ac:dyDescent="0.2">
      <c r="A1309" s="82"/>
      <c r="B1309" s="15"/>
      <c r="C1309" s="15" t="s">
        <v>612</v>
      </c>
      <c r="D1309" s="237" t="s">
        <v>1031</v>
      </c>
      <c r="E1309" s="238"/>
      <c r="F1309" s="15"/>
      <c r="G1309" s="51"/>
      <c r="H1309" s="38"/>
      <c r="I1309" s="6"/>
    </row>
    <row r="1310" spans="1:9" x14ac:dyDescent="0.2">
      <c r="A1310" s="5" t="s">
        <v>293</v>
      </c>
      <c r="B1310" s="16" t="s">
        <v>307</v>
      </c>
      <c r="C1310" s="16" t="s">
        <v>613</v>
      </c>
      <c r="D1310" s="243" t="s">
        <v>1032</v>
      </c>
      <c r="E1310" s="244"/>
      <c r="F1310" s="16" t="s">
        <v>1043</v>
      </c>
      <c r="G1310" s="27">
        <v>24.48</v>
      </c>
      <c r="H1310" s="91">
        <v>0</v>
      </c>
      <c r="I1310" s="6"/>
    </row>
    <row r="1311" spans="1:9" x14ac:dyDescent="0.2">
      <c r="A1311" s="82"/>
      <c r="B1311" s="15"/>
      <c r="C1311" s="15" t="s">
        <v>597</v>
      </c>
      <c r="D1311" s="237" t="s">
        <v>1012</v>
      </c>
      <c r="E1311" s="238"/>
      <c r="F1311" s="15"/>
      <c r="G1311" s="51"/>
      <c r="H1311" s="38"/>
      <c r="I1311" s="6"/>
    </row>
    <row r="1312" spans="1:9" x14ac:dyDescent="0.2">
      <c r="A1312" s="5" t="s">
        <v>294</v>
      </c>
      <c r="B1312" s="16" t="s">
        <v>306</v>
      </c>
      <c r="C1312" s="16" t="s">
        <v>598</v>
      </c>
      <c r="D1312" s="243" t="s">
        <v>1013</v>
      </c>
      <c r="E1312" s="244"/>
      <c r="F1312" s="16" t="s">
        <v>1043</v>
      </c>
      <c r="G1312" s="27">
        <v>69.58</v>
      </c>
      <c r="H1312" s="91">
        <v>0</v>
      </c>
      <c r="I1312" s="6"/>
    </row>
    <row r="1313" spans="1:9" x14ac:dyDescent="0.2">
      <c r="A1313" s="82"/>
      <c r="B1313" s="15"/>
      <c r="C1313" s="15" t="s">
        <v>573</v>
      </c>
      <c r="D1313" s="237" t="s">
        <v>976</v>
      </c>
      <c r="E1313" s="238"/>
      <c r="F1313" s="15"/>
      <c r="G1313" s="51"/>
      <c r="H1313" s="38"/>
      <c r="I1313" s="6"/>
    </row>
    <row r="1314" spans="1:9" x14ac:dyDescent="0.2">
      <c r="A1314" s="5" t="s">
        <v>295</v>
      </c>
      <c r="B1314" s="16" t="s">
        <v>305</v>
      </c>
      <c r="C1314" s="16" t="s">
        <v>574</v>
      </c>
      <c r="D1314" s="243" t="s">
        <v>977</v>
      </c>
      <c r="E1314" s="244"/>
      <c r="F1314" s="16" t="s">
        <v>1047</v>
      </c>
      <c r="G1314" s="27">
        <v>643.29999999999995</v>
      </c>
      <c r="H1314" s="91">
        <v>0</v>
      </c>
      <c r="I1314" s="6"/>
    </row>
    <row r="1315" spans="1:9" ht="12.2" customHeight="1" x14ac:dyDescent="0.2">
      <c r="A1315" s="5"/>
      <c r="B1315" s="16"/>
      <c r="C1315" s="16"/>
      <c r="D1315" s="85" t="s">
        <v>1574</v>
      </c>
      <c r="E1315" s="267" t="s">
        <v>1810</v>
      </c>
      <c r="F1315" s="267"/>
      <c r="G1315" s="87">
        <v>483.3</v>
      </c>
      <c r="H1315" s="39"/>
      <c r="I1315" s="6"/>
    </row>
    <row r="1316" spans="1:9" ht="12.2" customHeight="1" x14ac:dyDescent="0.2">
      <c r="A1316" s="5"/>
      <c r="B1316" s="16"/>
      <c r="C1316" s="16"/>
      <c r="D1316" s="85" t="s">
        <v>1575</v>
      </c>
      <c r="E1316" s="267" t="s">
        <v>1811</v>
      </c>
      <c r="F1316" s="267"/>
      <c r="G1316" s="87">
        <v>160</v>
      </c>
      <c r="H1316" s="39"/>
      <c r="I1316" s="6"/>
    </row>
    <row r="1317" spans="1:9" x14ac:dyDescent="0.2">
      <c r="A1317" s="7" t="s">
        <v>296</v>
      </c>
      <c r="B1317" s="17" t="s">
        <v>305</v>
      </c>
      <c r="C1317" s="17" t="s">
        <v>575</v>
      </c>
      <c r="D1317" s="241" t="s">
        <v>978</v>
      </c>
      <c r="E1317" s="242"/>
      <c r="F1317" s="17" t="s">
        <v>1047</v>
      </c>
      <c r="G1317" s="28">
        <v>694.76</v>
      </c>
      <c r="H1317" s="93">
        <v>0</v>
      </c>
      <c r="I1317" s="6"/>
    </row>
    <row r="1318" spans="1:9" ht="12.2" customHeight="1" x14ac:dyDescent="0.2">
      <c r="A1318" s="7"/>
      <c r="B1318" s="17"/>
      <c r="C1318" s="17"/>
      <c r="D1318" s="85" t="s">
        <v>1574</v>
      </c>
      <c r="E1318" s="267" t="s">
        <v>1810</v>
      </c>
      <c r="F1318" s="267"/>
      <c r="G1318" s="88">
        <v>483.3</v>
      </c>
      <c r="H1318" s="40"/>
      <c r="I1318" s="6"/>
    </row>
    <row r="1319" spans="1:9" ht="12.2" customHeight="1" x14ac:dyDescent="0.2">
      <c r="A1319" s="7"/>
      <c r="B1319" s="17"/>
      <c r="C1319" s="17"/>
      <c r="D1319" s="85" t="s">
        <v>1575</v>
      </c>
      <c r="E1319" s="267" t="s">
        <v>1811</v>
      </c>
      <c r="F1319" s="267"/>
      <c r="G1319" s="88">
        <v>160</v>
      </c>
      <c r="H1319" s="40"/>
      <c r="I1319" s="6"/>
    </row>
    <row r="1320" spans="1:9" ht="12.2" customHeight="1" x14ac:dyDescent="0.2">
      <c r="A1320" s="7"/>
      <c r="B1320" s="17"/>
      <c r="C1320" s="17"/>
      <c r="D1320" s="85" t="s">
        <v>1576</v>
      </c>
      <c r="E1320" s="267"/>
      <c r="F1320" s="267"/>
      <c r="G1320" s="88">
        <v>51.46</v>
      </c>
      <c r="H1320" s="40"/>
      <c r="I1320" s="6"/>
    </row>
    <row r="1321" spans="1:9" x14ac:dyDescent="0.2">
      <c r="A1321" s="5" t="s">
        <v>297</v>
      </c>
      <c r="B1321" s="16" t="s">
        <v>305</v>
      </c>
      <c r="C1321" s="16" t="s">
        <v>576</v>
      </c>
      <c r="D1321" s="243" t="s">
        <v>979</v>
      </c>
      <c r="E1321" s="244"/>
      <c r="F1321" s="16" t="s">
        <v>1045</v>
      </c>
      <c r="G1321" s="27">
        <v>24</v>
      </c>
      <c r="H1321" s="91">
        <v>0</v>
      </c>
      <c r="I1321" s="6"/>
    </row>
    <row r="1322" spans="1:9" ht="12.2" customHeight="1" x14ac:dyDescent="0.2">
      <c r="A1322" s="5"/>
      <c r="B1322" s="16"/>
      <c r="C1322" s="16"/>
      <c r="D1322" s="85" t="s">
        <v>1577</v>
      </c>
      <c r="E1322" s="267" t="s">
        <v>1810</v>
      </c>
      <c r="F1322" s="267"/>
      <c r="G1322" s="87">
        <v>24</v>
      </c>
      <c r="H1322" s="39"/>
      <c r="I1322" s="6"/>
    </row>
    <row r="1323" spans="1:9" x14ac:dyDescent="0.2">
      <c r="A1323" s="5" t="s">
        <v>298</v>
      </c>
      <c r="B1323" s="16" t="s">
        <v>305</v>
      </c>
      <c r="C1323" s="16" t="s">
        <v>577</v>
      </c>
      <c r="D1323" s="243" t="s">
        <v>980</v>
      </c>
      <c r="E1323" s="244"/>
      <c r="F1323" s="16" t="s">
        <v>1042</v>
      </c>
      <c r="G1323" s="27">
        <v>5.12</v>
      </c>
      <c r="H1323" s="91">
        <v>0</v>
      </c>
      <c r="I1323" s="6"/>
    </row>
    <row r="1324" spans="1:9" ht="12.2" customHeight="1" x14ac:dyDescent="0.2">
      <c r="A1324" s="5"/>
      <c r="B1324" s="16"/>
      <c r="C1324" s="16"/>
      <c r="D1324" s="85" t="s">
        <v>1578</v>
      </c>
      <c r="E1324" s="267" t="s">
        <v>1810</v>
      </c>
      <c r="F1324" s="267"/>
      <c r="G1324" s="87">
        <v>4.6399999999999997</v>
      </c>
      <c r="H1324" s="39"/>
      <c r="I1324" s="6"/>
    </row>
    <row r="1325" spans="1:9" ht="12.2" customHeight="1" x14ac:dyDescent="0.2">
      <c r="A1325" s="5"/>
      <c r="B1325" s="16"/>
      <c r="C1325" s="16"/>
      <c r="D1325" s="85" t="s">
        <v>1579</v>
      </c>
      <c r="E1325" s="267" t="s">
        <v>1811</v>
      </c>
      <c r="F1325" s="267"/>
      <c r="G1325" s="87">
        <v>0.48</v>
      </c>
      <c r="H1325" s="39"/>
      <c r="I1325" s="6"/>
    </row>
    <row r="1326" spans="1:9" x14ac:dyDescent="0.2">
      <c r="A1326" s="82"/>
      <c r="B1326" s="15"/>
      <c r="C1326" s="15" t="s">
        <v>599</v>
      </c>
      <c r="D1326" s="237" t="s">
        <v>1014</v>
      </c>
      <c r="E1326" s="238"/>
      <c r="F1326" s="15"/>
      <c r="G1326" s="51"/>
      <c r="H1326" s="38"/>
      <c r="I1326" s="6"/>
    </row>
    <row r="1327" spans="1:9" x14ac:dyDescent="0.2">
      <c r="A1327" s="5" t="s">
        <v>299</v>
      </c>
      <c r="B1327" s="16" t="s">
        <v>306</v>
      </c>
      <c r="C1327" s="16" t="s">
        <v>600</v>
      </c>
      <c r="D1327" s="243" t="s">
        <v>1015</v>
      </c>
      <c r="E1327" s="244"/>
      <c r="F1327" s="16" t="s">
        <v>1043</v>
      </c>
      <c r="G1327" s="27">
        <v>0.95</v>
      </c>
      <c r="H1327" s="91">
        <v>0</v>
      </c>
      <c r="I1327" s="6"/>
    </row>
    <row r="1328" spans="1:9" x14ac:dyDescent="0.2">
      <c r="A1328" s="5" t="s">
        <v>300</v>
      </c>
      <c r="B1328" s="16" t="s">
        <v>306</v>
      </c>
      <c r="C1328" s="16" t="s">
        <v>601</v>
      </c>
      <c r="D1328" s="243" t="s">
        <v>1017</v>
      </c>
      <c r="E1328" s="244"/>
      <c r="F1328" s="16" t="s">
        <v>1043</v>
      </c>
      <c r="G1328" s="27">
        <v>28.5</v>
      </c>
      <c r="H1328" s="91">
        <v>0</v>
      </c>
      <c r="I1328" s="6"/>
    </row>
    <row r="1329" spans="1:9" ht="12.2" customHeight="1" x14ac:dyDescent="0.2">
      <c r="A1329" s="5"/>
      <c r="B1329" s="16"/>
      <c r="C1329" s="16"/>
      <c r="D1329" s="85" t="s">
        <v>1580</v>
      </c>
      <c r="E1329" s="267"/>
      <c r="F1329" s="267"/>
      <c r="G1329" s="87">
        <v>28.5</v>
      </c>
      <c r="H1329" s="39"/>
      <c r="I1329" s="6"/>
    </row>
    <row r="1330" spans="1:9" x14ac:dyDescent="0.2">
      <c r="A1330" s="9" t="s">
        <v>301</v>
      </c>
      <c r="B1330" s="19" t="s">
        <v>306</v>
      </c>
      <c r="C1330" s="19" t="s">
        <v>602</v>
      </c>
      <c r="D1330" s="239" t="s">
        <v>1018</v>
      </c>
      <c r="E1330" s="240"/>
      <c r="F1330" s="19" t="s">
        <v>1043</v>
      </c>
      <c r="G1330" s="29">
        <v>0.95</v>
      </c>
      <c r="H1330" s="94">
        <v>0</v>
      </c>
      <c r="I1330" s="6"/>
    </row>
    <row r="1331" spans="1:9" x14ac:dyDescent="0.2">
      <c r="A1331" s="10"/>
      <c r="B1331" s="10"/>
      <c r="C1331" s="10"/>
      <c r="D1331" s="10"/>
      <c r="E1331" s="10"/>
      <c r="F1331" s="10"/>
      <c r="G1331" s="10"/>
      <c r="H1331" s="10"/>
    </row>
    <row r="1332" spans="1:9" ht="11.25" customHeight="1" x14ac:dyDescent="0.2">
      <c r="A1332" s="11" t="s">
        <v>302</v>
      </c>
    </row>
    <row r="1333" spans="1:9" ht="77.099999999999994" customHeight="1" x14ac:dyDescent="0.2">
      <c r="A1333" s="155" t="s">
        <v>303</v>
      </c>
      <c r="B1333" s="156"/>
      <c r="C1333" s="156"/>
      <c r="D1333" s="156"/>
      <c r="E1333" s="156"/>
      <c r="F1333" s="156"/>
      <c r="G1333" s="156"/>
    </row>
  </sheetData>
  <mergeCells count="1339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  <mergeCell ref="D10:E10"/>
    <mergeCell ref="D11:E11"/>
    <mergeCell ref="D12:E12"/>
    <mergeCell ref="E13:F13"/>
    <mergeCell ref="D14:E14"/>
    <mergeCell ref="E15:F15"/>
    <mergeCell ref="D16:E16"/>
    <mergeCell ref="D17:E17"/>
    <mergeCell ref="E18:F18"/>
    <mergeCell ref="E19:F19"/>
    <mergeCell ref="D20:G20"/>
    <mergeCell ref="D21:E21"/>
    <mergeCell ref="E22:F22"/>
    <mergeCell ref="D23:E23"/>
    <mergeCell ref="E24:F24"/>
    <mergeCell ref="D25:E25"/>
    <mergeCell ref="D26:E26"/>
    <mergeCell ref="E27:F27"/>
    <mergeCell ref="E28:F28"/>
    <mergeCell ref="D29:E29"/>
    <mergeCell ref="E30:F30"/>
    <mergeCell ref="D31:E31"/>
    <mergeCell ref="E32:F32"/>
    <mergeCell ref="E33:F33"/>
    <mergeCell ref="E34:F34"/>
    <mergeCell ref="D35:E35"/>
    <mergeCell ref="D36:E36"/>
    <mergeCell ref="E37:F37"/>
    <mergeCell ref="D38:E38"/>
    <mergeCell ref="E39:F39"/>
    <mergeCell ref="D40:E40"/>
    <mergeCell ref="E41:F41"/>
    <mergeCell ref="D42:E42"/>
    <mergeCell ref="E43:F43"/>
    <mergeCell ref="D44:E44"/>
    <mergeCell ref="E45:F45"/>
    <mergeCell ref="D46:E46"/>
    <mergeCell ref="E47:F47"/>
    <mergeCell ref="D48:E48"/>
    <mergeCell ref="D49:E49"/>
    <mergeCell ref="E50:F50"/>
    <mergeCell ref="E51:F51"/>
    <mergeCell ref="E52:F52"/>
    <mergeCell ref="E53:F53"/>
    <mergeCell ref="D54:G54"/>
    <mergeCell ref="D55:E55"/>
    <mergeCell ref="E56:F56"/>
    <mergeCell ref="E57:F57"/>
    <mergeCell ref="E58:F58"/>
    <mergeCell ref="D59:E59"/>
    <mergeCell ref="E60:F60"/>
    <mergeCell ref="D61:E61"/>
    <mergeCell ref="E62:F62"/>
    <mergeCell ref="D63:E63"/>
    <mergeCell ref="D64:E64"/>
    <mergeCell ref="E65:F65"/>
    <mergeCell ref="E66:F66"/>
    <mergeCell ref="D67:E67"/>
    <mergeCell ref="E68:F68"/>
    <mergeCell ref="E69:F69"/>
    <mergeCell ref="E70:F70"/>
    <mergeCell ref="E71:F71"/>
    <mergeCell ref="E72:F72"/>
    <mergeCell ref="D73:E73"/>
    <mergeCell ref="D74:E74"/>
    <mergeCell ref="E75:F75"/>
    <mergeCell ref="E76:F76"/>
    <mergeCell ref="D77:E77"/>
    <mergeCell ref="E78:F78"/>
    <mergeCell ref="E79:F79"/>
    <mergeCell ref="D80:E80"/>
    <mergeCell ref="E81:F81"/>
    <mergeCell ref="E82:F82"/>
    <mergeCell ref="D83:E83"/>
    <mergeCell ref="E84:F84"/>
    <mergeCell ref="E85:F85"/>
    <mergeCell ref="D86:E86"/>
    <mergeCell ref="D87:E87"/>
    <mergeCell ref="E88:F88"/>
    <mergeCell ref="E89:F89"/>
    <mergeCell ref="E90:F90"/>
    <mergeCell ref="D91:E91"/>
    <mergeCell ref="E92:F92"/>
    <mergeCell ref="E93:F93"/>
    <mergeCell ref="E94:F94"/>
    <mergeCell ref="D95:E95"/>
    <mergeCell ref="E96:F96"/>
    <mergeCell ref="D97:E97"/>
    <mergeCell ref="E98:F98"/>
    <mergeCell ref="D99:E99"/>
    <mergeCell ref="E100:F100"/>
    <mergeCell ref="E101:F101"/>
    <mergeCell ref="D102:G102"/>
    <mergeCell ref="D103:E103"/>
    <mergeCell ref="E104:F104"/>
    <mergeCell ref="E105:F105"/>
    <mergeCell ref="E106:F106"/>
    <mergeCell ref="D107:E107"/>
    <mergeCell ref="E108:F108"/>
    <mergeCell ref="D109:E109"/>
    <mergeCell ref="E110:F110"/>
    <mergeCell ref="E111:F111"/>
    <mergeCell ref="E112:F112"/>
    <mergeCell ref="D113:E113"/>
    <mergeCell ref="E114:F114"/>
    <mergeCell ref="D115:E115"/>
    <mergeCell ref="E116:F116"/>
    <mergeCell ref="D117:E117"/>
    <mergeCell ref="E118:F118"/>
    <mergeCell ref="D119:E119"/>
    <mergeCell ref="E120:F120"/>
    <mergeCell ref="D121:G121"/>
    <mergeCell ref="D122:E122"/>
    <mergeCell ref="E123:F123"/>
    <mergeCell ref="D124:E124"/>
    <mergeCell ref="D125:E125"/>
    <mergeCell ref="E126:F126"/>
    <mergeCell ref="D127:E127"/>
    <mergeCell ref="E128:F128"/>
    <mergeCell ref="D129:E129"/>
    <mergeCell ref="E130:F130"/>
    <mergeCell ref="E131:F131"/>
    <mergeCell ref="E132:F132"/>
    <mergeCell ref="D133:E133"/>
    <mergeCell ref="E134:F134"/>
    <mergeCell ref="E135:F135"/>
    <mergeCell ref="E136:F136"/>
    <mergeCell ref="E137:F137"/>
    <mergeCell ref="D138:E138"/>
    <mergeCell ref="E139:F139"/>
    <mergeCell ref="E140:F140"/>
    <mergeCell ref="D141:E141"/>
    <mergeCell ref="E142:F142"/>
    <mergeCell ref="E143:F143"/>
    <mergeCell ref="E144:F144"/>
    <mergeCell ref="D145:G145"/>
    <mergeCell ref="D146:E146"/>
    <mergeCell ref="E147:F147"/>
    <mergeCell ref="D148:E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D167:E167"/>
    <mergeCell ref="E168:F168"/>
    <mergeCell ref="D169:E169"/>
    <mergeCell ref="E170:F170"/>
    <mergeCell ref="D171:E171"/>
    <mergeCell ref="E172:F172"/>
    <mergeCell ref="D173:E173"/>
    <mergeCell ref="E174:F174"/>
    <mergeCell ref="E175:F175"/>
    <mergeCell ref="E176:F176"/>
    <mergeCell ref="E177:F177"/>
    <mergeCell ref="E178:F178"/>
    <mergeCell ref="D179:E179"/>
    <mergeCell ref="E180:F180"/>
    <mergeCell ref="E181:F181"/>
    <mergeCell ref="D182:E182"/>
    <mergeCell ref="E183:F183"/>
    <mergeCell ref="E184:F184"/>
    <mergeCell ref="D185:E185"/>
    <mergeCell ref="E186:F186"/>
    <mergeCell ref="E187:F187"/>
    <mergeCell ref="D188:E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D198:E198"/>
    <mergeCell ref="E199:F199"/>
    <mergeCell ref="E200:F200"/>
    <mergeCell ref="E201:F201"/>
    <mergeCell ref="E202:F202"/>
    <mergeCell ref="E203:F203"/>
    <mergeCell ref="E204:F204"/>
    <mergeCell ref="D205:E205"/>
    <mergeCell ref="E206:F206"/>
    <mergeCell ref="E207:F207"/>
    <mergeCell ref="D208:E208"/>
    <mergeCell ref="E209:F209"/>
    <mergeCell ref="E210:F210"/>
    <mergeCell ref="E211:F211"/>
    <mergeCell ref="E212:F212"/>
    <mergeCell ref="D213:E213"/>
    <mergeCell ref="E214:F214"/>
    <mergeCell ref="D215:E215"/>
    <mergeCell ref="E216:F216"/>
    <mergeCell ref="D217:E217"/>
    <mergeCell ref="E218:F218"/>
    <mergeCell ref="D219:E219"/>
    <mergeCell ref="E220:F220"/>
    <mergeCell ref="E221:F221"/>
    <mergeCell ref="E222:F222"/>
    <mergeCell ref="E223:F223"/>
    <mergeCell ref="E224:F224"/>
    <mergeCell ref="E225:F225"/>
    <mergeCell ref="D226:E226"/>
    <mergeCell ref="E227:F227"/>
    <mergeCell ref="D228:E228"/>
    <mergeCell ref="E229:F229"/>
    <mergeCell ref="D230:G230"/>
    <mergeCell ref="D231:E231"/>
    <mergeCell ref="E232:F232"/>
    <mergeCell ref="D233:E233"/>
    <mergeCell ref="E234:F234"/>
    <mergeCell ref="D235:E235"/>
    <mergeCell ref="D236:E236"/>
    <mergeCell ref="E237:F237"/>
    <mergeCell ref="D238:E238"/>
    <mergeCell ref="E239:F239"/>
    <mergeCell ref="E240:F240"/>
    <mergeCell ref="D241:E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D256:E256"/>
    <mergeCell ref="E257:F257"/>
    <mergeCell ref="E258:F258"/>
    <mergeCell ref="D259:E259"/>
    <mergeCell ref="D260:E260"/>
    <mergeCell ref="E261:F261"/>
    <mergeCell ref="E262:F262"/>
    <mergeCell ref="D263:E263"/>
    <mergeCell ref="E264:F264"/>
    <mergeCell ref="E265:F265"/>
    <mergeCell ref="D266:G266"/>
    <mergeCell ref="D267:E267"/>
    <mergeCell ref="E268:F268"/>
    <mergeCell ref="E269:F269"/>
    <mergeCell ref="D270:E270"/>
    <mergeCell ref="E271:F271"/>
    <mergeCell ref="E272:F272"/>
    <mergeCell ref="D273:E273"/>
    <mergeCell ref="E274:F274"/>
    <mergeCell ref="E275:F275"/>
    <mergeCell ref="D276:E276"/>
    <mergeCell ref="E277:F277"/>
    <mergeCell ref="E278:F278"/>
    <mergeCell ref="D279:E279"/>
    <mergeCell ref="E280:F280"/>
    <mergeCell ref="E281:F281"/>
    <mergeCell ref="D282:G282"/>
    <mergeCell ref="D283:E283"/>
    <mergeCell ref="E284:F284"/>
    <mergeCell ref="E285:F285"/>
    <mergeCell ref="E286:F286"/>
    <mergeCell ref="E287:F287"/>
    <mergeCell ref="D288:E288"/>
    <mergeCell ref="E289:F289"/>
    <mergeCell ref="E290:F290"/>
    <mergeCell ref="E291:F291"/>
    <mergeCell ref="E292:F292"/>
    <mergeCell ref="D293:E293"/>
    <mergeCell ref="E294:F294"/>
    <mergeCell ref="E295:F295"/>
    <mergeCell ref="E296:F296"/>
    <mergeCell ref="E297:F297"/>
    <mergeCell ref="D298:E298"/>
    <mergeCell ref="E299:F299"/>
    <mergeCell ref="E300:F300"/>
    <mergeCell ref="E301:F301"/>
    <mergeCell ref="E302:F302"/>
    <mergeCell ref="D303:E303"/>
    <mergeCell ref="E304:F304"/>
    <mergeCell ref="E305:F305"/>
    <mergeCell ref="E306:F306"/>
    <mergeCell ref="E307:F307"/>
    <mergeCell ref="D308:E308"/>
    <mergeCell ref="E309:F309"/>
    <mergeCell ref="E310:F310"/>
    <mergeCell ref="E311:F311"/>
    <mergeCell ref="E312:F312"/>
    <mergeCell ref="D313:G313"/>
    <mergeCell ref="D314:E314"/>
    <mergeCell ref="E315:F315"/>
    <mergeCell ref="E316:F316"/>
    <mergeCell ref="D317:E317"/>
    <mergeCell ref="E318:F318"/>
    <mergeCell ref="D319:E319"/>
    <mergeCell ref="E320:F320"/>
    <mergeCell ref="E321:F321"/>
    <mergeCell ref="E322:F322"/>
    <mergeCell ref="E323:F323"/>
    <mergeCell ref="D324:E324"/>
    <mergeCell ref="E325:F325"/>
    <mergeCell ref="D326:E326"/>
    <mergeCell ref="E327:F327"/>
    <mergeCell ref="E328:F328"/>
    <mergeCell ref="D329:E329"/>
    <mergeCell ref="E330:F330"/>
    <mergeCell ref="E331:F331"/>
    <mergeCell ref="D332:E332"/>
    <mergeCell ref="E333:F333"/>
    <mergeCell ref="E334:F334"/>
    <mergeCell ref="D335:E335"/>
    <mergeCell ref="E336:F336"/>
    <mergeCell ref="D337:G337"/>
    <mergeCell ref="D338:E338"/>
    <mergeCell ref="E339:F339"/>
    <mergeCell ref="D340:E340"/>
    <mergeCell ref="E341:F341"/>
    <mergeCell ref="E342:F342"/>
    <mergeCell ref="E343:F343"/>
    <mergeCell ref="E344:F344"/>
    <mergeCell ref="D345:E345"/>
    <mergeCell ref="E346:F346"/>
    <mergeCell ref="E347:F347"/>
    <mergeCell ref="E348:F348"/>
    <mergeCell ref="D349:E349"/>
    <mergeCell ref="D350:E350"/>
    <mergeCell ref="E351:F351"/>
    <mergeCell ref="E352:F352"/>
    <mergeCell ref="D353:E353"/>
    <mergeCell ref="E354:F354"/>
    <mergeCell ref="D355:G355"/>
    <mergeCell ref="D356:E356"/>
    <mergeCell ref="E357:F357"/>
    <mergeCell ref="E358:F358"/>
    <mergeCell ref="D359:E359"/>
    <mergeCell ref="E360:F360"/>
    <mergeCell ref="E361:F361"/>
    <mergeCell ref="D362:E362"/>
    <mergeCell ref="E363:F363"/>
    <mergeCell ref="D364:G364"/>
    <mergeCell ref="D365:E365"/>
    <mergeCell ref="D366:E366"/>
    <mergeCell ref="E367:F367"/>
    <mergeCell ref="D368:G368"/>
    <mergeCell ref="D369:E369"/>
    <mergeCell ref="E370:F370"/>
    <mergeCell ref="E371:F371"/>
    <mergeCell ref="E372:F372"/>
    <mergeCell ref="E373:F373"/>
    <mergeCell ref="E374:F374"/>
    <mergeCell ref="D375:G375"/>
    <mergeCell ref="D376:E376"/>
    <mergeCell ref="E377:F377"/>
    <mergeCell ref="E378:F378"/>
    <mergeCell ref="D379:E379"/>
    <mergeCell ref="E380:F380"/>
    <mergeCell ref="E381:F381"/>
    <mergeCell ref="E382:F382"/>
    <mergeCell ref="D383:E383"/>
    <mergeCell ref="D384:E384"/>
    <mergeCell ref="E385:F385"/>
    <mergeCell ref="E386:F386"/>
    <mergeCell ref="E387:F387"/>
    <mergeCell ref="D388:E388"/>
    <mergeCell ref="E389:F389"/>
    <mergeCell ref="E390:F390"/>
    <mergeCell ref="E391:F391"/>
    <mergeCell ref="E392:F392"/>
    <mergeCell ref="D393:E393"/>
    <mergeCell ref="E394:F394"/>
    <mergeCell ref="D395:E395"/>
    <mergeCell ref="E396:F396"/>
    <mergeCell ref="D397:G397"/>
    <mergeCell ref="D398:E398"/>
    <mergeCell ref="E399:F399"/>
    <mergeCell ref="D400:E400"/>
    <mergeCell ref="E401:F401"/>
    <mergeCell ref="D402:E402"/>
    <mergeCell ref="D403:E403"/>
    <mergeCell ref="E404:F404"/>
    <mergeCell ref="E405:F405"/>
    <mergeCell ref="E406:F406"/>
    <mergeCell ref="E407:F407"/>
    <mergeCell ref="E408:F408"/>
    <mergeCell ref="E409:F409"/>
    <mergeCell ref="D410:E410"/>
    <mergeCell ref="D411:E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D422:E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E461:F461"/>
    <mergeCell ref="E462:F462"/>
    <mergeCell ref="E463:F463"/>
    <mergeCell ref="E464:F464"/>
    <mergeCell ref="D465:E465"/>
    <mergeCell ref="D466:E466"/>
    <mergeCell ref="E467:F467"/>
    <mergeCell ref="D468:E468"/>
    <mergeCell ref="E469:F469"/>
    <mergeCell ref="D470:E470"/>
    <mergeCell ref="E471:F471"/>
    <mergeCell ref="D472:E472"/>
    <mergeCell ref="E473:F473"/>
    <mergeCell ref="E474:F474"/>
    <mergeCell ref="E475:F475"/>
    <mergeCell ref="E476:F476"/>
    <mergeCell ref="E477:F477"/>
    <mergeCell ref="E478:F478"/>
    <mergeCell ref="E479:F479"/>
    <mergeCell ref="E480:F480"/>
    <mergeCell ref="E481:F481"/>
    <mergeCell ref="E482:F482"/>
    <mergeCell ref="E483:F483"/>
    <mergeCell ref="E484:F484"/>
    <mergeCell ref="E485:F485"/>
    <mergeCell ref="E486:F486"/>
    <mergeCell ref="E487:F487"/>
    <mergeCell ref="E488:F488"/>
    <mergeCell ref="E489:F489"/>
    <mergeCell ref="E490:F490"/>
    <mergeCell ref="D491:E491"/>
    <mergeCell ref="E492:F492"/>
    <mergeCell ref="D493:E493"/>
    <mergeCell ref="E494:F494"/>
    <mergeCell ref="D495:E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E504:F504"/>
    <mergeCell ref="E505:F505"/>
    <mergeCell ref="E506:F506"/>
    <mergeCell ref="E507:F507"/>
    <mergeCell ref="E508:F508"/>
    <mergeCell ref="D509:E509"/>
    <mergeCell ref="E510:F510"/>
    <mergeCell ref="E511:F511"/>
    <mergeCell ref="D512:E512"/>
    <mergeCell ref="E513:F513"/>
    <mergeCell ref="E514:F514"/>
    <mergeCell ref="E515:F515"/>
    <mergeCell ref="D516:E516"/>
    <mergeCell ref="E517:F517"/>
    <mergeCell ref="E518:F518"/>
    <mergeCell ref="E519:F519"/>
    <mergeCell ref="E520:F520"/>
    <mergeCell ref="E521:F521"/>
    <mergeCell ref="E522:F522"/>
    <mergeCell ref="E523:F523"/>
    <mergeCell ref="E524:F524"/>
    <mergeCell ref="E525:F525"/>
    <mergeCell ref="E526:F526"/>
    <mergeCell ref="E527:F527"/>
    <mergeCell ref="E528:F528"/>
    <mergeCell ref="E529:F529"/>
    <mergeCell ref="D530:E530"/>
    <mergeCell ref="E531:F531"/>
    <mergeCell ref="E532:F532"/>
    <mergeCell ref="D533:E533"/>
    <mergeCell ref="E534:F534"/>
    <mergeCell ref="D535:E535"/>
    <mergeCell ref="E536:F536"/>
    <mergeCell ref="D537:E537"/>
    <mergeCell ref="E538:F538"/>
    <mergeCell ref="E539:F539"/>
    <mergeCell ref="D540:E540"/>
    <mergeCell ref="D541:E541"/>
    <mergeCell ref="E542:F542"/>
    <mergeCell ref="D543:E543"/>
    <mergeCell ref="E544:F544"/>
    <mergeCell ref="E545:F545"/>
    <mergeCell ref="E546:F546"/>
    <mergeCell ref="E547:F547"/>
    <mergeCell ref="E548:F548"/>
    <mergeCell ref="E549:F549"/>
    <mergeCell ref="D550:E550"/>
    <mergeCell ref="E551:F551"/>
    <mergeCell ref="D552:G552"/>
    <mergeCell ref="D553:E553"/>
    <mergeCell ref="E554:F554"/>
    <mergeCell ref="E555:F555"/>
    <mergeCell ref="E556:F556"/>
    <mergeCell ref="E557:F557"/>
    <mergeCell ref="E558:F558"/>
    <mergeCell ref="E559:F559"/>
    <mergeCell ref="E560:F560"/>
    <mergeCell ref="E561:F561"/>
    <mergeCell ref="E562:F562"/>
    <mergeCell ref="E563:F563"/>
    <mergeCell ref="E564:F564"/>
    <mergeCell ref="D565:E565"/>
    <mergeCell ref="D566:E566"/>
    <mergeCell ref="E567:F567"/>
    <mergeCell ref="D568:E568"/>
    <mergeCell ref="E569:F569"/>
    <mergeCell ref="E570:F570"/>
    <mergeCell ref="E571:F571"/>
    <mergeCell ref="E572:F572"/>
    <mergeCell ref="D573:E573"/>
    <mergeCell ref="E574:F574"/>
    <mergeCell ref="D575:E575"/>
    <mergeCell ref="E576:F576"/>
    <mergeCell ref="E577:F577"/>
    <mergeCell ref="E578:F578"/>
    <mergeCell ref="E579:F579"/>
    <mergeCell ref="D580:E580"/>
    <mergeCell ref="E581:F581"/>
    <mergeCell ref="E582:F582"/>
    <mergeCell ref="E583:F583"/>
    <mergeCell ref="E584:F584"/>
    <mergeCell ref="E585:F585"/>
    <mergeCell ref="D586:E586"/>
    <mergeCell ref="E587:F587"/>
    <mergeCell ref="E588:F588"/>
    <mergeCell ref="E589:F589"/>
    <mergeCell ref="E590:F590"/>
    <mergeCell ref="E591:F591"/>
    <mergeCell ref="D592:E592"/>
    <mergeCell ref="E593:F593"/>
    <mergeCell ref="E594:F594"/>
    <mergeCell ref="D595:E595"/>
    <mergeCell ref="E596:F596"/>
    <mergeCell ref="E597:F597"/>
    <mergeCell ref="E598:F598"/>
    <mergeCell ref="D599:E599"/>
    <mergeCell ref="E600:F600"/>
    <mergeCell ref="E601:F601"/>
    <mergeCell ref="E602:F602"/>
    <mergeCell ref="E603:F603"/>
    <mergeCell ref="E604:F604"/>
    <mergeCell ref="E605:F605"/>
    <mergeCell ref="E606:F606"/>
    <mergeCell ref="E607:F607"/>
    <mergeCell ref="D608:E608"/>
    <mergeCell ref="D609:E609"/>
    <mergeCell ref="D610:E610"/>
    <mergeCell ref="E611:F611"/>
    <mergeCell ref="E612:F612"/>
    <mergeCell ref="D613:E613"/>
    <mergeCell ref="E614:F614"/>
    <mergeCell ref="E615:F615"/>
    <mergeCell ref="D616:E616"/>
    <mergeCell ref="E617:F617"/>
    <mergeCell ref="E618:F618"/>
    <mergeCell ref="D619:E619"/>
    <mergeCell ref="E620:F620"/>
    <mergeCell ref="E621:F621"/>
    <mergeCell ref="D622:E622"/>
    <mergeCell ref="E623:F623"/>
    <mergeCell ref="E624:F624"/>
    <mergeCell ref="E625:F625"/>
    <mergeCell ref="E626:F626"/>
    <mergeCell ref="D627:E627"/>
    <mergeCell ref="E628:F628"/>
    <mergeCell ref="D629:E629"/>
    <mergeCell ref="E630:F630"/>
    <mergeCell ref="D631:E631"/>
    <mergeCell ref="E632:F632"/>
    <mergeCell ref="E633:F633"/>
    <mergeCell ref="D634:E634"/>
    <mergeCell ref="E635:F635"/>
    <mergeCell ref="E636:F636"/>
    <mergeCell ref="D637:E637"/>
    <mergeCell ref="E638:F638"/>
    <mergeCell ref="E639:F639"/>
    <mergeCell ref="D640:E640"/>
    <mergeCell ref="E641:F641"/>
    <mergeCell ref="E642:F642"/>
    <mergeCell ref="D643:E643"/>
    <mergeCell ref="E644:F644"/>
    <mergeCell ref="D645:E645"/>
    <mergeCell ref="E646:F646"/>
    <mergeCell ref="D647:E647"/>
    <mergeCell ref="E648:F648"/>
    <mergeCell ref="D649:E649"/>
    <mergeCell ref="E650:F650"/>
    <mergeCell ref="D651:E651"/>
    <mergeCell ref="E652:F652"/>
    <mergeCell ref="D653:E653"/>
    <mergeCell ref="E654:F654"/>
    <mergeCell ref="D655:E655"/>
    <mergeCell ref="E656:F656"/>
    <mergeCell ref="D657:E657"/>
    <mergeCell ref="D658:E658"/>
    <mergeCell ref="D659:E659"/>
    <mergeCell ref="E660:F660"/>
    <mergeCell ref="E661:F661"/>
    <mergeCell ref="E662:F662"/>
    <mergeCell ref="E663:F663"/>
    <mergeCell ref="E664:F664"/>
    <mergeCell ref="D665:E665"/>
    <mergeCell ref="E666:F666"/>
    <mergeCell ref="E667:F667"/>
    <mergeCell ref="E668:F668"/>
    <mergeCell ref="E669:F669"/>
    <mergeCell ref="E670:F670"/>
    <mergeCell ref="E671:F671"/>
    <mergeCell ref="E672:F672"/>
    <mergeCell ref="E673:F673"/>
    <mergeCell ref="E674:F674"/>
    <mergeCell ref="D675:E675"/>
    <mergeCell ref="E676:F676"/>
    <mergeCell ref="E677:F677"/>
    <mergeCell ref="D678:E678"/>
    <mergeCell ref="E679:F679"/>
    <mergeCell ref="E680:F680"/>
    <mergeCell ref="E681:F681"/>
    <mergeCell ref="D682:E682"/>
    <mergeCell ref="E683:F683"/>
    <mergeCell ref="D684:E684"/>
    <mergeCell ref="E685:F685"/>
    <mergeCell ref="E686:F686"/>
    <mergeCell ref="D687:E687"/>
    <mergeCell ref="E688:F688"/>
    <mergeCell ref="D689:E689"/>
    <mergeCell ref="E690:F690"/>
    <mergeCell ref="E691:F691"/>
    <mergeCell ref="D692:E692"/>
    <mergeCell ref="E693:F693"/>
    <mergeCell ref="E694:F694"/>
    <mergeCell ref="D695:E695"/>
    <mergeCell ref="E696:F696"/>
    <mergeCell ref="D697:E697"/>
    <mergeCell ref="E698:F698"/>
    <mergeCell ref="E699:F699"/>
    <mergeCell ref="D700:E700"/>
    <mergeCell ref="E701:F701"/>
    <mergeCell ref="E702:F702"/>
    <mergeCell ref="E703:F703"/>
    <mergeCell ref="E704:F704"/>
    <mergeCell ref="E705:F705"/>
    <mergeCell ref="E706:F706"/>
    <mergeCell ref="E707:F707"/>
    <mergeCell ref="E708:F708"/>
    <mergeCell ref="E709:F709"/>
    <mergeCell ref="E710:F710"/>
    <mergeCell ref="E711:F711"/>
    <mergeCell ref="E712:F712"/>
    <mergeCell ref="E713:F713"/>
    <mergeCell ref="E714:F714"/>
    <mergeCell ref="E715:F715"/>
    <mergeCell ref="E716:F716"/>
    <mergeCell ref="E717:F717"/>
    <mergeCell ref="D718:E718"/>
    <mergeCell ref="E719:F719"/>
    <mergeCell ref="E720:F720"/>
    <mergeCell ref="E721:F721"/>
    <mergeCell ref="E722:F722"/>
    <mergeCell ref="E723:F723"/>
    <mergeCell ref="E724:F724"/>
    <mergeCell ref="E725:F725"/>
    <mergeCell ref="E726:F726"/>
    <mergeCell ref="E727:F727"/>
    <mergeCell ref="E728:F728"/>
    <mergeCell ref="E729:F729"/>
    <mergeCell ref="E730:F730"/>
    <mergeCell ref="E731:F731"/>
    <mergeCell ref="D732:E732"/>
    <mergeCell ref="E733:F733"/>
    <mergeCell ref="E734:F734"/>
    <mergeCell ref="E735:F735"/>
    <mergeCell ref="E736:F736"/>
    <mergeCell ref="E737:F737"/>
    <mergeCell ref="E738:F738"/>
    <mergeCell ref="D739:E739"/>
    <mergeCell ref="E740:F740"/>
    <mergeCell ref="E741:F741"/>
    <mergeCell ref="E742:F742"/>
    <mergeCell ref="E743:F743"/>
    <mergeCell ref="E744:F744"/>
    <mergeCell ref="E745:F745"/>
    <mergeCell ref="D746:E746"/>
    <mergeCell ref="E747:F747"/>
    <mergeCell ref="E748:F748"/>
    <mergeCell ref="E749:F749"/>
    <mergeCell ref="E750:F750"/>
    <mergeCell ref="E751:F751"/>
    <mergeCell ref="E752:F752"/>
    <mergeCell ref="E753:F753"/>
    <mergeCell ref="E754:F754"/>
    <mergeCell ref="E755:F755"/>
    <mergeCell ref="E756:F756"/>
    <mergeCell ref="E757:F757"/>
    <mergeCell ref="E758:F758"/>
    <mergeCell ref="E759:F759"/>
    <mergeCell ref="E760:F760"/>
    <mergeCell ref="E761:F761"/>
    <mergeCell ref="E762:F762"/>
    <mergeCell ref="E763:F763"/>
    <mergeCell ref="D764:E764"/>
    <mergeCell ref="E765:F765"/>
    <mergeCell ref="E766:F766"/>
    <mergeCell ref="E767:F767"/>
    <mergeCell ref="E768:F768"/>
    <mergeCell ref="E769:F769"/>
    <mergeCell ref="E770:F770"/>
    <mergeCell ref="E771:F771"/>
    <mergeCell ref="E772:F772"/>
    <mergeCell ref="E773:F773"/>
    <mergeCell ref="E774:F774"/>
    <mergeCell ref="E775:F775"/>
    <mergeCell ref="E776:F776"/>
    <mergeCell ref="E777:F777"/>
    <mergeCell ref="E778:F778"/>
    <mergeCell ref="E779:F779"/>
    <mergeCell ref="E780:F780"/>
    <mergeCell ref="E781:F781"/>
    <mergeCell ref="D782:E782"/>
    <mergeCell ref="D783:E783"/>
    <mergeCell ref="D784:E784"/>
    <mergeCell ref="E785:F785"/>
    <mergeCell ref="E786:F786"/>
    <mergeCell ref="D787:E787"/>
    <mergeCell ref="D788:E788"/>
    <mergeCell ref="D789:E789"/>
    <mergeCell ref="E790:F790"/>
    <mergeCell ref="E791:F791"/>
    <mergeCell ref="E792:F792"/>
    <mergeCell ref="E793:F793"/>
    <mergeCell ref="E794:F794"/>
    <mergeCell ref="D795:E795"/>
    <mergeCell ref="E796:F796"/>
    <mergeCell ref="E797:F797"/>
    <mergeCell ref="D798:E798"/>
    <mergeCell ref="E799:F799"/>
    <mergeCell ref="E800:F800"/>
    <mergeCell ref="D801:E801"/>
    <mergeCell ref="D802:E802"/>
    <mergeCell ref="D803:E803"/>
    <mergeCell ref="E804:F804"/>
    <mergeCell ref="E805:F805"/>
    <mergeCell ref="D806:E806"/>
    <mergeCell ref="E807:F807"/>
    <mergeCell ref="E808:F808"/>
    <mergeCell ref="E809:F809"/>
    <mergeCell ref="E810:F810"/>
    <mergeCell ref="E811:F811"/>
    <mergeCell ref="E812:F812"/>
    <mergeCell ref="E813:F813"/>
    <mergeCell ref="E814:F814"/>
    <mergeCell ref="E815:F815"/>
    <mergeCell ref="E816:F816"/>
    <mergeCell ref="E817:F817"/>
    <mergeCell ref="E818:F818"/>
    <mergeCell ref="E819:F819"/>
    <mergeCell ref="E820:F820"/>
    <mergeCell ref="E821:F821"/>
    <mergeCell ref="E822:F822"/>
    <mergeCell ref="E823:F823"/>
    <mergeCell ref="E824:F824"/>
    <mergeCell ref="D825:E825"/>
    <mergeCell ref="E826:F826"/>
    <mergeCell ref="E827:F827"/>
    <mergeCell ref="D828:E828"/>
    <mergeCell ref="E829:F829"/>
    <mergeCell ref="E830:F830"/>
    <mergeCell ref="D831:E831"/>
    <mergeCell ref="E832:F832"/>
    <mergeCell ref="D833:E833"/>
    <mergeCell ref="E834:F834"/>
    <mergeCell ref="D835:E835"/>
    <mergeCell ref="D836:E836"/>
    <mergeCell ref="D837:E837"/>
    <mergeCell ref="E838:F838"/>
    <mergeCell ref="E839:F839"/>
    <mergeCell ref="D840:E840"/>
    <mergeCell ref="E841:F841"/>
    <mergeCell ref="D842:E842"/>
    <mergeCell ref="E843:F843"/>
    <mergeCell ref="E844:F844"/>
    <mergeCell ref="E845:F845"/>
    <mergeCell ref="D846:E846"/>
    <mergeCell ref="E847:F847"/>
    <mergeCell ref="E848:F848"/>
    <mergeCell ref="E849:F849"/>
    <mergeCell ref="E850:F850"/>
    <mergeCell ref="E851:F851"/>
    <mergeCell ref="E852:F852"/>
    <mergeCell ref="E853:F853"/>
    <mergeCell ref="E854:F854"/>
    <mergeCell ref="E855:F855"/>
    <mergeCell ref="E856:F856"/>
    <mergeCell ref="D857:E857"/>
    <mergeCell ref="E858:F858"/>
    <mergeCell ref="E859:F859"/>
    <mergeCell ref="E860:F860"/>
    <mergeCell ref="E861:F861"/>
    <mergeCell ref="E862:F862"/>
    <mergeCell ref="E863:F863"/>
    <mergeCell ref="E864:F864"/>
    <mergeCell ref="E865:F865"/>
    <mergeCell ref="E866:F866"/>
    <mergeCell ref="E867:F867"/>
    <mergeCell ref="E868:F868"/>
    <mergeCell ref="E869:F869"/>
    <mergeCell ref="E870:F870"/>
    <mergeCell ref="E871:F871"/>
    <mergeCell ref="D872:G872"/>
    <mergeCell ref="D873:E873"/>
    <mergeCell ref="E874:F874"/>
    <mergeCell ref="E875:F875"/>
    <mergeCell ref="E876:F876"/>
    <mergeCell ref="E877:F877"/>
    <mergeCell ref="E878:F878"/>
    <mergeCell ref="E879:F879"/>
    <mergeCell ref="E880:F880"/>
    <mergeCell ref="E881:F881"/>
    <mergeCell ref="E882:F882"/>
    <mergeCell ref="E883:F883"/>
    <mergeCell ref="E884:F884"/>
    <mergeCell ref="D885:E885"/>
    <mergeCell ref="E886:F886"/>
    <mergeCell ref="E887:F887"/>
    <mergeCell ref="E888:F888"/>
    <mergeCell ref="E889:F889"/>
    <mergeCell ref="D890:G890"/>
    <mergeCell ref="D891:E891"/>
    <mergeCell ref="E892:F892"/>
    <mergeCell ref="E893:F893"/>
    <mergeCell ref="D894:G894"/>
    <mergeCell ref="D895:E895"/>
    <mergeCell ref="E896:F896"/>
    <mergeCell ref="E897:F897"/>
    <mergeCell ref="E898:F898"/>
    <mergeCell ref="E899:F899"/>
    <mergeCell ref="D900:G900"/>
    <mergeCell ref="D901:E901"/>
    <mergeCell ref="E902:F902"/>
    <mergeCell ref="D903:G903"/>
    <mergeCell ref="D904:E904"/>
    <mergeCell ref="E905:F905"/>
    <mergeCell ref="D906:G906"/>
    <mergeCell ref="D907:E907"/>
    <mergeCell ref="E908:F908"/>
    <mergeCell ref="E909:F909"/>
    <mergeCell ref="E910:F910"/>
    <mergeCell ref="E911:F911"/>
    <mergeCell ref="E912:F912"/>
    <mergeCell ref="D913:G913"/>
    <mergeCell ref="D914:E914"/>
    <mergeCell ref="E915:F915"/>
    <mergeCell ref="E916:F916"/>
    <mergeCell ref="E917:F917"/>
    <mergeCell ref="E918:F918"/>
    <mergeCell ref="E919:F919"/>
    <mergeCell ref="E920:F920"/>
    <mergeCell ref="D921:G921"/>
    <mergeCell ref="D922:E922"/>
    <mergeCell ref="E923:F923"/>
    <mergeCell ref="D924:G924"/>
    <mergeCell ref="D925:E925"/>
    <mergeCell ref="E926:F926"/>
    <mergeCell ref="E927:F927"/>
    <mergeCell ref="E928:F928"/>
    <mergeCell ref="E929:F929"/>
    <mergeCell ref="E930:F930"/>
    <mergeCell ref="E931:F931"/>
    <mergeCell ref="E932:F932"/>
    <mergeCell ref="E933:F933"/>
    <mergeCell ref="E934:F934"/>
    <mergeCell ref="E935:F935"/>
    <mergeCell ref="E936:F936"/>
    <mergeCell ref="E937:F937"/>
    <mergeCell ref="D938:E938"/>
    <mergeCell ref="E939:F939"/>
    <mergeCell ref="E940:F940"/>
    <mergeCell ref="E941:F941"/>
    <mergeCell ref="E942:F942"/>
    <mergeCell ref="E943:F943"/>
    <mergeCell ref="E944:F944"/>
    <mergeCell ref="E945:F945"/>
    <mergeCell ref="E946:F946"/>
    <mergeCell ref="E947:F947"/>
    <mergeCell ref="E948:F948"/>
    <mergeCell ref="E949:F949"/>
    <mergeCell ref="E950:F950"/>
    <mergeCell ref="D951:G951"/>
    <mergeCell ref="D952:E952"/>
    <mergeCell ref="E953:F953"/>
    <mergeCell ref="D954:E954"/>
    <mergeCell ref="E955:F955"/>
    <mergeCell ref="D956:G956"/>
    <mergeCell ref="D957:E957"/>
    <mergeCell ref="E958:F958"/>
    <mergeCell ref="D959:G959"/>
    <mergeCell ref="D960:E960"/>
    <mergeCell ref="E961:F961"/>
    <mergeCell ref="E962:F962"/>
    <mergeCell ref="D963:E963"/>
    <mergeCell ref="E964:F964"/>
    <mergeCell ref="E965:F965"/>
    <mergeCell ref="D966:E966"/>
    <mergeCell ref="E967:F967"/>
    <mergeCell ref="E968:F968"/>
    <mergeCell ref="D969:E969"/>
    <mergeCell ref="E970:F970"/>
    <mergeCell ref="E971:F971"/>
    <mergeCell ref="D972:E972"/>
    <mergeCell ref="E973:F973"/>
    <mergeCell ref="E974:F974"/>
    <mergeCell ref="D975:E975"/>
    <mergeCell ref="E976:F976"/>
    <mergeCell ref="E977:F977"/>
    <mergeCell ref="D978:E978"/>
    <mergeCell ref="D979:E979"/>
    <mergeCell ref="E980:F980"/>
    <mergeCell ref="D981:E981"/>
    <mergeCell ref="E982:F982"/>
    <mergeCell ref="E983:F983"/>
    <mergeCell ref="D984:E984"/>
    <mergeCell ref="E985:F985"/>
    <mergeCell ref="E986:F986"/>
    <mergeCell ref="D987:E987"/>
    <mergeCell ref="E988:F988"/>
    <mergeCell ref="E989:F989"/>
    <mergeCell ref="D990:E990"/>
    <mergeCell ref="E991:F991"/>
    <mergeCell ref="E992:F992"/>
    <mergeCell ref="D993:E993"/>
    <mergeCell ref="D994:E994"/>
    <mergeCell ref="E995:F995"/>
    <mergeCell ref="E996:F996"/>
    <mergeCell ref="E997:F997"/>
    <mergeCell ref="E998:F998"/>
    <mergeCell ref="E999:F999"/>
    <mergeCell ref="D1000:E1000"/>
    <mergeCell ref="E1001:F1001"/>
    <mergeCell ref="E1002:F1002"/>
    <mergeCell ref="E1003:F1003"/>
    <mergeCell ref="E1004:F1004"/>
    <mergeCell ref="E1005:F1005"/>
    <mergeCell ref="D1006:E1006"/>
    <mergeCell ref="E1007:F1007"/>
    <mergeCell ref="E1008:F1008"/>
    <mergeCell ref="E1009:F1009"/>
    <mergeCell ref="E1010:F1010"/>
    <mergeCell ref="E1011:F1011"/>
    <mergeCell ref="D1012:E1012"/>
    <mergeCell ref="E1013:F1013"/>
    <mergeCell ref="E1014:F1014"/>
    <mergeCell ref="E1015:F1015"/>
    <mergeCell ref="E1016:F1016"/>
    <mergeCell ref="E1017:F1017"/>
    <mergeCell ref="E1018:F1018"/>
    <mergeCell ref="E1019:F1019"/>
    <mergeCell ref="E1020:F1020"/>
    <mergeCell ref="E1021:F1021"/>
    <mergeCell ref="E1022:F1022"/>
    <mergeCell ref="E1023:F1023"/>
    <mergeCell ref="E1024:F1024"/>
    <mergeCell ref="E1025:F1025"/>
    <mergeCell ref="E1026:F1026"/>
    <mergeCell ref="E1027:F1027"/>
    <mergeCell ref="E1028:F1028"/>
    <mergeCell ref="E1029:F1029"/>
    <mergeCell ref="E1030:F1030"/>
    <mergeCell ref="D1031:E1031"/>
    <mergeCell ref="E1032:F1032"/>
    <mergeCell ref="E1033:F1033"/>
    <mergeCell ref="E1034:F1034"/>
    <mergeCell ref="E1035:F1035"/>
    <mergeCell ref="E1036:F1036"/>
    <mergeCell ref="E1037:F1037"/>
    <mergeCell ref="E1038:F1038"/>
    <mergeCell ref="E1039:F1039"/>
    <mergeCell ref="E1040:F1040"/>
    <mergeCell ref="E1041:F1041"/>
    <mergeCell ref="E1042:F1042"/>
    <mergeCell ref="E1043:F1043"/>
    <mergeCell ref="E1044:F1044"/>
    <mergeCell ref="E1045:F1045"/>
    <mergeCell ref="E1046:F1046"/>
    <mergeCell ref="E1047:F1047"/>
    <mergeCell ref="E1048:F1048"/>
    <mergeCell ref="E1049:F1049"/>
    <mergeCell ref="D1050:G1050"/>
    <mergeCell ref="D1051:E1051"/>
    <mergeCell ref="E1052:F1052"/>
    <mergeCell ref="D1053:E1053"/>
    <mergeCell ref="E1054:F1054"/>
    <mergeCell ref="D1055:G1055"/>
    <mergeCell ref="D1056:E1056"/>
    <mergeCell ref="E1057:F1057"/>
    <mergeCell ref="D1058:E1058"/>
    <mergeCell ref="E1059:F1059"/>
    <mergeCell ref="D1060:G1060"/>
    <mergeCell ref="D1061:E1061"/>
    <mergeCell ref="E1062:F1062"/>
    <mergeCell ref="D1063:E1063"/>
    <mergeCell ref="E1064:F1064"/>
    <mergeCell ref="D1065:G1065"/>
    <mergeCell ref="D1066:E1066"/>
    <mergeCell ref="E1067:F1067"/>
    <mergeCell ref="D1068:E1068"/>
    <mergeCell ref="E1069:F1069"/>
    <mergeCell ref="D1070:G1070"/>
    <mergeCell ref="D1071:E1071"/>
    <mergeCell ref="E1072:F1072"/>
    <mergeCell ref="D1073:E1073"/>
    <mergeCell ref="E1074:F1074"/>
    <mergeCell ref="D1075:G1075"/>
    <mergeCell ref="D1076:E1076"/>
    <mergeCell ref="E1077:F1077"/>
    <mergeCell ref="D1078:E1078"/>
    <mergeCell ref="E1079:F1079"/>
    <mergeCell ref="D1080:G1080"/>
    <mergeCell ref="D1081:E1081"/>
    <mergeCell ref="E1082:F1082"/>
    <mergeCell ref="E1083:F1083"/>
    <mergeCell ref="E1084:F1084"/>
    <mergeCell ref="E1085:F1085"/>
    <mergeCell ref="E1086:F1086"/>
    <mergeCell ref="E1087:F1087"/>
    <mergeCell ref="E1088:F1088"/>
    <mergeCell ref="D1089:G1089"/>
    <mergeCell ref="D1090:E1090"/>
    <mergeCell ref="D1091:E1091"/>
    <mergeCell ref="E1092:F1092"/>
    <mergeCell ref="E1093:F1093"/>
    <mergeCell ref="E1094:F1094"/>
    <mergeCell ref="E1095:F1095"/>
    <mergeCell ref="E1096:F1096"/>
    <mergeCell ref="D1097:G1097"/>
    <mergeCell ref="D1098:E1098"/>
    <mergeCell ref="E1099:F1099"/>
    <mergeCell ref="E1100:F1100"/>
    <mergeCell ref="D1101:E1101"/>
    <mergeCell ref="E1102:F1102"/>
    <mergeCell ref="D1103:E1103"/>
    <mergeCell ref="E1104:F1104"/>
    <mergeCell ref="D1105:E1105"/>
    <mergeCell ref="E1106:F1106"/>
    <mergeCell ref="D1107:E1107"/>
    <mergeCell ref="E1108:F1108"/>
    <mergeCell ref="D1109:E1109"/>
    <mergeCell ref="D1110:E1110"/>
    <mergeCell ref="D1111:E1111"/>
    <mergeCell ref="E1112:F1112"/>
    <mergeCell ref="E1113:F1113"/>
    <mergeCell ref="E1114:F1114"/>
    <mergeCell ref="E1115:F1115"/>
    <mergeCell ref="E1116:F1116"/>
    <mergeCell ref="E1117:F1117"/>
    <mergeCell ref="D1118:E1118"/>
    <mergeCell ref="E1119:F1119"/>
    <mergeCell ref="E1120:F1120"/>
    <mergeCell ref="E1121:F1121"/>
    <mergeCell ref="E1122:F1122"/>
    <mergeCell ref="E1123:F1123"/>
    <mergeCell ref="E1124:F1124"/>
    <mergeCell ref="D1125:E1125"/>
    <mergeCell ref="E1126:F1126"/>
    <mergeCell ref="E1127:F1127"/>
    <mergeCell ref="E1128:F1128"/>
    <mergeCell ref="E1129:F1129"/>
    <mergeCell ref="E1130:F1130"/>
    <mergeCell ref="E1131:F1131"/>
    <mergeCell ref="D1132:E1132"/>
    <mergeCell ref="E1133:F1133"/>
    <mergeCell ref="D1134:E1134"/>
    <mergeCell ref="E1135:F1135"/>
    <mergeCell ref="E1136:F1136"/>
    <mergeCell ref="E1137:F1137"/>
    <mergeCell ref="D1138:E1138"/>
    <mergeCell ref="E1139:F1139"/>
    <mergeCell ref="E1140:F1140"/>
    <mergeCell ref="E1141:F1141"/>
    <mergeCell ref="E1142:F1142"/>
    <mergeCell ref="D1143:E1143"/>
    <mergeCell ref="E1144:F1144"/>
    <mergeCell ref="E1145:F1145"/>
    <mergeCell ref="D1146:E1146"/>
    <mergeCell ref="D1147:E1147"/>
    <mergeCell ref="D1148:E1148"/>
    <mergeCell ref="E1149:F1149"/>
    <mergeCell ref="E1150:F1150"/>
    <mergeCell ref="E1151:F1151"/>
    <mergeCell ref="E1152:F1152"/>
    <mergeCell ref="E1153:F1153"/>
    <mergeCell ref="E1154:F1154"/>
    <mergeCell ref="E1155:F1155"/>
    <mergeCell ref="E1156:F1156"/>
    <mergeCell ref="D1157:E1157"/>
    <mergeCell ref="E1158:F1158"/>
    <mergeCell ref="E1159:F1159"/>
    <mergeCell ref="E1160:F1160"/>
    <mergeCell ref="E1161:F1161"/>
    <mergeCell ref="E1162:F1162"/>
    <mergeCell ref="E1163:F1163"/>
    <mergeCell ref="E1164:F1164"/>
    <mergeCell ref="E1165:F1165"/>
    <mergeCell ref="D1166:E1166"/>
    <mergeCell ref="E1167:F1167"/>
    <mergeCell ref="E1168:F1168"/>
    <mergeCell ref="E1169:F1169"/>
    <mergeCell ref="E1170:F1170"/>
    <mergeCell ref="E1171:F1171"/>
    <mergeCell ref="E1172:F1172"/>
    <mergeCell ref="E1173:F1173"/>
    <mergeCell ref="E1174:F1174"/>
    <mergeCell ref="D1175:E1175"/>
    <mergeCell ref="E1176:F1176"/>
    <mergeCell ref="E1177:F1177"/>
    <mergeCell ref="E1178:F1178"/>
    <mergeCell ref="E1179:F1179"/>
    <mergeCell ref="E1180:F1180"/>
    <mergeCell ref="E1181:F1181"/>
    <mergeCell ref="E1182:F1182"/>
    <mergeCell ref="E1183:F1183"/>
    <mergeCell ref="E1184:F1184"/>
    <mergeCell ref="D1185:E1185"/>
    <mergeCell ref="E1186:F1186"/>
    <mergeCell ref="E1187:F1187"/>
    <mergeCell ref="E1188:F1188"/>
    <mergeCell ref="E1189:F1189"/>
    <mergeCell ref="E1190:F1190"/>
    <mergeCell ref="E1191:F1191"/>
    <mergeCell ref="E1192:F1192"/>
    <mergeCell ref="E1193:F1193"/>
    <mergeCell ref="E1194:F1194"/>
    <mergeCell ref="E1195:F1195"/>
    <mergeCell ref="D1196:E1196"/>
    <mergeCell ref="E1197:F1197"/>
    <mergeCell ref="E1198:F1198"/>
    <mergeCell ref="D1199:E1199"/>
    <mergeCell ref="E1200:F1200"/>
    <mergeCell ref="E1201:F1201"/>
    <mergeCell ref="D1202:E1202"/>
    <mergeCell ref="D1203:E1203"/>
    <mergeCell ref="D1204:E1204"/>
    <mergeCell ref="E1205:F1205"/>
    <mergeCell ref="E1206:F1206"/>
    <mergeCell ref="D1207:E1207"/>
    <mergeCell ref="E1208:F1208"/>
    <mergeCell ref="E1209:F1209"/>
    <mergeCell ref="E1210:F1210"/>
    <mergeCell ref="E1211:F1211"/>
    <mergeCell ref="E1212:F1212"/>
    <mergeCell ref="E1213:F1213"/>
    <mergeCell ref="E1214:F1214"/>
    <mergeCell ref="E1215:F1215"/>
    <mergeCell ref="E1216:F1216"/>
    <mergeCell ref="D1217:E1217"/>
    <mergeCell ref="E1218:F1218"/>
    <mergeCell ref="E1219:F1219"/>
    <mergeCell ref="D1220:E1220"/>
    <mergeCell ref="E1221:F1221"/>
    <mergeCell ref="E1222:F1222"/>
    <mergeCell ref="D1223:E1223"/>
    <mergeCell ref="D1224:E1224"/>
    <mergeCell ref="D1225:E1225"/>
    <mergeCell ref="E1226:F1226"/>
    <mergeCell ref="E1227:F1227"/>
    <mergeCell ref="E1228:F1228"/>
    <mergeCell ref="E1229:F1229"/>
    <mergeCell ref="E1230:F1230"/>
    <mergeCell ref="E1231:F1231"/>
    <mergeCell ref="E1232:F1232"/>
    <mergeCell ref="E1233:F1233"/>
    <mergeCell ref="E1234:F1234"/>
    <mergeCell ref="D1235:E1235"/>
    <mergeCell ref="E1236:F1236"/>
    <mergeCell ref="E1237:F1237"/>
    <mergeCell ref="E1238:F1238"/>
    <mergeCell ref="D1239:E1239"/>
    <mergeCell ref="E1240:F1240"/>
    <mergeCell ref="D1241:E1241"/>
    <mergeCell ref="E1242:F1242"/>
    <mergeCell ref="E1243:F1243"/>
    <mergeCell ref="E1244:F1244"/>
    <mergeCell ref="E1245:F1245"/>
    <mergeCell ref="E1246:F1246"/>
    <mergeCell ref="E1247:F1247"/>
    <mergeCell ref="E1248:F1248"/>
    <mergeCell ref="D1249:E1249"/>
    <mergeCell ref="D1250:E1250"/>
    <mergeCell ref="E1251:F1251"/>
    <mergeCell ref="E1252:F1252"/>
    <mergeCell ref="E1253:F1253"/>
    <mergeCell ref="E1254:F1254"/>
    <mergeCell ref="E1255:F1255"/>
    <mergeCell ref="E1256:F1256"/>
    <mergeCell ref="E1257:F1257"/>
    <mergeCell ref="E1258:F1258"/>
    <mergeCell ref="D1259:E1259"/>
    <mergeCell ref="E1260:F1260"/>
    <mergeCell ref="E1261:F1261"/>
    <mergeCell ref="D1262:E1262"/>
    <mergeCell ref="D1263:E1263"/>
    <mergeCell ref="E1264:F1264"/>
    <mergeCell ref="E1265:F1265"/>
    <mergeCell ref="E1266:F1266"/>
    <mergeCell ref="E1267:F1267"/>
    <mergeCell ref="E1268:F1268"/>
    <mergeCell ref="E1269:F1269"/>
    <mergeCell ref="E1270:F1270"/>
    <mergeCell ref="E1271:F1271"/>
    <mergeCell ref="E1272:F1272"/>
    <mergeCell ref="E1273:F1273"/>
    <mergeCell ref="E1274:F1274"/>
    <mergeCell ref="E1275:F1275"/>
    <mergeCell ref="D1276:G1276"/>
    <mergeCell ref="D1277:E1277"/>
    <mergeCell ref="D1278:E1278"/>
    <mergeCell ref="D1279:E1279"/>
    <mergeCell ref="E1280:F1280"/>
    <mergeCell ref="D1281:E1281"/>
    <mergeCell ref="D1282:E1282"/>
    <mergeCell ref="E1283:F1283"/>
    <mergeCell ref="E1284:F1284"/>
    <mergeCell ref="E1285:F1285"/>
    <mergeCell ref="E1286:F1286"/>
    <mergeCell ref="E1287:F1287"/>
    <mergeCell ref="D1288:E1288"/>
    <mergeCell ref="E1289:F1289"/>
    <mergeCell ref="D1290:E1290"/>
    <mergeCell ref="E1291:F1291"/>
    <mergeCell ref="E1292:F1292"/>
    <mergeCell ref="E1293:F1293"/>
    <mergeCell ref="E1294:F1294"/>
    <mergeCell ref="E1295:F1295"/>
    <mergeCell ref="D1296:E1296"/>
    <mergeCell ref="E1297:F1297"/>
    <mergeCell ref="D1298:E1298"/>
    <mergeCell ref="D1299:E1299"/>
    <mergeCell ref="E1300:F1300"/>
    <mergeCell ref="D1301:E1301"/>
    <mergeCell ref="E1302:F1302"/>
    <mergeCell ref="D1303:E1303"/>
    <mergeCell ref="E1304:F1304"/>
    <mergeCell ref="D1305:E1305"/>
    <mergeCell ref="E1306:F1306"/>
    <mergeCell ref="D1307:E1307"/>
    <mergeCell ref="D1308:E1308"/>
    <mergeCell ref="D1309:E1309"/>
    <mergeCell ref="D1310:E1310"/>
    <mergeCell ref="D1311:E1311"/>
    <mergeCell ref="D1312:E1312"/>
    <mergeCell ref="D1313:E1313"/>
    <mergeCell ref="D1314:E1314"/>
    <mergeCell ref="E1315:F1315"/>
    <mergeCell ref="E1316:F1316"/>
    <mergeCell ref="D1317:E1317"/>
    <mergeCell ref="E1318:F1318"/>
    <mergeCell ref="E1319:F1319"/>
    <mergeCell ref="E1320:F1320"/>
    <mergeCell ref="D1321:E1321"/>
    <mergeCell ref="E1322:F1322"/>
    <mergeCell ref="D1323:E1323"/>
    <mergeCell ref="D1330:E1330"/>
    <mergeCell ref="A1333:G1333"/>
    <mergeCell ref="E1324:F1324"/>
    <mergeCell ref="E1325:F1325"/>
    <mergeCell ref="D1326:E1326"/>
    <mergeCell ref="D1327:E1327"/>
    <mergeCell ref="D1328:E1328"/>
    <mergeCell ref="E1329:F1329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Krycí list rozpočtu</vt:lpstr>
      <vt:lpstr>VORN</vt:lpstr>
      <vt:lpstr>Rozpočet - Jen objekty celkem</vt:lpstr>
      <vt:lpstr>Stavební rozpočet - součet</vt:lpstr>
      <vt:lpstr>Stavební rozpočet</vt:lpstr>
      <vt:lpstr>Výkaz výměr</vt:lpstr>
      <vt:lpstr>vorn_sum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Tomas Hladik</cp:lastModifiedBy>
  <cp:lastPrinted>2022-08-26T15:56:50Z</cp:lastPrinted>
  <dcterms:created xsi:type="dcterms:W3CDTF">2022-08-26T16:13:50Z</dcterms:created>
  <dcterms:modified xsi:type="dcterms:W3CDTF">2022-08-26T16:13:50Z</dcterms:modified>
</cp:coreProperties>
</file>