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es\OneDrive\Plocha\Projekty\Libice RD\Rekonstrukce RD stávající\"/>
    </mc:Choice>
  </mc:AlternateContent>
  <bookViews>
    <workbookView xWindow="0" yWindow="0" windowWidth="23040" windowHeight="8496"/>
  </bookViews>
  <sheets>
    <sheet name="VV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4" i="1" l="1"/>
  <c r="G249" i="1"/>
  <c r="G288" i="1"/>
  <c r="G287" i="1"/>
  <c r="D105" i="1"/>
  <c r="E102" i="1" s="1"/>
  <c r="D107" i="1" s="1"/>
  <c r="E107" i="1" s="1"/>
  <c r="D104" i="1"/>
  <c r="D242" i="1"/>
  <c r="D241" i="1"/>
  <c r="D221" i="1"/>
  <c r="E218" i="1"/>
  <c r="D219" i="1"/>
  <c r="E219" i="1" s="1"/>
  <c r="D218" i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0" i="1" s="1"/>
  <c r="G202" i="1"/>
  <c r="G186" i="1"/>
  <c r="G185" i="1"/>
  <c r="G184" i="1"/>
  <c r="G183" i="1"/>
  <c r="G172" i="1"/>
  <c r="G130" i="1"/>
  <c r="G128" i="1"/>
  <c r="G124" i="1"/>
  <c r="D124" i="1"/>
  <c r="D120" i="1"/>
  <c r="E120" i="1" s="1"/>
  <c r="G120" i="1" s="1"/>
  <c r="D118" i="1"/>
  <c r="E118" i="1" s="1"/>
  <c r="G118" i="1" s="1"/>
  <c r="E115" i="1"/>
  <c r="G115" i="1" s="1"/>
  <c r="D113" i="1"/>
  <c r="D109" i="1"/>
  <c r="D110" i="1" s="1"/>
  <c r="E93" i="1"/>
  <c r="G93" i="1" s="1"/>
  <c r="D97" i="1"/>
  <c r="D96" i="1"/>
  <c r="D95" i="1"/>
  <c r="D94" i="1"/>
  <c r="D79" i="1"/>
  <c r="D78" i="1"/>
  <c r="E84" i="1"/>
  <c r="E86" i="1"/>
  <c r="E85" i="1"/>
  <c r="D75" i="1"/>
  <c r="D74" i="1"/>
  <c r="D73" i="1"/>
  <c r="D70" i="1"/>
  <c r="E69" i="1" s="1"/>
  <c r="D67" i="1"/>
  <c r="D64" i="1"/>
  <c r="D63" i="1"/>
  <c r="E62" i="1" s="1"/>
  <c r="D60" i="1"/>
  <c r="D59" i="1"/>
  <c r="E58" i="1" s="1"/>
  <c r="G58" i="1" s="1"/>
  <c r="D56" i="1"/>
  <c r="D55" i="1"/>
  <c r="E66" i="1"/>
  <c r="E50" i="1"/>
  <c r="D52" i="1"/>
  <c r="D51" i="1"/>
  <c r="D47" i="1"/>
  <c r="D48" i="1"/>
  <c r="D44" i="1"/>
  <c r="E42" i="1" s="1"/>
  <c r="E30" i="1"/>
  <c r="G30" i="1"/>
  <c r="D30" i="1"/>
  <c r="D43" i="1"/>
  <c r="D39" i="1"/>
  <c r="D38" i="1"/>
  <c r="G38" i="1"/>
  <c r="G39" i="1"/>
  <c r="G37" i="1"/>
  <c r="E212" i="1" l="1"/>
  <c r="E46" i="1"/>
  <c r="G46" i="1" s="1"/>
  <c r="G50" i="1"/>
  <c r="E54" i="1"/>
  <c r="G54" i="1" s="1"/>
  <c r="D27" i="1"/>
  <c r="D24" i="1"/>
  <c r="E24" i="1" s="1"/>
  <c r="D23" i="1"/>
  <c r="E23" i="1" s="1"/>
  <c r="D22" i="1"/>
  <c r="E22" i="1" s="1"/>
  <c r="D21" i="1"/>
  <c r="E25" i="1"/>
  <c r="E26" i="1"/>
  <c r="E27" i="1"/>
  <c r="E28" i="1"/>
  <c r="E29" i="1"/>
  <c r="E21" i="1"/>
  <c r="D20" i="1"/>
  <c r="E20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2" i="1"/>
  <c r="G33" i="1"/>
  <c r="G34" i="1"/>
  <c r="G35" i="1"/>
  <c r="G36" i="1"/>
  <c r="G4" i="1"/>
  <c r="G294" i="1"/>
  <c r="G295" i="1"/>
  <c r="G296" i="1"/>
  <c r="G293" i="1"/>
  <c r="E192" i="1" l="1"/>
  <c r="G192" i="1" s="1"/>
  <c r="AA168" i="1"/>
  <c r="Z168" i="1"/>
  <c r="AA166" i="1"/>
  <c r="Z166" i="1"/>
  <c r="E279" i="1" l="1"/>
  <c r="D233" i="1"/>
  <c r="D232" i="1"/>
  <c r="E230" i="1" l="1"/>
  <c r="D235" i="1" s="1"/>
  <c r="E240" i="1"/>
  <c r="E153" i="1"/>
  <c r="G153" i="1" s="1"/>
  <c r="E142" i="1"/>
  <c r="G142" i="1" s="1"/>
  <c r="G230" i="1" l="1"/>
  <c r="G240" i="1"/>
  <c r="G282" i="1"/>
  <c r="E72" i="1"/>
  <c r="G72" i="1" s="1"/>
  <c r="E77" i="1"/>
  <c r="G77" i="1" s="1"/>
  <c r="G81" i="1"/>
  <c r="G62" i="1"/>
  <c r="G69" i="1"/>
  <c r="G42" i="1"/>
  <c r="AA69" i="1"/>
  <c r="Z69" i="1"/>
  <c r="AA62" i="1"/>
  <c r="Z62" i="1"/>
  <c r="AA66" i="1"/>
  <c r="Z66" i="1"/>
  <c r="Z42" i="1"/>
  <c r="AA42" i="1"/>
  <c r="E112" i="1" l="1"/>
  <c r="G112" i="1" s="1"/>
  <c r="E109" i="1"/>
  <c r="G109" i="1" s="1"/>
  <c r="E124" i="1"/>
  <c r="E248" i="1"/>
  <c r="G248" i="1" s="1"/>
  <c r="J229" i="1"/>
  <c r="G85" i="1"/>
  <c r="G84" i="1"/>
  <c r="G284" i="1" l="1"/>
  <c r="G102" i="1"/>
  <c r="E51" i="2"/>
  <c r="E52" i="2" s="1"/>
  <c r="E46" i="2"/>
  <c r="E47" i="2" s="1"/>
  <c r="E40" i="2"/>
  <c r="E41" i="2" s="1"/>
  <c r="E32" i="2"/>
  <c r="E31" i="2"/>
  <c r="E294" i="1" l="1"/>
  <c r="E295" i="1"/>
  <c r="E296" i="1"/>
  <c r="E293" i="1"/>
  <c r="G210" i="1"/>
  <c r="H124" i="1"/>
  <c r="E249" i="1"/>
  <c r="E207" i="1"/>
  <c r="E206" i="1"/>
  <c r="G206" i="1" s="1"/>
  <c r="E190" i="1"/>
  <c r="G190" i="1" s="1"/>
  <c r="E191" i="1"/>
  <c r="G191" i="1" s="1"/>
  <c r="E204" i="1"/>
  <c r="G204" i="1" s="1"/>
  <c r="E189" i="1"/>
  <c r="G189" i="1" s="1"/>
  <c r="E136" i="1"/>
  <c r="G136" i="1" s="1"/>
  <c r="E132" i="1"/>
  <c r="G132" i="1" s="1"/>
  <c r="K229" i="1" l="1"/>
  <c r="Z284" i="1" l="1"/>
  <c r="AA284" i="1" l="1"/>
  <c r="Z109" i="1"/>
  <c r="AA109" i="1"/>
  <c r="Z137" i="1"/>
  <c r="AA137" i="1"/>
  <c r="Z159" i="1"/>
  <c r="AA159" i="1"/>
  <c r="Z161" i="1"/>
  <c r="AA161" i="1"/>
  <c r="Z312" i="1"/>
  <c r="AA312" i="1"/>
  <c r="Z314" i="1"/>
  <c r="AA314" i="1"/>
  <c r="Z315" i="1"/>
  <c r="AA315" i="1"/>
  <c r="G298" i="1" l="1"/>
  <c r="G299" i="1" s="1"/>
  <c r="G300" i="1" s="1"/>
</calcChain>
</file>

<file path=xl/sharedStrings.xml><?xml version="1.0" encoding="utf-8"?>
<sst xmlns="http://schemas.openxmlformats.org/spreadsheetml/2006/main" count="721" uniqueCount="297">
  <si>
    <t xml:space="preserve"> </t>
  </si>
  <si>
    <t>Zkrácený popis</t>
  </si>
  <si>
    <t>Podlahy a podlahové konstrukce</t>
  </si>
  <si>
    <t>Izolace proti vodě</t>
  </si>
  <si>
    <t>Ústřední vytápění</t>
  </si>
  <si>
    <t>Konstrukce truhlářské</t>
  </si>
  <si>
    <t>Montáž dveří a zárubní, včetně kování a seřízení</t>
  </si>
  <si>
    <t>Malby</t>
  </si>
  <si>
    <t>M.j.</t>
  </si>
  <si>
    <t>m2</t>
  </si>
  <si>
    <t>kpl</t>
  </si>
  <si>
    <t>m</t>
  </si>
  <si>
    <t>kus</t>
  </si>
  <si>
    <t>Množství</t>
  </si>
  <si>
    <t>Jednotková cena (Kč)</t>
  </si>
  <si>
    <t>Vzduchotechnika</t>
  </si>
  <si>
    <t>Elektroinstalace</t>
  </si>
  <si>
    <t>Číslo</t>
  </si>
  <si>
    <t>Revize elektro</t>
  </si>
  <si>
    <t>Stěny, příčky a podhledy</t>
  </si>
  <si>
    <t>Úprava povrchů vnitřní - omítky</t>
  </si>
  <si>
    <t>Odvoz a likvidace odpadů</t>
  </si>
  <si>
    <t>Přesun hmot</t>
  </si>
  <si>
    <t>Hrubý a čistý úklid</t>
  </si>
  <si>
    <t>Ostatní</t>
  </si>
  <si>
    <t>Celková cena (Kč)</t>
  </si>
  <si>
    <t>Celkové náklady</t>
  </si>
  <si>
    <t>Výpočet</t>
  </si>
  <si>
    <t>ZTI</t>
  </si>
  <si>
    <t>Silnoproud vč. vysekání drážek (nové kompletní provedení od elektroměru) - světlo je zakončeno objímkou se žárovkou, vypínače a zásuvky - styl bílé Tango</t>
  </si>
  <si>
    <t>Slaboproud vč. vysekání drážek (nové kompletní provedení od vstupních dveří) - kabel pro TV (anténa + UPT)</t>
  </si>
  <si>
    <t>Obklady a dlažba</t>
  </si>
  <si>
    <t>Cena rekonstrukce - celkem bez DPH</t>
  </si>
  <si>
    <t>Cena rekonstrukce - celkem včetně DPH</t>
  </si>
  <si>
    <t>DPH 21%</t>
  </si>
  <si>
    <t xml:space="preserve">Montáž překladů </t>
  </si>
  <si>
    <t xml:space="preserve">Montáž podlahových lišt - soklové lišty </t>
  </si>
  <si>
    <t xml:space="preserve">Montáž podlahových lišt - přechodové lišty </t>
  </si>
  <si>
    <t>D+M, Set závěsného WC Vitra včetně nádrže</t>
  </si>
  <si>
    <t>D+M, Umyvadlo Vitra + baterie Optima + stříbrný sifon</t>
  </si>
  <si>
    <r>
      <t xml:space="preserve">Multi sifon umyvadlová baňka bez vtoku - </t>
    </r>
    <r>
      <rPr>
        <b/>
        <sz val="8"/>
        <color indexed="61"/>
        <rFont val="Arial"/>
        <family val="2"/>
        <charset val="238"/>
      </rPr>
      <t>SIF674</t>
    </r>
  </si>
  <si>
    <t>D+M, Sprchový kout 900 mm Siko + baterie se sprchou Vitra + sifon</t>
  </si>
  <si>
    <t xml:space="preserve">El. Větrák DN 120 </t>
  </si>
  <si>
    <t>dodá investor</t>
  </si>
  <si>
    <t>ks</t>
  </si>
  <si>
    <t>Izolační nátěr proti stékající vodě v koupelně</t>
  </si>
  <si>
    <t xml:space="preserve">Kanalizace vnitřní vč. materiálu - kompletní napojení na stoupačky </t>
  </si>
  <si>
    <t xml:space="preserve">Voda teplá a studená vč. materiálu - kompletní napojení na stoupačky </t>
  </si>
  <si>
    <t>Montáž kuchyňské linky, včetně napojení rozvody vody a odpadů</t>
  </si>
  <si>
    <t>Montáž dlažby vč. soklu (chodba)</t>
  </si>
  <si>
    <r>
      <t>Umyvadlová baterie stojánková Optima -</t>
    </r>
    <r>
      <rPr>
        <b/>
        <sz val="8"/>
        <color indexed="61"/>
        <rFont val="Arial"/>
        <family val="2"/>
        <charset val="238"/>
      </rPr>
      <t xml:space="preserve"> CU271</t>
    </r>
  </si>
  <si>
    <r>
      <t xml:space="preserve">Sprchový kout čtvercový 90x90 cm - </t>
    </r>
    <r>
      <rPr>
        <b/>
        <sz val="8"/>
        <color indexed="61"/>
        <rFont val="Arial"/>
        <family val="2"/>
        <charset val="238"/>
      </rPr>
      <t xml:space="preserve"> SIKOPROFILSK + SIKOSK90 + SIKOMADLO3</t>
    </r>
  </si>
  <si>
    <r>
      <t xml:space="preserve">Hadice Optima - </t>
    </r>
    <r>
      <rPr>
        <b/>
        <sz val="8"/>
        <color indexed="8"/>
        <rFont val="Arial"/>
        <family val="2"/>
        <charset val="238"/>
      </rPr>
      <t>OP085</t>
    </r>
  </si>
  <si>
    <r>
      <t xml:space="preserve">Ruční sprcha - </t>
    </r>
    <r>
      <rPr>
        <b/>
        <sz val="8"/>
        <color indexed="61"/>
        <rFont val="Arial"/>
        <family val="2"/>
        <charset val="238"/>
      </rPr>
      <t>SIKOBSRST34</t>
    </r>
  </si>
  <si>
    <r>
      <t xml:space="preserve">Sada chycení umyvadla - </t>
    </r>
    <r>
      <rPr>
        <b/>
        <sz val="8"/>
        <color indexed="61"/>
        <rFont val="Arial"/>
        <family val="2"/>
        <charset val="238"/>
      </rPr>
      <t>SADAUM</t>
    </r>
  </si>
  <si>
    <t>D+M, Pračkový sifon + ventil</t>
  </si>
  <si>
    <r>
      <t xml:space="preserve">pračkový ventil - </t>
    </r>
    <r>
      <rPr>
        <b/>
        <sz val="8"/>
        <color indexed="61"/>
        <rFont val="Arial"/>
        <family val="2"/>
        <charset val="238"/>
      </rPr>
      <t>05440</t>
    </r>
  </si>
  <si>
    <r>
      <t xml:space="preserve">Sprchová baterie nástěnná Optima, 150 mm - </t>
    </r>
    <r>
      <rPr>
        <b/>
        <sz val="8"/>
        <color indexed="61"/>
        <rFont val="Arial"/>
        <family val="2"/>
        <charset val="238"/>
      </rPr>
      <t>CU215</t>
    </r>
  </si>
  <si>
    <r>
      <t xml:space="preserve">Nádržka k WC Tece Tece do SDK - </t>
    </r>
    <r>
      <rPr>
        <b/>
        <sz val="8"/>
        <color indexed="61"/>
        <rFont val="Arial"/>
        <family val="2"/>
        <charset val="238"/>
      </rPr>
      <t>TEPROFILAMBAR</t>
    </r>
  </si>
  <si>
    <r>
      <t xml:space="preserve">pračkový sifon podomítkový - </t>
    </r>
    <r>
      <rPr>
        <b/>
        <sz val="8"/>
        <color indexed="61"/>
        <rFont val="Arial"/>
        <family val="2"/>
        <charset val="238"/>
      </rPr>
      <t>E400CR</t>
    </r>
  </si>
  <si>
    <r>
      <t xml:space="preserve">Umyvadlo Vitra S50 55x45 cm - </t>
    </r>
    <r>
      <rPr>
        <b/>
        <sz val="8"/>
        <color indexed="61"/>
        <rFont val="Arial"/>
        <family val="2"/>
        <charset val="238"/>
      </rPr>
      <t>CUBE260ZB</t>
    </r>
  </si>
  <si>
    <r>
      <t xml:space="preserve">Závěsné WC Vitra S50 - </t>
    </r>
    <r>
      <rPr>
        <b/>
        <sz val="8"/>
        <color rgb="FF000000"/>
        <rFont val="Arial"/>
        <family val="2"/>
        <charset val="238"/>
      </rPr>
      <t>HA010</t>
    </r>
  </si>
  <si>
    <r>
      <t>WC sedátko Glacera -</t>
    </r>
    <r>
      <rPr>
        <b/>
        <sz val="8"/>
        <color indexed="61"/>
        <rFont val="Arial"/>
        <family val="2"/>
        <charset val="238"/>
      </rPr>
      <t xml:space="preserve"> HA030S</t>
    </r>
  </si>
  <si>
    <r>
      <t>Vtok 5/4 s malou zátkou -</t>
    </r>
    <r>
      <rPr>
        <b/>
        <sz val="8"/>
        <color indexed="61"/>
        <rFont val="Arial"/>
        <family val="2"/>
        <charset val="238"/>
      </rPr>
      <t xml:space="preserve"> VF785CRQ</t>
    </r>
  </si>
  <si>
    <r>
      <t xml:space="preserve">Sprchová hlavice 30 cm, Optima - </t>
    </r>
    <r>
      <rPr>
        <b/>
        <sz val="8"/>
        <color indexed="8"/>
        <rFont val="Arial"/>
        <family val="2"/>
        <charset val="238"/>
      </rPr>
      <t>OPH008</t>
    </r>
  </si>
  <si>
    <r>
      <t xml:space="preserve">Pevné rameno  - </t>
    </r>
    <r>
      <rPr>
        <b/>
        <sz val="8"/>
        <color rgb="FF1A3138"/>
        <rFont val="Arial"/>
        <family val="2"/>
        <charset val="238"/>
      </rPr>
      <t>OPH007</t>
    </r>
  </si>
  <si>
    <r>
      <t xml:space="preserve">vyústěním sprchy - </t>
    </r>
    <r>
      <rPr>
        <b/>
        <sz val="8"/>
        <color indexed="61"/>
        <rFont val="Arial"/>
        <family val="2"/>
        <charset val="238"/>
      </rPr>
      <t>SIKOBSPVZ41</t>
    </r>
  </si>
  <si>
    <r>
      <t xml:space="preserve">Ruční sprcha - </t>
    </r>
    <r>
      <rPr>
        <b/>
        <sz val="8"/>
        <color indexed="61"/>
        <rFont val="Arial"/>
        <family val="2"/>
        <charset val="238"/>
      </rPr>
      <t>SIKOBSDPK43</t>
    </r>
  </si>
  <si>
    <r>
      <t xml:space="preserve">Sprchový žlab - </t>
    </r>
    <r>
      <rPr>
        <b/>
        <sz val="8"/>
        <color rgb="FF000000"/>
        <rFont val="Arial"/>
        <family val="2"/>
        <charset val="238"/>
      </rPr>
      <t>ZLABLUX80 + ROSTLUX801</t>
    </r>
  </si>
  <si>
    <r>
      <t xml:space="preserve">Sprchový kout  120x200 cm - </t>
    </r>
    <r>
      <rPr>
        <b/>
        <sz val="8"/>
        <color indexed="61"/>
        <rFont val="Arial"/>
        <family val="2"/>
        <charset val="238"/>
      </rPr>
      <t xml:space="preserve"> SIKOWIXM120 + SIKOWIXMZAV2 + SIKOWIXMPROFIL + SIKOWIXMNIKAP</t>
    </r>
  </si>
  <si>
    <t xml:space="preserve">Montáž obkladů vč. nerezových lišt (kuchyň 600 mm) </t>
  </si>
  <si>
    <r>
      <t xml:space="preserve">Lepidlo na obklad a dlažbu - </t>
    </r>
    <r>
      <rPr>
        <b/>
        <sz val="8"/>
        <color rgb="FF000000"/>
        <rFont val="Arial"/>
        <family val="2"/>
        <charset val="238"/>
      </rPr>
      <t>LFLEX20</t>
    </r>
  </si>
  <si>
    <r>
      <t xml:space="preserve">Nerezové lišty 12x2500 mm - </t>
    </r>
    <r>
      <rPr>
        <b/>
        <sz val="8"/>
        <color rgb="FF000000"/>
        <rFont val="Arial"/>
        <family val="2"/>
        <charset val="238"/>
      </rPr>
      <t>NRZK12250</t>
    </r>
  </si>
  <si>
    <r>
      <t xml:space="preserve">Hydroizolační páska - </t>
    </r>
    <r>
      <rPr>
        <b/>
        <sz val="8"/>
        <color rgb="FF000000"/>
        <rFont val="Arial"/>
        <family val="2"/>
        <charset val="238"/>
      </rPr>
      <t>CL252</t>
    </r>
  </si>
  <si>
    <t>bm</t>
  </si>
  <si>
    <r>
      <t xml:space="preserve">Hydroizolační stěrka - </t>
    </r>
    <r>
      <rPr>
        <b/>
        <sz val="8"/>
        <color rgb="FF000000"/>
        <rFont val="Arial"/>
        <family val="2"/>
        <charset val="238"/>
      </rPr>
      <t>CL5115</t>
    </r>
  </si>
  <si>
    <r>
      <t xml:space="preserve">Nerezové lišty 12x2500 mm - </t>
    </r>
    <r>
      <rPr>
        <b/>
        <sz val="8"/>
        <color rgb="FF000000"/>
        <rFont val="Arial"/>
        <family val="2"/>
        <charset val="238"/>
      </rPr>
      <t>NRZH12250</t>
    </r>
  </si>
  <si>
    <t xml:space="preserve">m2 </t>
  </si>
  <si>
    <t>Montáž dlažby vč. soklu (zádveří+technická místnost)</t>
  </si>
  <si>
    <r>
      <t xml:space="preserve">Keramická dlažba TABACCO - </t>
    </r>
    <r>
      <rPr>
        <b/>
        <sz val="8"/>
        <color rgb="FF000000"/>
        <rFont val="Arial"/>
        <family val="2"/>
        <charset val="238"/>
      </rPr>
      <t>EXPLORER7542</t>
    </r>
    <r>
      <rPr>
        <sz val="8"/>
        <color indexed="62"/>
        <rFont val="Arial"/>
        <family val="2"/>
        <charset val="238"/>
      </rPr>
      <t xml:space="preserve"> </t>
    </r>
    <r>
      <rPr>
        <b/>
        <sz val="8"/>
        <color indexed="62"/>
        <rFont val="Arial"/>
        <family val="2"/>
        <charset val="238"/>
      </rPr>
      <t xml:space="preserve"> </t>
    </r>
    <r>
      <rPr>
        <sz val="8"/>
        <color indexed="62"/>
        <rFont val="Arial"/>
        <family val="2"/>
        <charset val="238"/>
      </rPr>
      <t xml:space="preserve">(+20%) </t>
    </r>
  </si>
  <si>
    <r>
      <t xml:space="preserve">Keramická dlažba GRIGIO - </t>
    </r>
    <r>
      <rPr>
        <b/>
        <sz val="8"/>
        <color rgb="FF000000"/>
        <rFont val="Arial"/>
        <family val="2"/>
        <charset val="238"/>
      </rPr>
      <t>EXPLORER7540</t>
    </r>
    <r>
      <rPr>
        <sz val="8"/>
        <color indexed="62"/>
        <rFont val="Arial"/>
        <family val="2"/>
        <charset val="238"/>
      </rPr>
      <t xml:space="preserve"> </t>
    </r>
    <r>
      <rPr>
        <b/>
        <sz val="8"/>
        <color indexed="62"/>
        <rFont val="Arial"/>
        <family val="2"/>
        <charset val="238"/>
      </rPr>
      <t xml:space="preserve"> </t>
    </r>
    <r>
      <rPr>
        <sz val="8"/>
        <color indexed="62"/>
        <rFont val="Arial"/>
        <family val="2"/>
        <charset val="238"/>
      </rPr>
      <t xml:space="preserve">(+20%) </t>
    </r>
  </si>
  <si>
    <r>
      <t>Keramický obklad -</t>
    </r>
    <r>
      <rPr>
        <b/>
        <sz val="8"/>
        <color indexed="61"/>
        <rFont val="Arial"/>
        <family val="2"/>
        <charset val="238"/>
      </rPr>
      <t xml:space="preserve">  FINEZA49421</t>
    </r>
  </si>
  <si>
    <r>
      <t>Keramický obklad -</t>
    </r>
    <r>
      <rPr>
        <b/>
        <sz val="8"/>
        <color indexed="61"/>
        <rFont val="Arial"/>
        <family val="2"/>
        <charset val="238"/>
      </rPr>
      <t xml:space="preserve"> SHARKS60LR (+20%) </t>
    </r>
  </si>
  <si>
    <r>
      <t xml:space="preserve">Keramický obklad -  </t>
    </r>
    <r>
      <rPr>
        <b/>
        <sz val="8"/>
        <color rgb="FF000000"/>
        <rFont val="Arial"/>
        <family val="2"/>
        <charset val="238"/>
      </rPr>
      <t>MA12325</t>
    </r>
  </si>
  <si>
    <r>
      <t xml:space="preserve">Spárovací hmota - </t>
    </r>
    <r>
      <rPr>
        <b/>
        <sz val="8"/>
        <color rgb="FF000000"/>
        <rFont val="Arial"/>
        <family val="2"/>
        <charset val="238"/>
      </rPr>
      <t>CE40504</t>
    </r>
    <r>
      <rPr>
        <sz val="8"/>
        <color indexed="61"/>
        <rFont val="Arial"/>
        <family val="2"/>
        <charset val="238"/>
      </rPr>
      <t xml:space="preserve"> - SILVER</t>
    </r>
  </si>
  <si>
    <r>
      <t xml:space="preserve">Silikon - </t>
    </r>
    <r>
      <rPr>
        <b/>
        <sz val="8"/>
        <color rgb="FF000000"/>
        <rFont val="Arial"/>
        <family val="2"/>
        <charset val="238"/>
      </rPr>
      <t>CS2504</t>
    </r>
    <r>
      <rPr>
        <sz val="8"/>
        <color indexed="61"/>
        <rFont val="Arial"/>
        <family val="2"/>
        <charset val="238"/>
      </rPr>
      <t xml:space="preserve"> - SILVER</t>
    </r>
  </si>
  <si>
    <r>
      <t xml:space="preserve">Spárovací hmota - </t>
    </r>
    <r>
      <rPr>
        <b/>
        <sz val="8"/>
        <color rgb="FF000000"/>
        <rFont val="Arial"/>
        <family val="2"/>
        <charset val="238"/>
      </rPr>
      <t>CE40544</t>
    </r>
    <r>
      <rPr>
        <sz val="8"/>
        <color indexed="61"/>
        <rFont val="Arial"/>
        <family val="2"/>
        <charset val="238"/>
      </rPr>
      <t xml:space="preserve"> - TOFI</t>
    </r>
  </si>
  <si>
    <r>
      <t xml:space="preserve">Silikon - </t>
    </r>
    <r>
      <rPr>
        <b/>
        <sz val="8"/>
        <color rgb="FF000000"/>
        <rFont val="Arial"/>
        <family val="2"/>
        <charset val="238"/>
      </rPr>
      <t>CS2544</t>
    </r>
    <r>
      <rPr>
        <sz val="8"/>
        <color indexed="61"/>
        <rFont val="Arial"/>
        <family val="2"/>
        <charset val="238"/>
      </rPr>
      <t xml:space="preserve"> - TOFI</t>
    </r>
  </si>
  <si>
    <t>Spárovací hmota - SILVER</t>
  </si>
  <si>
    <t>Silikon - SILVER</t>
  </si>
  <si>
    <t>Spárovací hmota - JASMÍNE</t>
  </si>
  <si>
    <t>Silikon - JASMÍNE</t>
  </si>
  <si>
    <r>
      <t xml:space="preserve">Spárovací hmota - </t>
    </r>
    <r>
      <rPr>
        <b/>
        <sz val="8"/>
        <color rgb="FF000000"/>
        <rFont val="Arial"/>
        <family val="2"/>
        <charset val="238"/>
      </rPr>
      <t>CE40540</t>
    </r>
    <r>
      <rPr>
        <sz val="8"/>
        <color indexed="62"/>
        <rFont val="Arial"/>
        <family val="2"/>
        <charset val="238"/>
      </rPr>
      <t xml:space="preserve"> - JASMÍNE</t>
    </r>
  </si>
  <si>
    <r>
      <t xml:space="preserve">Silikon - </t>
    </r>
    <r>
      <rPr>
        <b/>
        <sz val="8"/>
        <color rgb="FF000000"/>
        <rFont val="Arial"/>
        <family val="2"/>
        <charset val="238"/>
      </rPr>
      <t>CS2540</t>
    </r>
    <r>
      <rPr>
        <sz val="8"/>
        <color indexed="62"/>
        <rFont val="Arial"/>
        <family val="2"/>
        <charset val="238"/>
      </rPr>
      <t xml:space="preserve"> - JASMÍNE</t>
    </r>
  </si>
  <si>
    <t xml:space="preserve">Kuchyňská linka </t>
  </si>
  <si>
    <t xml:space="preserve">Podlahové přechodové lišty (+8%) - </t>
  </si>
  <si>
    <t>Osvětlení do SDK podhledů</t>
  </si>
  <si>
    <t>Hydroizolační stěrka - CL5115</t>
  </si>
  <si>
    <t>pračkový ventil - 05440</t>
  </si>
  <si>
    <t>pračkový sifon podomítkový - E400CR</t>
  </si>
  <si>
    <t>Závěsné WC Vitra S50 - HA010</t>
  </si>
  <si>
    <t>WC sedátko Glacera - HA030S</t>
  </si>
  <si>
    <t>Umyvadlová baterie stojánková Optima - CU271</t>
  </si>
  <si>
    <t>Multi sifon umyvadlová baňka bez vtoku - SIF674</t>
  </si>
  <si>
    <t>Vtok 5/4 s malou zátkou - VF785CRQ</t>
  </si>
  <si>
    <t>Sada chycení umyvadla - SADAUM</t>
  </si>
  <si>
    <t>Pevné rameno  - OPH007</t>
  </si>
  <si>
    <t>Hadice Optima - OP085</t>
  </si>
  <si>
    <t>Ruční sprcha - SIKOBSRST34</t>
  </si>
  <si>
    <t>Baterie nástěnná - CU215</t>
  </si>
  <si>
    <t>Automat. Zátka s napouštěním - SUCRTEK</t>
  </si>
  <si>
    <t>Sifon - E719</t>
  </si>
  <si>
    <t>Nerezové lišty 12x2500 mm - NRZK12250</t>
  </si>
  <si>
    <t>Lepidlo na obklad a dlažbu - LFLEX20</t>
  </si>
  <si>
    <t>Spárovací hmota - CE40544 - TOFI</t>
  </si>
  <si>
    <t>Silikon - CS2544 - TOFI</t>
  </si>
  <si>
    <t>Nerezové lišty 12x2500 mm - NRZH12250</t>
  </si>
  <si>
    <t>Silikon - CS2540 - JASMÍNE</t>
  </si>
  <si>
    <t>Předstěny z SDK s výztuhou vč. materiálu</t>
  </si>
  <si>
    <t>Bourací konstrukce</t>
  </si>
  <si>
    <t>Montáž mezibytových stěn z tvárnic Ytong P2 - 500 tl. 250 mm na lepidlo Ytong vč. Materiálu</t>
  </si>
  <si>
    <t>SDK podhled - (Koupelna, WC) včetně parozábrany, SDK profilů a izolace (tloušťka izolace 280 mm) vč. Materiálu (zelený)</t>
  </si>
  <si>
    <t xml:space="preserve">Omítka vč. lišt - lepidlo + perlinka, štuková omítka - stěny </t>
  </si>
  <si>
    <t>Montáž roznášecí vrstvy podlahy tl. 50 mm, beton C16/20</t>
  </si>
  <si>
    <t>Montáž obkladů a dlažby vč. nerezových lišt (výška dle stěny)</t>
  </si>
  <si>
    <t>Provedení SDK příček tl. 100 mm (typ W111 tloušťka 100 mm, s izolací, Použitý SDK - Bílý) vč. Materiálu</t>
  </si>
  <si>
    <t>Led pásky + lišty</t>
  </si>
  <si>
    <t>Vana Jika Cubito -  2342.0.000.000.1</t>
  </si>
  <si>
    <t>Podpěry na vanu -  9483.4.000.000.1</t>
  </si>
  <si>
    <t>Držák ruční sprchy - SIKOBSDPK43</t>
  </si>
  <si>
    <t>Penetrace SDK podkladu včetně materiálu</t>
  </si>
  <si>
    <t>Malba Primalex Plus, bílá - stěna + strop min. 2x včetně materiálu</t>
  </si>
  <si>
    <t>D+M, Vana 1800x800 mm + sifon + baterie se sprchou</t>
  </si>
  <si>
    <t xml:space="preserve">Svislá doprava odpadu </t>
  </si>
  <si>
    <t>Nádržka k WC Tece Tece do SDK - TEBOX300</t>
  </si>
  <si>
    <t>Sprchový kout  90x90 cm - SIKOTEXQ90CRT + SIKOMADLO3</t>
  </si>
  <si>
    <t>Držák  - SIKOBSPVZ41</t>
  </si>
  <si>
    <t>Hydroizolační páska - CL152</t>
  </si>
  <si>
    <t>1.NP</t>
  </si>
  <si>
    <t>Demontáž původních oken 993 x 1511 mm ve stěně tloušťky 450 mm, 1.NP</t>
  </si>
  <si>
    <t>Demontáž původních oken 1740 x 1450 mm ve stěně tloušťky 450 mm, 1.NP</t>
  </si>
  <si>
    <t>Demontáž původních oken  1740 x 1450 mm ve stěně tloušťky 450 mm, 1.NP</t>
  </si>
  <si>
    <t>Demontáž původních oken 1170 x 1150 mm ve stěně tloušťky 450 mm, 1.NP</t>
  </si>
  <si>
    <t>Demontáž původních oken 940 x 1650 mm ve stěně tloušťky 450 mm, 1.NP</t>
  </si>
  <si>
    <t>Demontáž původních dveří 1162 x 2274 mm ve stěně tloušťky 450 mm, 1.NP</t>
  </si>
  <si>
    <t>Demontáž původních dveří  976 x 2143 mm ve stěně tloušťky 450 mm, 1.NP</t>
  </si>
  <si>
    <t>Demontáž půdovních oken 800 x 1150 mm ve stěně tloušťky 450 mm, 1.NP</t>
  </si>
  <si>
    <t>Demontáž původních oken 993 x 1511 mm ve stěně tloušťky 450 mm, 2.NP</t>
  </si>
  <si>
    <t>Demontáž půdovních dveří 871 x 2171 mm ve stěně tloušťky 450 mm, 2.NP</t>
  </si>
  <si>
    <t>Demontáž původních oken 1758 x 1258 mm ve stěně tloušťky 450 mm, 2.NP</t>
  </si>
  <si>
    <t>Demontáž původních oken 1749 x 1276 mm ve stěně tloušťky 450 mm, 2.NP</t>
  </si>
  <si>
    <t>2.NP</t>
  </si>
  <si>
    <t>Bourání otvorů ve stěně tloušťky 150 mm</t>
  </si>
  <si>
    <t>Bourání nadpraží ve stěně tloušťky 450 mm</t>
  </si>
  <si>
    <t xml:space="preserve">Bourání krbu </t>
  </si>
  <si>
    <t>Bourání komínu (šikmé vedení)</t>
  </si>
  <si>
    <t>Bourání stěny z cihel  tl. 150 mm v koupelně</t>
  </si>
  <si>
    <t>Bourání stěny z cihel tl. 70 mm na chodbě</t>
  </si>
  <si>
    <t xml:space="preserve">Bourání dlažby na chodbě, před schodištěm </t>
  </si>
  <si>
    <t xml:space="preserve">Bourání dlažby a obkladu v koupelně </t>
  </si>
  <si>
    <t>Odstranění dřevěné podlahové konstrukce v bytě A</t>
  </si>
  <si>
    <t>1.PP</t>
  </si>
  <si>
    <t>Vybourání otvoru pro kanalizaci</t>
  </si>
  <si>
    <t>Chodba / Byt C</t>
  </si>
  <si>
    <t>Byt A/Byt B</t>
  </si>
  <si>
    <t>O06</t>
  </si>
  <si>
    <t>O12</t>
  </si>
  <si>
    <t>Zazdívání otvorů z tvárnic ytong tl. 100 mm, na lepidlo ytong vč. Materiálu</t>
  </si>
  <si>
    <t>Byt B - koupelna/chodba</t>
  </si>
  <si>
    <t>Zazdívání otvorů z tvárnic ytong tl. 150 mm, na lepidlo ytong vč. Materiálu</t>
  </si>
  <si>
    <t>Byt C - Chodba/kuchyň</t>
  </si>
  <si>
    <t>Vstupní dveře D03</t>
  </si>
  <si>
    <t xml:space="preserve">Byt C - O09 </t>
  </si>
  <si>
    <t>Byt C - Kuchyň/pokoj</t>
  </si>
  <si>
    <t>Byt C - Pokoj/pokoj</t>
  </si>
  <si>
    <t xml:space="preserve">2.NP </t>
  </si>
  <si>
    <t>Koupelna vč. WC - Byt A</t>
  </si>
  <si>
    <t>Koupelna vč. WC - Byt C</t>
  </si>
  <si>
    <t>Chodba/pokoj - Byt C</t>
  </si>
  <si>
    <t>Provedení SDK příček v koupelně a WC, tl. 100 mm s izolací (typ W111 tloušťka 100 mm, Použitý SDK - Zelený - koupelna, bílý - vně) vč. Materiálu</t>
  </si>
  <si>
    <t>Provedení SDK příček tl. 70 mm (typ W111 tloušťka 100 mm, bez izolace, Použitý SDK - Bílý) vč. Materiálu</t>
  </si>
  <si>
    <t>Byt A - lednice</t>
  </si>
  <si>
    <t>Byt A - koupelna + WC</t>
  </si>
  <si>
    <t>Byt B - koupelna + WC</t>
  </si>
  <si>
    <t>Byt C - koupelny</t>
  </si>
  <si>
    <t>SDK podhled - (obytné místnosti, chodby) včetně parozábrany, SDK profilů a izolace (tloušťka izolace 280 mm)  vč. Materiálu</t>
  </si>
  <si>
    <t xml:space="preserve">Byt C - obytné místnosti + chodba </t>
  </si>
  <si>
    <t>Byt C - Pokoj/pokoj, tl. 300 mm.</t>
  </si>
  <si>
    <t>Byt C - Chodba/kuchyně, tl. 150 mm</t>
  </si>
  <si>
    <t>Byt A - koupelna (stropní konstrukci doplnit pojistnou hydroizolací z horní části)</t>
  </si>
  <si>
    <t>Byt A</t>
  </si>
  <si>
    <t>Byt B</t>
  </si>
  <si>
    <t>Byt C</t>
  </si>
  <si>
    <t>Společné prostory (chodba)</t>
  </si>
  <si>
    <t>Úprava povrchů vnější - omítky</t>
  </si>
  <si>
    <t>Vyspravení a výmalba fasádní barvou, barva bude určena v průběhu rekonstrukce</t>
  </si>
  <si>
    <t xml:space="preserve">Montáž plovoucí laminátové podlahy vč. parozábrany a podložky </t>
  </si>
  <si>
    <t>Byt A - pokoj</t>
  </si>
  <si>
    <t>Byt B - Ložnice, obývací pokoj s kuchyní, chodba</t>
  </si>
  <si>
    <t>Byt C - Chodba, obývací pokoj s kuchyní, ložnice, pokoj</t>
  </si>
  <si>
    <t>Plovoucí laminátová podlaha (+8%)  - FLOORCLIC SOLUTION FV 55089 Dub Grand + podložka 2 mm</t>
  </si>
  <si>
    <t>Podlahové soklové lišty (+8%) - MDF60 FLOORCLIC SOLUTION FV 55089 Dub Grand</t>
  </si>
  <si>
    <t xml:space="preserve">Byt C - koupelna </t>
  </si>
  <si>
    <t>Montáž asfaltového pásu na střešní konstrukci (natavení)</t>
  </si>
  <si>
    <t>Montáž podlahových desek Fermacell Powerpanel TE v koupelně - Byt C</t>
  </si>
  <si>
    <t>Umyvadlo 60x40 cm - CUBE260ZBL</t>
  </si>
  <si>
    <t>Umyvadlo 60x40 cm - CU6050</t>
  </si>
  <si>
    <t>Umyvadlová baterie stojánková Sat - SATBSBW271</t>
  </si>
  <si>
    <t>Sprchová hlavice 30 cm, SAT - SATBSHSBW</t>
  </si>
  <si>
    <t>Pevné rameno  - SATBSRKBW</t>
  </si>
  <si>
    <t>Hadice SAT - SATBSHPBW</t>
  </si>
  <si>
    <t>Ruční sprcha - SATBSPVBW</t>
  </si>
  <si>
    <t>vyústěním sprchy - SATBSRS34C</t>
  </si>
  <si>
    <t>Sprchová baterie nástěnná SATBSBW215</t>
  </si>
  <si>
    <t>Sprchový žlab - SATAZ100ZM</t>
  </si>
  <si>
    <t>Sprchový kout  120x200 cm -  SATTEXDBB120CT + SATMADLO2C</t>
  </si>
  <si>
    <t>Sprchový žlab - 15.100.070</t>
  </si>
  <si>
    <t>Sprchový kout  120x200 cm -  SATBWIXM120 + SATWIXMSTENA80CR</t>
  </si>
  <si>
    <t>Sprchová baterie nástěnná - CU215</t>
  </si>
  <si>
    <t>Sprchová hlavice 30 cm, - OPH008</t>
  </si>
  <si>
    <t>Multi sifon umyvadlová baňka bez vtoku - E560</t>
  </si>
  <si>
    <t>Vtok 5/4 s malou zátkou - VF785BL</t>
  </si>
  <si>
    <t>vyústěním sprchy - sikobspvd42</t>
  </si>
  <si>
    <t>SADAWC</t>
  </si>
  <si>
    <t>Elektrický kotel 14 Kw + nádrž s nepřímým ohřevem vody 200 L</t>
  </si>
  <si>
    <t xml:space="preserve">Montáž elektrokotle včetně napojení a zprovoznění </t>
  </si>
  <si>
    <t>Revizní zpráva</t>
  </si>
  <si>
    <t>Revizní zpráva na zapojení kotle</t>
  </si>
  <si>
    <t>Nová rozváděčová skříň nad vstupními dveřmi, bílá včetně vystrojení (3x25A) - společné prostory</t>
  </si>
  <si>
    <t>Nová rozváděčová skříň nad dveřmi, bílá včetně vystrojení (3x20A) - byt A,B,C</t>
  </si>
  <si>
    <t xml:space="preserve">Radiátory Radik </t>
  </si>
  <si>
    <t>Montáž radiátorů včetně napojení a zprovoznění systému</t>
  </si>
  <si>
    <t>otopná tělesa do koupelny</t>
  </si>
  <si>
    <t>Byt A -  NOBILEMI</t>
  </si>
  <si>
    <t>Byt A - WHITE36LESK</t>
  </si>
  <si>
    <t>Byt B -  NOBILEMI</t>
  </si>
  <si>
    <t>Byt B - WHITE36LESK</t>
  </si>
  <si>
    <t>Byt C -  NOBILEMI</t>
  </si>
  <si>
    <t>Byt C - WHITE36LESK</t>
  </si>
  <si>
    <t>Keramický obklad - koupelna + wc</t>
  </si>
  <si>
    <t>Spárovací hmota - CE40501 - bílá</t>
  </si>
  <si>
    <t>Silikon - CS2501 - bílá</t>
  </si>
  <si>
    <t>Keramický obklad -  IPIETRA60LAPWH</t>
  </si>
  <si>
    <t>Spárovací hmota - CE40501</t>
  </si>
  <si>
    <t>Silikon - CS2501</t>
  </si>
  <si>
    <t>BYT C KOUPELNA 2 - MILA60BE (CLS0260) dlažba</t>
  </si>
  <si>
    <t>BYT C KOUPELNA 2 - MILA36BE (CLS0230) obklad</t>
  </si>
  <si>
    <t>silikon - CS2525 - sahara</t>
  </si>
  <si>
    <t>Byt A - STR4PV</t>
  </si>
  <si>
    <t>Byt B - STR4PV</t>
  </si>
  <si>
    <t>Byt C - STR4PV</t>
  </si>
  <si>
    <t>zárubně ocelové, bílý nátěr (vstupy do bytů) - 1x 800 mm levé, 2x 800 mm pravé (TLOUŠŤKA 250 MM)</t>
  </si>
  <si>
    <t>Montáž střešního okna 60x120 cm</t>
  </si>
  <si>
    <t xml:space="preserve">Střešní okno velux </t>
  </si>
  <si>
    <t>zárubně ocelové, bílý nátěr - 1x 700 mm levé, 1x 800 mm pravé, (TLOUŠŤKA 100 MM)</t>
  </si>
  <si>
    <t>zárubně ocelové, bílý nátěr - 1x 800 mm levé, 2x 800 mm pravé, (TLOUŠŤKA 150 MM)</t>
  </si>
  <si>
    <t>Společné prostory</t>
  </si>
  <si>
    <t>Dveře s obložkami</t>
  </si>
  <si>
    <t xml:space="preserve">Byt A </t>
  </si>
  <si>
    <t>- PERMABB70P, O2BB70P, KLIKACUBEWC, ZAMEKWC</t>
  </si>
  <si>
    <t>- PERMABB70L, O2BB70L, KLIKACUBEWC, ZAMEKWC</t>
  </si>
  <si>
    <t>- PERMABB80P, KLIKACUBE</t>
  </si>
  <si>
    <t>- PERMABB80L, KLIKACUBE</t>
  </si>
  <si>
    <t>- PERMABB70L, O6BB70L, KLIKACUBEWC, ZAMEKWC</t>
  </si>
  <si>
    <t>- PERMABB80P, O4BB80P, KLIKACUBE</t>
  </si>
  <si>
    <t>- PERMABB80L, O4BB80L, KLIKACUBE</t>
  </si>
  <si>
    <t>- PERMABB80P, O12BB80P, KLIKACUBE</t>
  </si>
  <si>
    <t>- PERMABB80P, O1BB80P, KLIKACUBE</t>
  </si>
  <si>
    <t>- IBIZABB70L, KLIKACUBEWB, ZAMEKWB</t>
  </si>
  <si>
    <t>- IBIZABB80P, KLIKACUBEWB, ZAMEKWB</t>
  </si>
  <si>
    <t>- ENTRYJA80L, BETAINOXPLUSMAKL72, ZAMEKWB, FAB3035</t>
  </si>
  <si>
    <t>- ENTRYJA80P, BETAINOXPLUSMAKL72, ZAMEKWB, FAB3035</t>
  </si>
  <si>
    <t>Zbroušení dřevěných prken balkónu + 2x ochranný nátěr bezbarvý</t>
  </si>
  <si>
    <t>Zbroušení nosné konstrukce zábradlí + ochranný nátěr (obnovení původní barvy - hnědo červená)</t>
  </si>
  <si>
    <t>m3</t>
  </si>
  <si>
    <t>Bourání otvoru ve stěně tl. 150 mm</t>
  </si>
  <si>
    <t>Bourání otvoru ve stěně tl. 300 mm</t>
  </si>
  <si>
    <t>Bourání obvodové zdi (balkónové dveře) tl. 450 mm</t>
  </si>
  <si>
    <t>Zazdívání otvorů v obvodovém zdivu tl. 450 mm</t>
  </si>
  <si>
    <t>Dozdívání špalet otvorů tl. 450 mm</t>
  </si>
  <si>
    <t>Byt C - 2 koupelny + WC + vana</t>
  </si>
  <si>
    <t>Provedení pojistné hydroizolace krovu včetně materiálu (hydroizolace mezi krokvemi)</t>
  </si>
  <si>
    <t>78 (předběžný odhad)</t>
  </si>
  <si>
    <t>Odstranění Stropní konstrukce (dřevěné trámy, podbití, rákosový podhled s omítkou) - NUTNÁ KONZULTACE NA STAVBĚ!</t>
  </si>
  <si>
    <t>Odstranění stropní konstrukce na chodbě a nad koupelnou - NUTNÁ KONZULTACE NA STAVBĚ!</t>
  </si>
  <si>
    <t>150 (předběžný odhad)</t>
  </si>
  <si>
    <t>Montáž LED pásků</t>
  </si>
  <si>
    <t>Větrací taška</t>
  </si>
  <si>
    <t xml:space="preserve">kus </t>
  </si>
  <si>
    <t xml:space="preserve">Montáž VZT el. větrák pro KOUPELNU, WC a DIGESTOŘ + napojení na odvodné potrubí </t>
  </si>
  <si>
    <t>spárovací hmota CE40225 - sahara</t>
  </si>
  <si>
    <t>Spárovací hmota - CE40240 - JASMÍNE</t>
  </si>
  <si>
    <t>Zapojení domácí vodárny (voda ze studny)</t>
  </si>
  <si>
    <t>200 (předběžný odhad)</t>
  </si>
  <si>
    <t>500 (předběžný odhad)</t>
  </si>
  <si>
    <t>montáž elektro skříně na elektroměry včetně materiálu (4-místný … 3x bytové jednotky, 1x společné prostory)</t>
  </si>
  <si>
    <t xml:space="preserve">Revize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</si>
</sst>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 x14ac:knownFonts="1">
    <font>
      <sz val="10"/>
      <name val="Arial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sz val="8"/>
      <color indexed="61"/>
      <name val="Arial"/>
      <family val="2"/>
      <charset val="238"/>
    </font>
    <font>
      <sz val="8"/>
      <color indexed="6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61"/>
      <name val="Arial"/>
      <family val="2"/>
      <charset val="238"/>
    </font>
    <font>
      <sz val="8"/>
      <color indexed="8"/>
      <name val="Arial"/>
      <family val="2"/>
    </font>
    <font>
      <sz val="8"/>
      <name val="Arial"/>
      <family val="2"/>
      <charset val="238"/>
    </font>
    <font>
      <b/>
      <sz val="8"/>
      <color indexed="62"/>
      <name val="Arial"/>
      <family val="2"/>
      <charset val="238"/>
    </font>
    <font>
      <sz val="8"/>
      <color rgb="FF1A3138"/>
      <name val="Arial"/>
      <family val="2"/>
      <charset val="238"/>
    </font>
    <font>
      <b/>
      <sz val="8"/>
      <color rgb="FF1A313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2" fontId="5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left" vertical="center"/>
    </xf>
    <xf numFmtId="4" fontId="13" fillId="0" borderId="1" xfId="0" applyNumberFormat="1" applyFont="1" applyFill="1" applyBorder="1" applyAlignment="1" applyProtection="1">
      <alignment horizontal="left"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Alignment="1">
      <alignment horizontal="left" vertical="center"/>
    </xf>
    <xf numFmtId="4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left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164" fontId="8" fillId="0" borderId="6" xfId="0" applyNumberFormat="1" applyFont="1" applyFill="1" applyBorder="1" applyAlignment="1" applyProtection="1">
      <alignment horizontal="right" vertical="center"/>
    </xf>
    <xf numFmtId="2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left" vertical="center"/>
      <protection locked="0"/>
    </xf>
    <xf numFmtId="164" fontId="8" fillId="0" borderId="1" xfId="0" applyNumberFormat="1" applyFont="1" applyFill="1" applyBorder="1" applyAlignment="1" applyProtection="1">
      <alignment horizontal="right" vertical="center"/>
      <protection locked="0"/>
    </xf>
    <xf numFmtId="1" fontId="8" fillId="0" borderId="5" xfId="0" applyNumberFormat="1" applyFont="1" applyBorder="1" applyAlignment="1" applyProtection="1">
      <alignment horizontal="center" vertical="center"/>
      <protection locked="0"/>
    </xf>
    <xf numFmtId="1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" fontId="14" fillId="0" borderId="0" xfId="0" applyNumberFormat="1" applyFont="1" applyFill="1" applyBorder="1" applyAlignment="1" applyProtection="1">
      <alignment horizontal="left" vertical="center"/>
      <protection locked="0"/>
    </xf>
    <xf numFmtId="1" fontId="8" fillId="0" borderId="5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164" fontId="8" fillId="0" borderId="1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1" fontId="8" fillId="2" borderId="5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vertical="center"/>
    </xf>
    <xf numFmtId="1" fontId="8" fillId="0" borderId="1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vertical="center"/>
    </xf>
    <xf numFmtId="164" fontId="8" fillId="0" borderId="10" xfId="0" applyNumberFormat="1" applyFont="1" applyFill="1" applyBorder="1" applyAlignment="1" applyProtection="1">
      <alignment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left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4" fontId="8" fillId="0" borderId="3" xfId="0" applyNumberFormat="1" applyFont="1" applyFill="1" applyBorder="1" applyAlignment="1" applyProtection="1">
      <alignment horizontal="left" vertical="center"/>
    </xf>
    <xf numFmtId="164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49" fontId="8" fillId="2" borderId="1" xfId="0" applyNumberFormat="1" applyFont="1" applyFill="1" applyBorder="1" applyAlignment="1" applyProtection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8" fillId="2" borderId="1" xfId="0" applyNumberFormat="1" applyFont="1" applyFill="1" applyBorder="1" applyAlignment="1" applyProtection="1">
      <alignment horizontal="left" vertical="center"/>
    </xf>
    <xf numFmtId="164" fontId="8" fillId="2" borderId="6" xfId="0" applyNumberFormat="1" applyFont="1" applyFill="1" applyBorder="1" applyAlignment="1" applyProtection="1">
      <alignment horizontal="right" vertical="center"/>
    </xf>
    <xf numFmtId="1" fontId="8" fillId="0" borderId="12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4" fontId="8" fillId="0" borderId="13" xfId="0" applyNumberFormat="1" applyFont="1" applyFill="1" applyBorder="1" applyAlignment="1" applyProtection="1">
      <alignment horizontal="left" vertical="center"/>
    </xf>
    <xf numFmtId="164" fontId="8" fillId="0" borderId="14" xfId="0" applyNumberFormat="1" applyFont="1" applyFill="1" applyBorder="1" applyAlignment="1" applyProtection="1">
      <alignment horizontal="right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2" fontId="8" fillId="0" borderId="0" xfId="0" applyNumberFormat="1" applyFont="1" applyFill="1" applyAlignment="1">
      <alignment horizontal="left" vertical="center"/>
    </xf>
    <xf numFmtId="49" fontId="8" fillId="3" borderId="1" xfId="0" applyNumberFormat="1" applyFont="1" applyFill="1" applyBorder="1" applyAlignment="1" applyProtection="1">
      <alignment horizontal="left" vertical="center"/>
    </xf>
    <xf numFmtId="49" fontId="8" fillId="3" borderId="1" xfId="0" applyNumberFormat="1" applyFont="1" applyFill="1" applyBorder="1" applyAlignment="1" applyProtection="1">
      <alignment horizontal="center" vertical="center"/>
    </xf>
    <xf numFmtId="4" fontId="8" fillId="3" borderId="1" xfId="0" applyNumberFormat="1" applyFont="1" applyFill="1" applyBorder="1" applyAlignment="1" applyProtection="1">
      <alignment horizontal="left" vertical="center"/>
    </xf>
    <xf numFmtId="164" fontId="8" fillId="3" borderId="6" xfId="0" applyNumberFormat="1" applyFont="1" applyFill="1" applyBorder="1" applyAlignment="1" applyProtection="1">
      <alignment horizontal="right" vertical="center"/>
    </xf>
    <xf numFmtId="1" fontId="8" fillId="3" borderId="5" xfId="0" applyNumberFormat="1" applyFont="1" applyFill="1" applyBorder="1" applyAlignment="1" applyProtection="1">
      <alignment horizontal="center" vertical="center"/>
    </xf>
    <xf numFmtId="1" fontId="8" fillId="0" borderId="11" xfId="0" applyNumberFormat="1" applyFont="1" applyFill="1" applyBorder="1" applyAlignment="1" applyProtection="1">
      <alignment horizontal="center" vertical="center"/>
    </xf>
    <xf numFmtId="1" fontId="8" fillId="0" borderId="15" xfId="0" applyNumberFormat="1" applyFont="1" applyFill="1" applyBorder="1" applyAlignment="1" applyProtection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right" vertical="center"/>
    </xf>
    <xf numFmtId="164" fontId="8" fillId="0" borderId="6" xfId="0" applyNumberFormat="1" applyFont="1" applyBorder="1" applyAlignment="1">
      <alignment vertical="center"/>
    </xf>
    <xf numFmtId="0" fontId="8" fillId="3" borderId="8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left" vertical="center"/>
    </xf>
    <xf numFmtId="164" fontId="8" fillId="3" borderId="9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 applyProtection="1">
      <alignment horizontal="left" vertical="center" wrapText="1"/>
    </xf>
    <xf numFmtId="164" fontId="8" fillId="5" borderId="1" xfId="0" applyNumberFormat="1" applyFont="1" applyFill="1" applyBorder="1" applyAlignment="1" applyProtection="1">
      <alignment horizontal="right" vertical="center"/>
    </xf>
    <xf numFmtId="164" fontId="8" fillId="4" borderId="13" xfId="0" applyNumberFormat="1" applyFont="1" applyFill="1" applyBorder="1" applyAlignment="1" applyProtection="1">
      <alignment horizontal="right" vertical="center"/>
    </xf>
    <xf numFmtId="164" fontId="8" fillId="4" borderId="1" xfId="0" applyNumberFormat="1" applyFont="1" applyFill="1" applyBorder="1" applyAlignment="1" applyProtection="1">
      <alignment horizontal="right" vertical="center"/>
    </xf>
    <xf numFmtId="164" fontId="8" fillId="4" borderId="0" xfId="0" applyNumberFormat="1" applyFont="1" applyFill="1" applyAlignment="1">
      <alignment vertical="center"/>
    </xf>
    <xf numFmtId="164" fontId="8" fillId="4" borderId="1" xfId="0" applyNumberFormat="1" applyFont="1" applyFill="1" applyBorder="1" applyAlignment="1" applyProtection="1">
      <alignment vertical="center"/>
      <protection locked="0"/>
    </xf>
    <xf numFmtId="164" fontId="8" fillId="4" borderId="1" xfId="0" applyNumberFormat="1" applyFont="1" applyFill="1" applyBorder="1" applyAlignment="1">
      <alignment vertical="center"/>
    </xf>
    <xf numFmtId="0" fontId="8" fillId="4" borderId="1" xfId="0" applyNumberFormat="1" applyFont="1" applyFill="1" applyBorder="1" applyAlignment="1">
      <alignment horizontal="right" vertical="center"/>
    </xf>
    <xf numFmtId="164" fontId="8" fillId="4" borderId="8" xfId="0" applyNumberFormat="1" applyFont="1" applyFill="1" applyBorder="1" applyAlignment="1">
      <alignment vertical="center"/>
    </xf>
    <xf numFmtId="0" fontId="8" fillId="6" borderId="0" xfId="0" applyFont="1" applyFill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49" fontId="8" fillId="6" borderId="1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5"/>
  <sheetViews>
    <sheetView tabSelected="1" zoomScale="85" zoomScaleNormal="85" workbookViewId="0">
      <pane ySplit="1" topLeftCell="A226" activePane="bottomLeft" state="frozen"/>
      <selection pane="bottomLeft" activeCell="D123" sqref="D123"/>
    </sheetView>
  </sheetViews>
  <sheetFormatPr defaultColWidth="11.5546875" defaultRowHeight="13.2" x14ac:dyDescent="0.25"/>
  <cols>
    <col min="1" max="1" width="4.88671875" style="75" bestFit="1" customWidth="1"/>
    <col min="2" max="2" width="119" style="51" customWidth="1"/>
    <col min="3" max="3" width="3.5546875" style="76" bestFit="1" customWidth="1"/>
    <col min="4" max="4" width="23" style="77" customWidth="1"/>
    <col min="5" max="5" width="8" style="77" bestFit="1" customWidth="1"/>
    <col min="6" max="6" width="17.44140625" style="106" customWidth="1"/>
    <col min="7" max="7" width="14.5546875" style="78" bestFit="1" customWidth="1"/>
    <col min="8" max="8" width="30" style="51" customWidth="1"/>
    <col min="9" max="25" width="11.5546875" style="48"/>
    <col min="26" max="27" width="12.109375" style="48" hidden="1" customWidth="1"/>
    <col min="28" max="16384" width="11.5546875" style="48"/>
  </cols>
  <sheetData>
    <row r="1" spans="1:8" x14ac:dyDescent="0.25">
      <c r="A1" s="60" t="s">
        <v>17</v>
      </c>
      <c r="B1" s="61" t="s">
        <v>1</v>
      </c>
      <c r="C1" s="62" t="s">
        <v>8</v>
      </c>
      <c r="D1" s="63" t="s">
        <v>27</v>
      </c>
      <c r="E1" s="63" t="s">
        <v>13</v>
      </c>
      <c r="F1" s="102" t="s">
        <v>14</v>
      </c>
      <c r="G1" s="64" t="s">
        <v>25</v>
      </c>
      <c r="H1" s="65"/>
    </row>
    <row r="2" spans="1:8" x14ac:dyDescent="0.25">
      <c r="A2" s="54" t="s">
        <v>0</v>
      </c>
      <c r="B2" s="66" t="s">
        <v>119</v>
      </c>
      <c r="C2" s="67" t="s">
        <v>0</v>
      </c>
      <c r="D2" s="68" t="s">
        <v>0</v>
      </c>
      <c r="E2" s="68" t="s">
        <v>0</v>
      </c>
      <c r="F2" s="103" t="s">
        <v>0</v>
      </c>
      <c r="G2" s="69"/>
    </row>
    <row r="3" spans="1:8" s="56" customFormat="1" x14ac:dyDescent="0.25">
      <c r="A3" s="70"/>
      <c r="B3" s="71" t="s">
        <v>138</v>
      </c>
      <c r="C3" s="72"/>
      <c r="D3" s="73"/>
      <c r="E3" s="73"/>
      <c r="F3" s="104"/>
      <c r="G3" s="74"/>
      <c r="H3" s="53"/>
    </row>
    <row r="4" spans="1:8" s="56" customFormat="1" x14ac:dyDescent="0.25">
      <c r="A4" s="70"/>
      <c r="B4" s="71" t="s">
        <v>146</v>
      </c>
      <c r="C4" s="72" t="s">
        <v>12</v>
      </c>
      <c r="D4" s="73">
        <v>1</v>
      </c>
      <c r="E4" s="73">
        <v>1</v>
      </c>
      <c r="F4" s="104">
        <v>0</v>
      </c>
      <c r="G4" s="74">
        <f>F4</f>
        <v>0</v>
      </c>
      <c r="H4" s="53"/>
    </row>
    <row r="5" spans="1:8" s="56" customFormat="1" x14ac:dyDescent="0.25">
      <c r="A5" s="70"/>
      <c r="B5" s="71" t="s">
        <v>139</v>
      </c>
      <c r="C5" s="72" t="s">
        <v>12</v>
      </c>
      <c r="D5" s="73">
        <v>1</v>
      </c>
      <c r="E5" s="73">
        <v>1</v>
      </c>
      <c r="F5" s="104">
        <v>0</v>
      </c>
      <c r="G5" s="74">
        <f t="shared" ref="G5:G36" si="0">F5</f>
        <v>0</v>
      </c>
      <c r="H5" s="53"/>
    </row>
    <row r="6" spans="1:8" s="56" customFormat="1" x14ac:dyDescent="0.25">
      <c r="A6" s="70"/>
      <c r="B6" s="71" t="s">
        <v>140</v>
      </c>
      <c r="C6" s="72" t="s">
        <v>12</v>
      </c>
      <c r="D6" s="73">
        <v>1</v>
      </c>
      <c r="E6" s="73">
        <v>1</v>
      </c>
      <c r="F6" s="104">
        <v>0</v>
      </c>
      <c r="G6" s="74">
        <f t="shared" si="0"/>
        <v>0</v>
      </c>
      <c r="H6" s="53"/>
    </row>
    <row r="7" spans="1:8" s="56" customFormat="1" x14ac:dyDescent="0.25">
      <c r="A7" s="70"/>
      <c r="B7" s="71" t="s">
        <v>140</v>
      </c>
      <c r="C7" s="72" t="s">
        <v>12</v>
      </c>
      <c r="D7" s="73">
        <v>1</v>
      </c>
      <c r="E7" s="73">
        <v>1</v>
      </c>
      <c r="F7" s="104">
        <v>0</v>
      </c>
      <c r="G7" s="74">
        <f t="shared" si="0"/>
        <v>0</v>
      </c>
      <c r="H7" s="53"/>
    </row>
    <row r="8" spans="1:8" s="56" customFormat="1" x14ac:dyDescent="0.25">
      <c r="A8" s="70"/>
      <c r="B8" s="71" t="s">
        <v>141</v>
      </c>
      <c r="C8" s="72" t="s">
        <v>12</v>
      </c>
      <c r="D8" s="73">
        <v>1</v>
      </c>
      <c r="E8" s="73">
        <v>1</v>
      </c>
      <c r="F8" s="104">
        <v>0</v>
      </c>
      <c r="G8" s="74">
        <f t="shared" si="0"/>
        <v>0</v>
      </c>
      <c r="H8" s="53"/>
    </row>
    <row r="9" spans="1:8" s="56" customFormat="1" x14ac:dyDescent="0.25">
      <c r="A9" s="70"/>
      <c r="B9" s="71" t="s">
        <v>142</v>
      </c>
      <c r="C9" s="72" t="s">
        <v>12</v>
      </c>
      <c r="D9" s="73">
        <v>1</v>
      </c>
      <c r="E9" s="73">
        <v>1</v>
      </c>
      <c r="F9" s="104">
        <v>0</v>
      </c>
      <c r="G9" s="74">
        <f t="shared" si="0"/>
        <v>0</v>
      </c>
      <c r="H9" s="53"/>
    </row>
    <row r="10" spans="1:8" s="56" customFormat="1" x14ac:dyDescent="0.25">
      <c r="A10" s="70"/>
      <c r="B10" s="71" t="s">
        <v>145</v>
      </c>
      <c r="C10" s="72" t="s">
        <v>12</v>
      </c>
      <c r="D10" s="73">
        <v>1</v>
      </c>
      <c r="E10" s="73">
        <v>1</v>
      </c>
      <c r="F10" s="104">
        <v>0</v>
      </c>
      <c r="G10" s="74">
        <f t="shared" si="0"/>
        <v>0</v>
      </c>
      <c r="H10" s="53"/>
    </row>
    <row r="11" spans="1:8" s="56" customFormat="1" x14ac:dyDescent="0.25">
      <c r="A11" s="70"/>
      <c r="B11" s="71" t="s">
        <v>143</v>
      </c>
      <c r="C11" s="72" t="s">
        <v>12</v>
      </c>
      <c r="D11" s="73">
        <v>1</v>
      </c>
      <c r="E11" s="73">
        <v>1</v>
      </c>
      <c r="F11" s="104">
        <v>0</v>
      </c>
      <c r="G11" s="74">
        <f t="shared" si="0"/>
        <v>0</v>
      </c>
      <c r="H11" s="53"/>
    </row>
    <row r="12" spans="1:8" s="56" customFormat="1" x14ac:dyDescent="0.25">
      <c r="A12" s="70"/>
      <c r="B12" s="71" t="s">
        <v>144</v>
      </c>
      <c r="C12" s="72" t="s">
        <v>12</v>
      </c>
      <c r="D12" s="73">
        <v>1</v>
      </c>
      <c r="E12" s="73">
        <v>1</v>
      </c>
      <c r="F12" s="104">
        <v>0</v>
      </c>
      <c r="G12" s="74">
        <f t="shared" si="0"/>
        <v>0</v>
      </c>
      <c r="H12" s="53"/>
    </row>
    <row r="13" spans="1:8" s="56" customFormat="1" x14ac:dyDescent="0.25">
      <c r="A13" s="70"/>
      <c r="B13" s="71" t="s">
        <v>151</v>
      </c>
      <c r="C13" s="72"/>
      <c r="D13" s="73"/>
      <c r="E13" s="73"/>
      <c r="F13" s="104"/>
      <c r="G13" s="74">
        <f t="shared" si="0"/>
        <v>0</v>
      </c>
      <c r="H13" s="53"/>
    </row>
    <row r="14" spans="1:8" s="56" customFormat="1" x14ac:dyDescent="0.25">
      <c r="A14" s="70"/>
      <c r="B14" s="71" t="s">
        <v>148</v>
      </c>
      <c r="C14" s="72" t="s">
        <v>12</v>
      </c>
      <c r="D14" s="73">
        <v>1</v>
      </c>
      <c r="E14" s="73">
        <v>1</v>
      </c>
      <c r="F14" s="104">
        <v>0</v>
      </c>
      <c r="G14" s="74">
        <f t="shared" si="0"/>
        <v>0</v>
      </c>
      <c r="H14" s="53"/>
    </row>
    <row r="15" spans="1:8" s="56" customFormat="1" x14ac:dyDescent="0.25">
      <c r="A15" s="70"/>
      <c r="B15" s="71" t="s">
        <v>147</v>
      </c>
      <c r="C15" s="72" t="s">
        <v>12</v>
      </c>
      <c r="D15" s="73">
        <v>1</v>
      </c>
      <c r="E15" s="73">
        <v>1</v>
      </c>
      <c r="F15" s="104">
        <v>0</v>
      </c>
      <c r="G15" s="74">
        <f t="shared" si="0"/>
        <v>0</v>
      </c>
      <c r="H15" s="53"/>
    </row>
    <row r="16" spans="1:8" s="56" customFormat="1" x14ac:dyDescent="0.25">
      <c r="A16" s="70"/>
      <c r="B16" s="71" t="s">
        <v>149</v>
      </c>
      <c r="C16" s="72" t="s">
        <v>12</v>
      </c>
      <c r="D16" s="73">
        <v>1</v>
      </c>
      <c r="E16" s="73">
        <v>1</v>
      </c>
      <c r="F16" s="104">
        <v>0</v>
      </c>
      <c r="G16" s="74">
        <f t="shared" si="0"/>
        <v>0</v>
      </c>
      <c r="H16" s="53"/>
    </row>
    <row r="17" spans="1:8" s="56" customFormat="1" x14ac:dyDescent="0.25">
      <c r="A17" s="70"/>
      <c r="B17" s="71" t="s">
        <v>150</v>
      </c>
      <c r="C17" s="72" t="s">
        <v>12</v>
      </c>
      <c r="D17" s="73">
        <v>1</v>
      </c>
      <c r="E17" s="73">
        <v>1</v>
      </c>
      <c r="F17" s="104">
        <v>0</v>
      </c>
      <c r="G17" s="74">
        <f t="shared" si="0"/>
        <v>0</v>
      </c>
      <c r="H17" s="53"/>
    </row>
    <row r="18" spans="1:8" s="56" customFormat="1" x14ac:dyDescent="0.25">
      <c r="A18" s="70"/>
      <c r="B18" s="71"/>
      <c r="C18" s="72"/>
      <c r="D18" s="73"/>
      <c r="E18" s="73"/>
      <c r="F18" s="104"/>
      <c r="G18" s="74">
        <f t="shared" si="0"/>
        <v>0</v>
      </c>
      <c r="H18" s="53"/>
    </row>
    <row r="19" spans="1:8" s="56" customFormat="1" x14ac:dyDescent="0.25">
      <c r="A19" s="70"/>
      <c r="B19" s="71" t="s">
        <v>138</v>
      </c>
      <c r="C19" s="72"/>
      <c r="D19" s="73"/>
      <c r="E19" s="73"/>
      <c r="F19" s="104"/>
      <c r="G19" s="74">
        <f t="shared" si="0"/>
        <v>0</v>
      </c>
      <c r="H19" s="53"/>
    </row>
    <row r="20" spans="1:8" s="56" customFormat="1" x14ac:dyDescent="0.25">
      <c r="A20" s="70"/>
      <c r="B20" s="71" t="s">
        <v>152</v>
      </c>
      <c r="C20" s="72" t="s">
        <v>9</v>
      </c>
      <c r="D20" s="73">
        <f>2*0.8</f>
        <v>1.6</v>
      </c>
      <c r="E20" s="73">
        <f>D20</f>
        <v>1.6</v>
      </c>
      <c r="F20" s="104">
        <v>0</v>
      </c>
      <c r="G20" s="74">
        <f t="shared" si="0"/>
        <v>0</v>
      </c>
      <c r="H20" s="53"/>
    </row>
    <row r="21" spans="1:8" s="56" customFormat="1" x14ac:dyDescent="0.25">
      <c r="A21" s="70"/>
      <c r="B21" s="71" t="s">
        <v>153</v>
      </c>
      <c r="C21" s="72" t="s">
        <v>9</v>
      </c>
      <c r="D21" s="73">
        <f>0.4*0.8</f>
        <v>0.32000000000000006</v>
      </c>
      <c r="E21" s="73">
        <f>D21</f>
        <v>0.32000000000000006</v>
      </c>
      <c r="F21" s="104">
        <v>0</v>
      </c>
      <c r="G21" s="74">
        <f t="shared" si="0"/>
        <v>0</v>
      </c>
      <c r="H21" s="53"/>
    </row>
    <row r="22" spans="1:8" s="56" customFormat="1" x14ac:dyDescent="0.25">
      <c r="A22" s="70"/>
      <c r="B22" s="71" t="s">
        <v>154</v>
      </c>
      <c r="C22" s="72" t="s">
        <v>274</v>
      </c>
      <c r="D22" s="73">
        <f>1*0.7*0.6</f>
        <v>0.42</v>
      </c>
      <c r="E22" s="73">
        <f t="shared" ref="E22:E30" si="1">D22</f>
        <v>0.42</v>
      </c>
      <c r="F22" s="104">
        <v>0</v>
      </c>
      <c r="G22" s="74">
        <f t="shared" si="0"/>
        <v>0</v>
      </c>
      <c r="H22" s="53"/>
    </row>
    <row r="23" spans="1:8" s="56" customFormat="1" x14ac:dyDescent="0.25">
      <c r="A23" s="70"/>
      <c r="B23" s="71" t="s">
        <v>155</v>
      </c>
      <c r="C23" s="72" t="s">
        <v>274</v>
      </c>
      <c r="D23" s="73">
        <f>0.5*0.5*1</f>
        <v>0.25</v>
      </c>
      <c r="E23" s="73">
        <f t="shared" si="1"/>
        <v>0.25</v>
      </c>
      <c r="F23" s="104">
        <v>0</v>
      </c>
      <c r="G23" s="74">
        <f t="shared" si="0"/>
        <v>0</v>
      </c>
      <c r="H23" s="53"/>
    </row>
    <row r="24" spans="1:8" s="56" customFormat="1" x14ac:dyDescent="0.25">
      <c r="A24" s="70"/>
      <c r="B24" s="71" t="s">
        <v>156</v>
      </c>
      <c r="C24" s="72" t="s">
        <v>9</v>
      </c>
      <c r="D24" s="73">
        <f>2+2</f>
        <v>4</v>
      </c>
      <c r="E24" s="73">
        <f t="shared" si="1"/>
        <v>4</v>
      </c>
      <c r="F24" s="104">
        <v>0</v>
      </c>
      <c r="G24" s="74">
        <f t="shared" si="0"/>
        <v>0</v>
      </c>
      <c r="H24" s="53"/>
    </row>
    <row r="25" spans="1:8" s="56" customFormat="1" x14ac:dyDescent="0.25">
      <c r="A25" s="70"/>
      <c r="B25" s="71" t="s">
        <v>157</v>
      </c>
      <c r="C25" s="72" t="s">
        <v>9</v>
      </c>
      <c r="D25" s="73">
        <v>3</v>
      </c>
      <c r="E25" s="73">
        <f t="shared" si="1"/>
        <v>3</v>
      </c>
      <c r="F25" s="104">
        <v>0</v>
      </c>
      <c r="G25" s="74">
        <f t="shared" si="0"/>
        <v>0</v>
      </c>
      <c r="H25" s="53"/>
    </row>
    <row r="26" spans="1:8" s="56" customFormat="1" x14ac:dyDescent="0.25">
      <c r="A26" s="70"/>
      <c r="B26" s="71" t="s">
        <v>158</v>
      </c>
      <c r="C26" s="72" t="s">
        <v>9</v>
      </c>
      <c r="D26" s="73">
        <v>14</v>
      </c>
      <c r="E26" s="73">
        <f t="shared" si="1"/>
        <v>14</v>
      </c>
      <c r="F26" s="104">
        <v>0</v>
      </c>
      <c r="G26" s="74">
        <f t="shared" si="0"/>
        <v>0</v>
      </c>
      <c r="H26" s="53"/>
    </row>
    <row r="27" spans="1:8" s="56" customFormat="1" x14ac:dyDescent="0.25">
      <c r="A27" s="70"/>
      <c r="B27" s="71" t="s">
        <v>159</v>
      </c>
      <c r="C27" s="72" t="s">
        <v>9</v>
      </c>
      <c r="D27" s="73">
        <f>7.5+9.5*2.1</f>
        <v>27.45</v>
      </c>
      <c r="E27" s="73">
        <f t="shared" si="1"/>
        <v>27.45</v>
      </c>
      <c r="F27" s="104">
        <v>0</v>
      </c>
      <c r="G27" s="74">
        <f t="shared" si="0"/>
        <v>0</v>
      </c>
      <c r="H27" s="53"/>
    </row>
    <row r="28" spans="1:8" s="56" customFormat="1" x14ac:dyDescent="0.25">
      <c r="A28" s="70"/>
      <c r="B28" s="71" t="s">
        <v>284</v>
      </c>
      <c r="C28" s="72" t="s">
        <v>9</v>
      </c>
      <c r="D28" s="73">
        <v>16</v>
      </c>
      <c r="E28" s="73">
        <f t="shared" si="1"/>
        <v>16</v>
      </c>
      <c r="F28" s="104">
        <v>0</v>
      </c>
      <c r="G28" s="74">
        <f t="shared" si="0"/>
        <v>0</v>
      </c>
      <c r="H28" s="53"/>
    </row>
    <row r="29" spans="1:8" s="56" customFormat="1" x14ac:dyDescent="0.25">
      <c r="A29" s="70"/>
      <c r="B29" s="71" t="s">
        <v>160</v>
      </c>
      <c r="C29" s="72" t="s">
        <v>9</v>
      </c>
      <c r="D29" s="73">
        <v>17.2</v>
      </c>
      <c r="E29" s="73">
        <f t="shared" si="1"/>
        <v>17.2</v>
      </c>
      <c r="F29" s="104">
        <v>0</v>
      </c>
      <c r="G29" s="74">
        <f t="shared" si="0"/>
        <v>0</v>
      </c>
      <c r="H29" s="53"/>
    </row>
    <row r="30" spans="1:8" s="56" customFormat="1" x14ac:dyDescent="0.25">
      <c r="A30" s="70"/>
      <c r="B30" s="71" t="s">
        <v>277</v>
      </c>
      <c r="C30" s="72" t="s">
        <v>9</v>
      </c>
      <c r="D30" s="73">
        <f>1.2*0.9</f>
        <v>1.08</v>
      </c>
      <c r="E30" s="73">
        <f t="shared" si="1"/>
        <v>1.08</v>
      </c>
      <c r="F30" s="104">
        <v>0</v>
      </c>
      <c r="G30" s="74">
        <f t="shared" si="0"/>
        <v>0</v>
      </c>
      <c r="H30" s="53"/>
    </row>
    <row r="31" spans="1:8" s="56" customFormat="1" x14ac:dyDescent="0.25">
      <c r="A31" s="70"/>
      <c r="B31" s="71"/>
      <c r="C31" s="72"/>
      <c r="D31" s="73"/>
      <c r="E31" s="73"/>
      <c r="F31" s="104"/>
      <c r="G31" s="74"/>
      <c r="H31" s="53"/>
    </row>
    <row r="32" spans="1:8" s="56" customFormat="1" x14ac:dyDescent="0.25">
      <c r="A32" s="70"/>
      <c r="B32" s="71"/>
      <c r="C32" s="72"/>
      <c r="D32" s="73"/>
      <c r="E32" s="73"/>
      <c r="F32" s="104"/>
      <c r="G32" s="74">
        <f t="shared" si="0"/>
        <v>0</v>
      </c>
      <c r="H32" s="53"/>
    </row>
    <row r="33" spans="1:27" s="56" customFormat="1" x14ac:dyDescent="0.25">
      <c r="A33" s="70"/>
      <c r="B33" s="71" t="s">
        <v>161</v>
      </c>
      <c r="C33" s="72"/>
      <c r="D33" s="73"/>
      <c r="E33" s="73"/>
      <c r="F33" s="104"/>
      <c r="G33" s="74">
        <f t="shared" si="0"/>
        <v>0</v>
      </c>
      <c r="H33" s="53"/>
    </row>
    <row r="34" spans="1:27" s="56" customFormat="1" x14ac:dyDescent="0.25">
      <c r="A34" s="70"/>
      <c r="B34" s="71" t="s">
        <v>162</v>
      </c>
      <c r="C34" s="72" t="s">
        <v>10</v>
      </c>
      <c r="D34" s="73">
        <v>1</v>
      </c>
      <c r="E34" s="73">
        <v>1</v>
      </c>
      <c r="F34" s="104">
        <v>0</v>
      </c>
      <c r="G34" s="74">
        <f t="shared" si="0"/>
        <v>0</v>
      </c>
      <c r="H34" s="53"/>
    </row>
    <row r="35" spans="1:27" s="56" customFormat="1" x14ac:dyDescent="0.25">
      <c r="A35" s="70"/>
      <c r="B35" s="71"/>
      <c r="C35" s="72"/>
      <c r="D35" s="73"/>
      <c r="E35" s="73"/>
      <c r="F35" s="104"/>
      <c r="G35" s="74">
        <f t="shared" si="0"/>
        <v>0</v>
      </c>
      <c r="H35" s="53"/>
    </row>
    <row r="36" spans="1:27" s="56" customFormat="1" x14ac:dyDescent="0.25">
      <c r="A36" s="70"/>
      <c r="B36" s="71" t="s">
        <v>175</v>
      </c>
      <c r="C36" s="72"/>
      <c r="D36" s="73"/>
      <c r="E36" s="73"/>
      <c r="F36" s="104"/>
      <c r="G36" s="74">
        <f t="shared" si="0"/>
        <v>0</v>
      </c>
      <c r="H36" s="53"/>
    </row>
    <row r="37" spans="1:27" s="56" customFormat="1" x14ac:dyDescent="0.25">
      <c r="A37" s="70"/>
      <c r="B37" s="71" t="s">
        <v>283</v>
      </c>
      <c r="C37" s="72" t="s">
        <v>9</v>
      </c>
      <c r="D37" s="73">
        <v>74</v>
      </c>
      <c r="E37" s="73">
        <v>1</v>
      </c>
      <c r="F37" s="104">
        <v>0</v>
      </c>
      <c r="G37" s="74">
        <f>F37*E37</f>
        <v>0</v>
      </c>
      <c r="H37" s="53"/>
    </row>
    <row r="38" spans="1:27" s="56" customFormat="1" x14ac:dyDescent="0.25">
      <c r="A38" s="70"/>
      <c r="B38" s="71" t="s">
        <v>275</v>
      </c>
      <c r="C38" s="72" t="s">
        <v>9</v>
      </c>
      <c r="D38" s="73">
        <f>0.8*2</f>
        <v>1.6</v>
      </c>
      <c r="E38" s="73">
        <v>1</v>
      </c>
      <c r="F38" s="104">
        <v>0</v>
      </c>
      <c r="G38" s="74">
        <f t="shared" ref="G38:G39" si="2">F38*E38</f>
        <v>0</v>
      </c>
      <c r="H38" s="53"/>
    </row>
    <row r="39" spans="1:27" s="56" customFormat="1" x14ac:dyDescent="0.25">
      <c r="A39" s="70"/>
      <c r="B39" s="71" t="s">
        <v>276</v>
      </c>
      <c r="C39" s="72" t="s">
        <v>9</v>
      </c>
      <c r="D39" s="73">
        <f>0.8*2</f>
        <v>1.6</v>
      </c>
      <c r="E39" s="73">
        <v>1</v>
      </c>
      <c r="F39" s="104">
        <v>0</v>
      </c>
      <c r="G39" s="74">
        <f t="shared" si="2"/>
        <v>0</v>
      </c>
      <c r="H39" s="53"/>
    </row>
    <row r="40" spans="1:27" s="56" customFormat="1" x14ac:dyDescent="0.25">
      <c r="A40" s="70"/>
      <c r="B40" s="71"/>
      <c r="C40" s="72"/>
      <c r="D40" s="73"/>
      <c r="E40" s="73"/>
      <c r="F40" s="104"/>
      <c r="G40" s="74"/>
      <c r="H40" s="53"/>
    </row>
    <row r="41" spans="1:27" x14ac:dyDescent="0.25">
      <c r="A41" s="54" t="s">
        <v>0</v>
      </c>
      <c r="B41" s="66" t="s">
        <v>19</v>
      </c>
      <c r="C41" s="67" t="s">
        <v>0</v>
      </c>
      <c r="D41" s="68" t="s">
        <v>0</v>
      </c>
      <c r="E41" s="68" t="s">
        <v>0</v>
      </c>
      <c r="F41" s="103" t="s">
        <v>0</v>
      </c>
      <c r="G41" s="69"/>
    </row>
    <row r="42" spans="1:27" x14ac:dyDescent="0.25">
      <c r="A42" s="46"/>
      <c r="B42" s="13" t="s">
        <v>120</v>
      </c>
      <c r="C42" s="31" t="s">
        <v>9</v>
      </c>
      <c r="D42" s="32"/>
      <c r="E42" s="32">
        <f>D43+D44</f>
        <v>3.2</v>
      </c>
      <c r="F42" s="105">
        <v>0</v>
      </c>
      <c r="G42" s="33">
        <f>F42*E42</f>
        <v>0</v>
      </c>
      <c r="Z42" s="55" t="e">
        <f>#REF!*0.189247311827957</f>
        <v>#REF!</v>
      </c>
      <c r="AA42" s="55" t="e">
        <f>#REF!*(1-0.189247311827957)</f>
        <v>#REF!</v>
      </c>
    </row>
    <row r="43" spans="1:27" x14ac:dyDescent="0.25">
      <c r="A43" s="46"/>
      <c r="B43" s="13" t="s">
        <v>163</v>
      </c>
      <c r="C43" s="31" t="s">
        <v>9</v>
      </c>
      <c r="D43" s="32">
        <f>1.2*2.5 - 0.8*2</f>
        <v>1.4</v>
      </c>
      <c r="E43" s="32"/>
      <c r="F43" s="105"/>
      <c r="G43" s="52"/>
      <c r="Z43" s="55"/>
      <c r="AA43" s="55"/>
    </row>
    <row r="44" spans="1:27" x14ac:dyDescent="0.25">
      <c r="A44" s="46"/>
      <c r="B44" s="13" t="s">
        <v>164</v>
      </c>
      <c r="C44" s="31" t="s">
        <v>9</v>
      </c>
      <c r="D44" s="32">
        <f>0.9*2</f>
        <v>1.8</v>
      </c>
      <c r="E44" s="32"/>
      <c r="F44" s="105"/>
      <c r="G44" s="52"/>
      <c r="Z44" s="55"/>
      <c r="AA44" s="55"/>
    </row>
    <row r="45" spans="1:27" x14ac:dyDescent="0.25">
      <c r="A45" s="46"/>
      <c r="B45" s="13"/>
      <c r="C45" s="31"/>
      <c r="D45" s="32"/>
      <c r="E45" s="32"/>
      <c r="F45" s="105"/>
      <c r="G45" s="52"/>
      <c r="Z45" s="55"/>
      <c r="AA45" s="55"/>
    </row>
    <row r="46" spans="1:27" x14ac:dyDescent="0.25">
      <c r="A46" s="46"/>
      <c r="B46" s="13" t="s">
        <v>278</v>
      </c>
      <c r="C46" s="31" t="s">
        <v>9</v>
      </c>
      <c r="D46" s="32"/>
      <c r="E46" s="32">
        <f>D47+D48</f>
        <v>2.04</v>
      </c>
      <c r="F46" s="105">
        <v>0</v>
      </c>
      <c r="G46" s="33">
        <f>F46*E46</f>
        <v>0</v>
      </c>
      <c r="Z46" s="55"/>
      <c r="AA46" s="55"/>
    </row>
    <row r="47" spans="1:27" x14ac:dyDescent="0.25">
      <c r="A47" s="46"/>
      <c r="B47" s="13" t="s">
        <v>165</v>
      </c>
      <c r="C47" s="31" t="s">
        <v>9</v>
      </c>
      <c r="D47" s="32">
        <f>0.8*1.2</f>
        <v>0.96</v>
      </c>
      <c r="E47" s="32"/>
      <c r="F47" s="105"/>
      <c r="G47" s="52"/>
      <c r="Z47" s="55"/>
      <c r="AA47" s="55"/>
    </row>
    <row r="48" spans="1:27" x14ac:dyDescent="0.25">
      <c r="A48" s="46"/>
      <c r="B48" s="13" t="s">
        <v>166</v>
      </c>
      <c r="C48" s="31" t="s">
        <v>9</v>
      </c>
      <c r="D48" s="32">
        <f>1.2*0.9</f>
        <v>1.08</v>
      </c>
      <c r="E48" s="32"/>
      <c r="F48" s="105"/>
      <c r="G48" s="52"/>
      <c r="Z48" s="55"/>
      <c r="AA48" s="55"/>
    </row>
    <row r="49" spans="1:27" x14ac:dyDescent="0.25">
      <c r="A49" s="46"/>
      <c r="B49" s="13"/>
      <c r="C49" s="31"/>
      <c r="D49" s="32"/>
      <c r="E49" s="32"/>
      <c r="F49" s="105"/>
      <c r="G49" s="52"/>
      <c r="Z49" s="55"/>
      <c r="AA49" s="55"/>
    </row>
    <row r="50" spans="1:27" x14ac:dyDescent="0.25">
      <c r="A50" s="46"/>
      <c r="B50" s="13" t="s">
        <v>169</v>
      </c>
      <c r="C50" s="31" t="s">
        <v>9</v>
      </c>
      <c r="D50" s="32"/>
      <c r="E50" s="32">
        <f>D51+D52</f>
        <v>3.1</v>
      </c>
      <c r="F50" s="105">
        <v>0</v>
      </c>
      <c r="G50" s="33">
        <f>F50*E50</f>
        <v>0</v>
      </c>
      <c r="Z50" s="55"/>
      <c r="AA50" s="55"/>
    </row>
    <row r="51" spans="1:27" x14ac:dyDescent="0.25">
      <c r="A51" s="46"/>
      <c r="B51" s="13" t="s">
        <v>168</v>
      </c>
      <c r="C51" s="31" t="s">
        <v>9</v>
      </c>
      <c r="D51" s="32">
        <f>1.5*1</f>
        <v>1.5</v>
      </c>
      <c r="E51" s="32"/>
      <c r="F51" s="105"/>
      <c r="G51" s="52"/>
      <c r="Z51" s="55"/>
      <c r="AA51" s="55"/>
    </row>
    <row r="52" spans="1:27" x14ac:dyDescent="0.25">
      <c r="A52" s="46"/>
      <c r="B52" s="13" t="s">
        <v>170</v>
      </c>
      <c r="C52" s="31" t="s">
        <v>9</v>
      </c>
      <c r="D52" s="32">
        <f>0.8*2</f>
        <v>1.6</v>
      </c>
      <c r="E52" s="32"/>
      <c r="F52" s="105"/>
      <c r="G52" s="52"/>
      <c r="Z52" s="55"/>
      <c r="AA52" s="55"/>
    </row>
    <row r="53" spans="1:27" x14ac:dyDescent="0.25">
      <c r="A53" s="46"/>
      <c r="B53" s="13"/>
      <c r="C53" s="31"/>
      <c r="D53" s="32"/>
      <c r="E53" s="32"/>
      <c r="F53" s="105"/>
      <c r="G53" s="52"/>
      <c r="Z53" s="55"/>
      <c r="AA53" s="55"/>
    </row>
    <row r="54" spans="1:27" x14ac:dyDescent="0.25">
      <c r="A54" s="46"/>
      <c r="B54" s="13" t="s">
        <v>279</v>
      </c>
      <c r="C54" s="31" t="s">
        <v>9</v>
      </c>
      <c r="D54" s="32"/>
      <c r="E54" s="32">
        <f>D55+D56</f>
        <v>0.64</v>
      </c>
      <c r="F54" s="105">
        <v>0</v>
      </c>
      <c r="G54" s="33">
        <f>F54*E54</f>
        <v>0</v>
      </c>
      <c r="Z54" s="55"/>
      <c r="AA54" s="55"/>
    </row>
    <row r="55" spans="1:27" x14ac:dyDescent="0.25">
      <c r="A55" s="46"/>
      <c r="B55" s="13" t="s">
        <v>171</v>
      </c>
      <c r="C55" s="31" t="s">
        <v>9</v>
      </c>
      <c r="D55" s="32">
        <f>2*0.2</f>
        <v>0.4</v>
      </c>
      <c r="E55" s="32"/>
      <c r="F55" s="105"/>
      <c r="G55" s="52"/>
      <c r="Z55" s="55"/>
      <c r="AA55" s="55"/>
    </row>
    <row r="56" spans="1:27" x14ac:dyDescent="0.25">
      <c r="A56" s="46"/>
      <c r="B56" s="13" t="s">
        <v>172</v>
      </c>
      <c r="C56" s="31" t="s">
        <v>9</v>
      </c>
      <c r="D56" s="32">
        <f>1.2*0.2</f>
        <v>0.24</v>
      </c>
      <c r="E56" s="32"/>
      <c r="F56" s="105"/>
      <c r="G56" s="52"/>
      <c r="Z56" s="55"/>
      <c r="AA56" s="55"/>
    </row>
    <row r="57" spans="1:27" x14ac:dyDescent="0.25">
      <c r="A57" s="46"/>
      <c r="B57" s="13"/>
      <c r="C57" s="31"/>
      <c r="D57" s="32"/>
      <c r="E57" s="32"/>
      <c r="F57" s="105"/>
      <c r="G57" s="52"/>
      <c r="Z57" s="55"/>
      <c r="AA57" s="55"/>
    </row>
    <row r="58" spans="1:27" x14ac:dyDescent="0.25">
      <c r="A58" s="46"/>
      <c r="B58" s="13" t="s">
        <v>167</v>
      </c>
      <c r="C58" s="31" t="s">
        <v>9</v>
      </c>
      <c r="D58" s="32"/>
      <c r="E58" s="32">
        <f>D59+D60</f>
        <v>5.6</v>
      </c>
      <c r="F58" s="105">
        <v>0</v>
      </c>
      <c r="G58" s="33">
        <f>F58*E58</f>
        <v>0</v>
      </c>
      <c r="Z58" s="55"/>
      <c r="AA58" s="55"/>
    </row>
    <row r="59" spans="1:27" x14ac:dyDescent="0.25">
      <c r="A59" s="46"/>
      <c r="B59" s="13" t="s">
        <v>173</v>
      </c>
      <c r="C59" s="31" t="s">
        <v>9</v>
      </c>
      <c r="D59" s="32">
        <f>0.8*2</f>
        <v>1.6</v>
      </c>
      <c r="E59" s="32"/>
      <c r="F59" s="105"/>
      <c r="G59" s="52"/>
      <c r="Z59" s="55"/>
      <c r="AA59" s="55"/>
    </row>
    <row r="60" spans="1:27" x14ac:dyDescent="0.25">
      <c r="A60" s="46"/>
      <c r="B60" s="13" t="s">
        <v>174</v>
      </c>
      <c r="C60" s="31" t="s">
        <v>9</v>
      </c>
      <c r="D60" s="32">
        <f>2*2</f>
        <v>4</v>
      </c>
      <c r="E60" s="32"/>
      <c r="F60" s="105"/>
      <c r="G60" s="52"/>
      <c r="Z60" s="55"/>
      <c r="AA60" s="55"/>
    </row>
    <row r="61" spans="1:27" x14ac:dyDescent="0.25">
      <c r="A61" s="46"/>
      <c r="B61" s="13"/>
      <c r="C61" s="31"/>
      <c r="D61" s="32"/>
      <c r="E61" s="32"/>
      <c r="F61" s="105"/>
      <c r="G61" s="52"/>
      <c r="Z61" s="55"/>
      <c r="AA61" s="55"/>
    </row>
    <row r="62" spans="1:27" x14ac:dyDescent="0.25">
      <c r="A62" s="46">
        <v>7</v>
      </c>
      <c r="B62" s="13" t="s">
        <v>179</v>
      </c>
      <c r="C62" s="31" t="s">
        <v>9</v>
      </c>
      <c r="D62" s="32"/>
      <c r="E62" s="32">
        <f>D63+D64</f>
        <v>11.450000000000001</v>
      </c>
      <c r="F62" s="105">
        <v>0</v>
      </c>
      <c r="G62" s="33">
        <f>F62*E62</f>
        <v>0</v>
      </c>
      <c r="Z62" s="55" t="e">
        <f>#REF!*0.189247311827957</f>
        <v>#REF!</v>
      </c>
      <c r="AA62" s="55" t="e">
        <f>#REF!*(1-0.189247311827957)</f>
        <v>#REF!</v>
      </c>
    </row>
    <row r="63" spans="1:27" x14ac:dyDescent="0.25">
      <c r="A63" s="46"/>
      <c r="B63" s="13" t="s">
        <v>176</v>
      </c>
      <c r="C63" s="31" t="s">
        <v>9</v>
      </c>
      <c r="D63" s="32">
        <f>(1.4+1.9)*2.5-0.8*2-0.8*2</f>
        <v>5.0500000000000007</v>
      </c>
      <c r="E63" s="32"/>
      <c r="F63" s="105"/>
      <c r="G63" s="52"/>
      <c r="Z63" s="55"/>
      <c r="AA63" s="55"/>
    </row>
    <row r="64" spans="1:27" x14ac:dyDescent="0.25">
      <c r="A64" s="46"/>
      <c r="B64" s="13" t="s">
        <v>177</v>
      </c>
      <c r="C64" s="31" t="s">
        <v>9</v>
      </c>
      <c r="D64" s="32">
        <f>(2+1.2)*2.5-0.8*2</f>
        <v>6.4</v>
      </c>
      <c r="E64" s="32"/>
      <c r="F64" s="105"/>
      <c r="G64" s="52"/>
      <c r="Z64" s="55"/>
      <c r="AA64" s="55"/>
    </row>
    <row r="65" spans="1:27" s="56" customFormat="1" x14ac:dyDescent="0.25">
      <c r="A65" s="46"/>
      <c r="B65" s="13"/>
      <c r="C65" s="31"/>
      <c r="D65" s="32"/>
      <c r="E65" s="32"/>
      <c r="F65" s="105"/>
      <c r="G65" s="52"/>
      <c r="H65" s="53"/>
    </row>
    <row r="66" spans="1:27" x14ac:dyDescent="0.25">
      <c r="A66" s="46">
        <v>7</v>
      </c>
      <c r="B66" s="13" t="s">
        <v>125</v>
      </c>
      <c r="C66" s="31" t="s">
        <v>9</v>
      </c>
      <c r="D66" s="32"/>
      <c r="E66" s="32">
        <f>D67+D68</f>
        <v>1.65</v>
      </c>
      <c r="F66" s="105">
        <v>0</v>
      </c>
      <c r="G66" s="33">
        <v>0</v>
      </c>
      <c r="Z66" s="55" t="e">
        <f>#REF!*0.189247311827957</f>
        <v>#REF!</v>
      </c>
      <c r="AA66" s="55" t="e">
        <f>#REF!*(1-0.189247311827957)</f>
        <v>#REF!</v>
      </c>
    </row>
    <row r="67" spans="1:27" x14ac:dyDescent="0.25">
      <c r="A67" s="46"/>
      <c r="B67" s="13" t="s">
        <v>178</v>
      </c>
      <c r="C67" s="31" t="s">
        <v>9</v>
      </c>
      <c r="D67" s="32">
        <f>1.3*2.5-0.8*2</f>
        <v>1.65</v>
      </c>
      <c r="E67" s="32"/>
      <c r="F67" s="105"/>
      <c r="G67" s="52"/>
      <c r="Z67" s="55"/>
      <c r="AA67" s="55"/>
    </row>
    <row r="68" spans="1:27" x14ac:dyDescent="0.25">
      <c r="A68" s="46"/>
      <c r="B68" s="13"/>
      <c r="C68" s="31"/>
      <c r="D68" s="32"/>
      <c r="E68" s="32"/>
      <c r="F68" s="105"/>
      <c r="G68" s="33"/>
      <c r="Z68" s="55"/>
      <c r="AA68" s="55"/>
    </row>
    <row r="69" spans="1:27" x14ac:dyDescent="0.25">
      <c r="A69" s="46">
        <v>7</v>
      </c>
      <c r="B69" s="13" t="s">
        <v>180</v>
      </c>
      <c r="C69" s="31" t="s">
        <v>9</v>
      </c>
      <c r="D69" s="32"/>
      <c r="E69" s="32">
        <f>D70+D71</f>
        <v>1.75</v>
      </c>
      <c r="F69" s="105">
        <v>0</v>
      </c>
      <c r="G69" s="33">
        <f>F69*E69</f>
        <v>0</v>
      </c>
      <c r="Z69" s="55" t="e">
        <f>#REF!*0.189247311827957</f>
        <v>#REF!</v>
      </c>
      <c r="AA69" s="55" t="e">
        <f>#REF!*(1-0.189247311827957)</f>
        <v>#REF!</v>
      </c>
    </row>
    <row r="70" spans="1:27" x14ac:dyDescent="0.25">
      <c r="A70" s="46"/>
      <c r="B70" s="13" t="s">
        <v>181</v>
      </c>
      <c r="C70" s="31"/>
      <c r="D70" s="32">
        <f>0.7*2.5</f>
        <v>1.75</v>
      </c>
      <c r="E70" s="32"/>
      <c r="F70" s="105"/>
      <c r="G70" s="33"/>
      <c r="Z70" s="55"/>
      <c r="AA70" s="55"/>
    </row>
    <row r="71" spans="1:27" x14ac:dyDescent="0.25">
      <c r="A71" s="46"/>
      <c r="B71" s="13"/>
      <c r="C71" s="31"/>
      <c r="D71" s="32"/>
      <c r="E71" s="32"/>
      <c r="F71" s="105"/>
      <c r="G71" s="33"/>
      <c r="Z71" s="55"/>
      <c r="AA71" s="55"/>
    </row>
    <row r="72" spans="1:27" x14ac:dyDescent="0.25">
      <c r="A72" s="79">
        <v>8</v>
      </c>
      <c r="B72" s="13" t="s">
        <v>118</v>
      </c>
      <c r="C72" s="31" t="s">
        <v>9</v>
      </c>
      <c r="D72" s="17"/>
      <c r="E72" s="32">
        <f>SUM(D73:D75)</f>
        <v>13.11</v>
      </c>
      <c r="F72" s="105">
        <v>0</v>
      </c>
      <c r="G72" s="33">
        <f>F72*E72</f>
        <v>0</v>
      </c>
      <c r="Z72" s="55"/>
      <c r="AA72" s="55"/>
    </row>
    <row r="73" spans="1:27" x14ac:dyDescent="0.25">
      <c r="A73" s="79"/>
      <c r="B73" s="13" t="s">
        <v>182</v>
      </c>
      <c r="C73" s="31" t="s">
        <v>9</v>
      </c>
      <c r="D73" s="17">
        <f>1.9*1.2+0.9*1.3+0.9*1.2</f>
        <v>4.53</v>
      </c>
      <c r="E73" s="32"/>
      <c r="F73" s="105"/>
      <c r="G73" s="33"/>
      <c r="Z73" s="55"/>
      <c r="AA73" s="55"/>
    </row>
    <row r="74" spans="1:27" x14ac:dyDescent="0.25">
      <c r="A74" s="79"/>
      <c r="B74" s="13" t="s">
        <v>183</v>
      </c>
      <c r="C74" s="31" t="s">
        <v>9</v>
      </c>
      <c r="D74" s="17">
        <f>1.8*1.2+1*0.9</f>
        <v>3.06</v>
      </c>
      <c r="E74" s="32"/>
      <c r="F74" s="105"/>
      <c r="G74" s="33"/>
      <c r="Z74" s="55"/>
      <c r="AA74" s="55"/>
    </row>
    <row r="75" spans="1:27" x14ac:dyDescent="0.25">
      <c r="A75" s="79"/>
      <c r="B75" s="13" t="s">
        <v>280</v>
      </c>
      <c r="C75" s="31" t="s">
        <v>9</v>
      </c>
      <c r="D75" s="17">
        <f>1*1.8+0.9*1.2+1.2*1.2+1*1.2</f>
        <v>5.5200000000000005</v>
      </c>
      <c r="E75" s="32"/>
      <c r="F75" s="105"/>
      <c r="G75" s="33"/>
      <c r="Z75" s="55"/>
      <c r="AA75" s="55"/>
    </row>
    <row r="76" spans="1:27" x14ac:dyDescent="0.25">
      <c r="A76" s="79"/>
      <c r="B76" s="27"/>
      <c r="C76" s="31"/>
      <c r="D76" s="32"/>
      <c r="E76" s="32"/>
      <c r="F76" s="105"/>
      <c r="G76" s="33"/>
      <c r="Z76" s="55"/>
      <c r="AA76" s="55"/>
    </row>
    <row r="77" spans="1:27" x14ac:dyDescent="0.25">
      <c r="A77" s="40"/>
      <c r="B77" s="36" t="s">
        <v>121</v>
      </c>
      <c r="C77" s="37" t="s">
        <v>9</v>
      </c>
      <c r="D77" s="38"/>
      <c r="E77" s="38">
        <f>SUM(D78:D79)</f>
        <v>20.3</v>
      </c>
      <c r="F77" s="107">
        <v>0</v>
      </c>
      <c r="G77" s="39">
        <f>F77*E77</f>
        <v>0</v>
      </c>
      <c r="Z77" s="55"/>
      <c r="AA77" s="55"/>
    </row>
    <row r="78" spans="1:27" x14ac:dyDescent="0.25">
      <c r="A78" s="40"/>
      <c r="B78" s="36" t="s">
        <v>189</v>
      </c>
      <c r="C78" s="37" t="s">
        <v>9</v>
      </c>
      <c r="D78" s="38">
        <f>14</f>
        <v>14</v>
      </c>
      <c r="E78" s="38"/>
      <c r="F78" s="107"/>
      <c r="G78" s="39"/>
      <c r="Z78" s="55"/>
      <c r="AA78" s="55"/>
    </row>
    <row r="79" spans="1:27" x14ac:dyDescent="0.25">
      <c r="A79" s="40"/>
      <c r="B79" s="36" t="s">
        <v>184</v>
      </c>
      <c r="C79" s="37" t="s">
        <v>9</v>
      </c>
      <c r="D79" s="38">
        <f>3.7+2.6</f>
        <v>6.3000000000000007</v>
      </c>
      <c r="E79" s="38"/>
      <c r="F79" s="107"/>
      <c r="G79" s="39"/>
      <c r="Z79" s="55"/>
      <c r="AA79" s="55"/>
    </row>
    <row r="80" spans="1:27" x14ac:dyDescent="0.25">
      <c r="A80" s="40"/>
      <c r="B80" s="36"/>
      <c r="C80" s="37"/>
      <c r="D80" s="38"/>
      <c r="E80" s="38"/>
      <c r="F80" s="107"/>
      <c r="G80" s="39"/>
      <c r="Z80" s="55"/>
      <c r="AA80" s="55"/>
    </row>
    <row r="81" spans="1:27" x14ac:dyDescent="0.25">
      <c r="A81" s="40"/>
      <c r="B81" s="36" t="s">
        <v>185</v>
      </c>
      <c r="C81" s="37" t="s">
        <v>9</v>
      </c>
      <c r="D81" s="38"/>
      <c r="E81" s="38">
        <v>78</v>
      </c>
      <c r="F81" s="107">
        <v>0</v>
      </c>
      <c r="G81" s="39">
        <f>F81*E81</f>
        <v>0</v>
      </c>
      <c r="Z81" s="55"/>
      <c r="AA81" s="55"/>
    </row>
    <row r="82" spans="1:27" x14ac:dyDescent="0.25">
      <c r="A82" s="40"/>
      <c r="B82" s="36" t="s">
        <v>186</v>
      </c>
      <c r="C82" s="37" t="s">
        <v>9</v>
      </c>
      <c r="D82" s="38" t="s">
        <v>282</v>
      </c>
      <c r="E82" s="38"/>
      <c r="F82" s="107"/>
      <c r="G82" s="39"/>
      <c r="Z82" s="55"/>
      <c r="AA82" s="55"/>
    </row>
    <row r="83" spans="1:27" x14ac:dyDescent="0.25">
      <c r="A83" s="40"/>
      <c r="B83" s="36"/>
      <c r="C83" s="37"/>
      <c r="D83" s="38"/>
      <c r="E83" s="38"/>
      <c r="F83" s="107"/>
      <c r="G83" s="39"/>
      <c r="Z83" s="55"/>
      <c r="AA83" s="55"/>
    </row>
    <row r="84" spans="1:27" x14ac:dyDescent="0.25">
      <c r="A84" s="79">
        <v>9</v>
      </c>
      <c r="B84" s="13" t="s">
        <v>35</v>
      </c>
      <c r="C84" s="31" t="s">
        <v>44</v>
      </c>
      <c r="D84" s="32">
        <v>2</v>
      </c>
      <c r="E84" s="32">
        <f>D84</f>
        <v>2</v>
      </c>
      <c r="F84" s="105">
        <v>0</v>
      </c>
      <c r="G84" s="33">
        <f>F84*E84</f>
        <v>0</v>
      </c>
      <c r="Z84" s="55"/>
      <c r="AA84" s="55"/>
    </row>
    <row r="85" spans="1:27" x14ac:dyDescent="0.25">
      <c r="A85" s="79">
        <v>10</v>
      </c>
      <c r="B85" s="13" t="s">
        <v>187</v>
      </c>
      <c r="C85" s="31" t="s">
        <v>44</v>
      </c>
      <c r="D85" s="32">
        <v>1</v>
      </c>
      <c r="E85" s="32">
        <f>D85</f>
        <v>1</v>
      </c>
      <c r="F85" s="105">
        <v>0</v>
      </c>
      <c r="G85" s="33">
        <f>F85*E85</f>
        <v>0</v>
      </c>
      <c r="Z85" s="55"/>
      <c r="AA85" s="55"/>
    </row>
    <row r="86" spans="1:27" x14ac:dyDescent="0.25">
      <c r="A86" s="79"/>
      <c r="B86" s="13" t="s">
        <v>188</v>
      </c>
      <c r="C86" s="31" t="s">
        <v>44</v>
      </c>
      <c r="D86" s="32">
        <v>1</v>
      </c>
      <c r="E86" s="32">
        <f>D86</f>
        <v>1</v>
      </c>
      <c r="F86" s="105">
        <v>0</v>
      </c>
      <c r="G86" s="33">
        <v>0</v>
      </c>
      <c r="Z86" s="55"/>
      <c r="AA86" s="55"/>
    </row>
    <row r="87" spans="1:27" x14ac:dyDescent="0.25">
      <c r="A87" s="79"/>
      <c r="B87" s="13"/>
      <c r="C87" s="31"/>
      <c r="D87" s="32"/>
      <c r="E87" s="32"/>
      <c r="F87" s="105"/>
      <c r="G87" s="33"/>
      <c r="Z87" s="55"/>
      <c r="AA87" s="55"/>
    </row>
    <row r="88" spans="1:27" x14ac:dyDescent="0.25">
      <c r="A88" s="79"/>
      <c r="B88" s="13" t="s">
        <v>281</v>
      </c>
      <c r="C88" s="31" t="s">
        <v>9</v>
      </c>
      <c r="D88" s="32">
        <v>100</v>
      </c>
      <c r="E88" s="32">
        <v>1</v>
      </c>
      <c r="F88" s="105">
        <v>0</v>
      </c>
      <c r="G88" s="33">
        <v>0</v>
      </c>
      <c r="Z88" s="55"/>
      <c r="AA88" s="55"/>
    </row>
    <row r="89" spans="1:27" x14ac:dyDescent="0.25">
      <c r="A89" s="79"/>
      <c r="B89" s="13"/>
      <c r="C89" s="31"/>
      <c r="D89" s="32"/>
      <c r="E89" s="32"/>
      <c r="F89" s="105"/>
      <c r="G89" s="33"/>
      <c r="Z89" s="55"/>
      <c r="AA89" s="55"/>
    </row>
    <row r="90" spans="1:27" x14ac:dyDescent="0.25">
      <c r="A90" s="79"/>
      <c r="B90" s="13" t="s">
        <v>252</v>
      </c>
      <c r="C90" s="31" t="s">
        <v>10</v>
      </c>
      <c r="D90" s="32"/>
      <c r="E90" s="32">
        <v>1</v>
      </c>
      <c r="F90" s="105">
        <v>0</v>
      </c>
      <c r="G90" s="33"/>
      <c r="Z90" s="55"/>
      <c r="AA90" s="55"/>
    </row>
    <row r="91" spans="1:27" x14ac:dyDescent="0.25">
      <c r="A91" s="40"/>
      <c r="B91" s="36" t="s">
        <v>253</v>
      </c>
      <c r="C91" s="37" t="s">
        <v>44</v>
      </c>
      <c r="D91" s="38">
        <v>1</v>
      </c>
      <c r="E91" s="38"/>
      <c r="F91" s="107" t="s">
        <v>43</v>
      </c>
      <c r="G91" s="39"/>
      <c r="Z91" s="55"/>
      <c r="AA91" s="55"/>
    </row>
    <row r="92" spans="1:27" x14ac:dyDescent="0.25">
      <c r="A92" s="54" t="s">
        <v>0</v>
      </c>
      <c r="B92" s="66" t="s">
        <v>20</v>
      </c>
      <c r="C92" s="67" t="s">
        <v>0</v>
      </c>
      <c r="D92" s="68" t="s">
        <v>0</v>
      </c>
      <c r="E92" s="68" t="s">
        <v>0</v>
      </c>
      <c r="F92" s="103" t="s">
        <v>0</v>
      </c>
      <c r="G92" s="69"/>
      <c r="Z92" s="55"/>
      <c r="AA92" s="55"/>
    </row>
    <row r="93" spans="1:27" x14ac:dyDescent="0.25">
      <c r="A93" s="46">
        <v>14</v>
      </c>
      <c r="B93" s="13" t="s">
        <v>122</v>
      </c>
      <c r="C93" s="31" t="s">
        <v>9</v>
      </c>
      <c r="D93" s="32"/>
      <c r="E93" s="32">
        <f>D94+D95+D96+D97</f>
        <v>315.42000000000007</v>
      </c>
      <c r="F93" s="105">
        <v>0</v>
      </c>
      <c r="G93" s="34">
        <f>F93*E93</f>
        <v>0</v>
      </c>
      <c r="Z93" s="55"/>
      <c r="AA93" s="55"/>
    </row>
    <row r="94" spans="1:27" x14ac:dyDescent="0.25">
      <c r="A94" s="46"/>
      <c r="B94" s="13" t="s">
        <v>190</v>
      </c>
      <c r="C94" s="31" t="s">
        <v>9</v>
      </c>
      <c r="D94" s="32">
        <f>(17*2.5)-1.7*1.5-0.8*2+(4.6*2.5)-4*0.8*2</f>
        <v>43.45</v>
      </c>
      <c r="E94" s="32"/>
      <c r="F94" s="105"/>
      <c r="G94" s="34"/>
      <c r="Z94" s="55"/>
      <c r="AA94" s="55"/>
    </row>
    <row r="95" spans="1:27" x14ac:dyDescent="0.25">
      <c r="A95" s="46"/>
      <c r="B95" s="13" t="s">
        <v>191</v>
      </c>
      <c r="C95" s="31" t="s">
        <v>9</v>
      </c>
      <c r="D95" s="32">
        <f>(33*2.5)-1.2*1.2-0.8*2-1.7*1.5-1.7*1.5-0.8*2-0.8*2+(6.8*2.5)-0.8*2-0.8*2-0.8*2</f>
        <v>83.360000000000042</v>
      </c>
      <c r="E95" s="32"/>
      <c r="F95" s="105"/>
      <c r="G95" s="34"/>
      <c r="Z95" s="55"/>
      <c r="AA95" s="55"/>
    </row>
    <row r="96" spans="1:27" x14ac:dyDescent="0.25">
      <c r="A96" s="46"/>
      <c r="B96" s="13" t="s">
        <v>192</v>
      </c>
      <c r="C96" s="31" t="s">
        <v>9</v>
      </c>
      <c r="D96" s="32">
        <f xml:space="preserve"> (16*2.3)-0.8*2-0.9*1.2+(17*2.3)-1.7*1.5-0.8*2+(13.2*2.3)-1.7*1.5-0.8*2+(14.7*2.3)-0.9*2.2-0.8*2-0.8*2-0.8*2-0.8*2-0.8*2+(10*3)</f>
        <v>149.11000000000001</v>
      </c>
      <c r="E96" s="32"/>
      <c r="F96" s="105"/>
      <c r="G96" s="34"/>
      <c r="Z96" s="55"/>
      <c r="AA96" s="55"/>
    </row>
    <row r="97" spans="1:27" x14ac:dyDescent="0.25">
      <c r="A97" s="46"/>
      <c r="B97" s="13" t="s">
        <v>193</v>
      </c>
      <c r="C97" s="31" t="s">
        <v>9</v>
      </c>
      <c r="D97" s="32">
        <f>(19*2.5)-0.9*2-0.8*2-0.8*2-0.7*2-0.8*2</f>
        <v>39.5</v>
      </c>
      <c r="E97" s="32"/>
      <c r="F97" s="105"/>
      <c r="G97" s="34"/>
      <c r="Z97" s="55"/>
      <c r="AA97" s="55"/>
    </row>
    <row r="98" spans="1:27" x14ac:dyDescent="0.25">
      <c r="A98" s="54" t="s">
        <v>0</v>
      </c>
      <c r="B98" s="66" t="s">
        <v>194</v>
      </c>
      <c r="C98" s="67" t="s">
        <v>0</v>
      </c>
      <c r="D98" s="68" t="s">
        <v>0</v>
      </c>
      <c r="E98" s="68" t="s">
        <v>0</v>
      </c>
      <c r="F98" s="103" t="s">
        <v>0</v>
      </c>
      <c r="G98" s="69"/>
      <c r="Z98" s="55"/>
      <c r="AA98" s="55"/>
    </row>
    <row r="99" spans="1:27" x14ac:dyDescent="0.25">
      <c r="A99" s="46">
        <v>14</v>
      </c>
      <c r="B99" s="13" t="s">
        <v>195</v>
      </c>
      <c r="C99" s="31" t="s">
        <v>9</v>
      </c>
      <c r="D99" s="32" t="s">
        <v>285</v>
      </c>
      <c r="E99" s="32">
        <v>150</v>
      </c>
      <c r="F99" s="105">
        <v>0</v>
      </c>
      <c r="G99" s="34">
        <v>0</v>
      </c>
      <c r="Z99" s="55"/>
      <c r="AA99" s="55"/>
    </row>
    <row r="100" spans="1:27" x14ac:dyDescent="0.25">
      <c r="A100" s="46"/>
      <c r="B100" s="13"/>
      <c r="C100" s="31"/>
      <c r="D100" s="32"/>
      <c r="E100" s="32"/>
      <c r="F100" s="105"/>
      <c r="G100" s="34"/>
      <c r="Z100" s="55"/>
      <c r="AA100" s="55"/>
    </row>
    <row r="101" spans="1:27" x14ac:dyDescent="0.25">
      <c r="A101" s="54" t="s">
        <v>0</v>
      </c>
      <c r="B101" s="66" t="s">
        <v>2</v>
      </c>
      <c r="C101" s="67" t="s">
        <v>0</v>
      </c>
      <c r="D101" s="68" t="s">
        <v>0</v>
      </c>
      <c r="E101" s="68" t="s">
        <v>0</v>
      </c>
      <c r="F101" s="103"/>
      <c r="G101" s="69"/>
      <c r="I101" s="56"/>
      <c r="J101" s="56"/>
      <c r="Z101" s="55"/>
      <c r="AA101" s="55"/>
    </row>
    <row r="102" spans="1:27" x14ac:dyDescent="0.25">
      <c r="A102" s="41"/>
      <c r="B102" s="13" t="s">
        <v>196</v>
      </c>
      <c r="C102" s="31" t="s">
        <v>9</v>
      </c>
      <c r="D102" s="32"/>
      <c r="E102" s="32">
        <f>D103+D104+D105</f>
        <v>100.6</v>
      </c>
      <c r="F102" s="105">
        <v>0</v>
      </c>
      <c r="G102" s="34">
        <f>F102*E102</f>
        <v>0</v>
      </c>
      <c r="I102" s="56"/>
      <c r="J102" s="56"/>
      <c r="Z102" s="55"/>
      <c r="AA102" s="55"/>
    </row>
    <row r="103" spans="1:27" x14ac:dyDescent="0.25">
      <c r="B103" s="80" t="s">
        <v>197</v>
      </c>
      <c r="C103" s="81" t="s">
        <v>9</v>
      </c>
      <c r="D103" s="82">
        <v>17</v>
      </c>
      <c r="E103" s="82"/>
      <c r="F103" s="108"/>
      <c r="G103" s="83"/>
    </row>
    <row r="104" spans="1:27" x14ac:dyDescent="0.25">
      <c r="A104" s="41"/>
      <c r="B104" s="13" t="s">
        <v>198</v>
      </c>
      <c r="C104" s="31" t="s">
        <v>9</v>
      </c>
      <c r="D104" s="32">
        <f>37</f>
        <v>37</v>
      </c>
      <c r="E104" s="32"/>
      <c r="F104" s="105"/>
      <c r="G104" s="34"/>
      <c r="I104" s="56"/>
      <c r="J104" s="56"/>
      <c r="Z104" s="55"/>
      <c r="AA104" s="55"/>
    </row>
    <row r="105" spans="1:27" x14ac:dyDescent="0.25">
      <c r="A105" s="41"/>
      <c r="B105" s="13" t="s">
        <v>199</v>
      </c>
      <c r="C105" s="31" t="s">
        <v>9</v>
      </c>
      <c r="D105" s="32">
        <f>55.6-9</f>
        <v>46.6</v>
      </c>
      <c r="E105" s="32"/>
      <c r="F105" s="105"/>
      <c r="G105" s="34"/>
      <c r="I105" s="56"/>
      <c r="J105" s="56"/>
      <c r="Z105" s="55"/>
      <c r="AA105" s="55"/>
    </row>
    <row r="106" spans="1:27" x14ac:dyDescent="0.25">
      <c r="A106" s="41"/>
      <c r="B106" s="13"/>
      <c r="C106" s="31"/>
      <c r="D106" s="32"/>
      <c r="E106" s="32"/>
      <c r="F106" s="105"/>
      <c r="G106" s="34"/>
      <c r="I106" s="56"/>
      <c r="J106" s="56"/>
      <c r="Z106" s="55"/>
      <c r="AA106" s="55"/>
    </row>
    <row r="107" spans="1:27" x14ac:dyDescent="0.25">
      <c r="A107" s="41"/>
      <c r="B107" s="13" t="s">
        <v>200</v>
      </c>
      <c r="C107" s="31" t="s">
        <v>9</v>
      </c>
      <c r="D107" s="32">
        <f>E102*1.08</f>
        <v>108.648</v>
      </c>
      <c r="E107" s="32">
        <f>D107</f>
        <v>108.648</v>
      </c>
      <c r="F107" s="105" t="s">
        <v>43</v>
      </c>
      <c r="G107" s="34"/>
      <c r="I107" s="56"/>
      <c r="J107" s="56"/>
      <c r="Z107" s="55"/>
      <c r="AA107" s="55"/>
    </row>
    <row r="108" spans="1:27" x14ac:dyDescent="0.25">
      <c r="A108" s="46"/>
      <c r="B108" s="13"/>
      <c r="C108" s="31"/>
      <c r="D108" s="32"/>
      <c r="E108" s="32"/>
      <c r="F108" s="105"/>
      <c r="G108" s="34"/>
      <c r="I108" s="56"/>
      <c r="J108" s="56"/>
    </row>
    <row r="109" spans="1:27" x14ac:dyDescent="0.25">
      <c r="A109" s="48"/>
      <c r="B109" s="13" t="s">
        <v>36</v>
      </c>
      <c r="C109" s="31" t="s">
        <v>11</v>
      </c>
      <c r="D109" s="32">
        <f>57+14+33</f>
        <v>104</v>
      </c>
      <c r="E109" s="32">
        <f>D109</f>
        <v>104</v>
      </c>
      <c r="F109" s="105">
        <v>0</v>
      </c>
      <c r="G109" s="34">
        <f>F109*E109</f>
        <v>0</v>
      </c>
      <c r="I109" s="56"/>
      <c r="J109" s="56"/>
      <c r="Z109" s="55" t="e">
        <f>#REF!*0.609570247933884</f>
        <v>#REF!</v>
      </c>
      <c r="AA109" s="55" t="e">
        <f>#REF!*(1-0.609570247933884)</f>
        <v>#REF!</v>
      </c>
    </row>
    <row r="110" spans="1:27" x14ac:dyDescent="0.25">
      <c r="A110" s="46">
        <v>19</v>
      </c>
      <c r="B110" s="27" t="s">
        <v>201</v>
      </c>
      <c r="C110" s="28" t="s">
        <v>11</v>
      </c>
      <c r="D110" s="17">
        <f>D109*1.08</f>
        <v>112.32000000000001</v>
      </c>
      <c r="E110" s="32"/>
      <c r="F110" s="105" t="s">
        <v>43</v>
      </c>
      <c r="G110" s="34"/>
      <c r="I110" s="56"/>
      <c r="J110" s="56"/>
      <c r="Z110" s="55"/>
      <c r="AA110" s="55"/>
    </row>
    <row r="111" spans="1:27" x14ac:dyDescent="0.25">
      <c r="A111" s="46">
        <v>20</v>
      </c>
      <c r="B111" s="27"/>
      <c r="C111" s="28"/>
      <c r="D111" s="17"/>
      <c r="E111" s="32"/>
      <c r="F111" s="105"/>
      <c r="G111" s="34"/>
      <c r="I111" s="56"/>
      <c r="J111" s="56"/>
      <c r="Z111" s="55"/>
      <c r="AA111" s="55"/>
    </row>
    <row r="112" spans="1:27" x14ac:dyDescent="0.25">
      <c r="A112" s="46"/>
      <c r="B112" s="13" t="s">
        <v>37</v>
      </c>
      <c r="C112" s="28" t="s">
        <v>11</v>
      </c>
      <c r="D112" s="17">
        <v>14</v>
      </c>
      <c r="E112" s="32">
        <f>D112</f>
        <v>14</v>
      </c>
      <c r="F112" s="105">
        <v>0</v>
      </c>
      <c r="G112" s="34">
        <f>F112*E112</f>
        <v>0</v>
      </c>
      <c r="I112" s="56"/>
      <c r="J112" s="56"/>
      <c r="Z112" s="55"/>
      <c r="AA112" s="55"/>
    </row>
    <row r="113" spans="1:27" x14ac:dyDescent="0.25">
      <c r="A113" s="46">
        <v>21</v>
      </c>
      <c r="B113" s="27" t="s">
        <v>95</v>
      </c>
      <c r="C113" s="28" t="s">
        <v>11</v>
      </c>
      <c r="D113" s="17">
        <f>D112*1.08</f>
        <v>15.120000000000001</v>
      </c>
      <c r="E113" s="32"/>
      <c r="F113" s="105" t="s">
        <v>43</v>
      </c>
      <c r="G113" s="34"/>
      <c r="I113" s="56"/>
      <c r="J113" s="56"/>
      <c r="Z113" s="55"/>
      <c r="AA113" s="55"/>
    </row>
    <row r="114" spans="1:27" x14ac:dyDescent="0.25">
      <c r="A114" s="46"/>
      <c r="B114" s="27"/>
      <c r="C114" s="28"/>
      <c r="D114" s="17"/>
      <c r="E114" s="32"/>
      <c r="F114" s="105"/>
      <c r="G114" s="34"/>
      <c r="I114" s="56"/>
      <c r="J114" s="56"/>
      <c r="Z114" s="55"/>
      <c r="AA114" s="55"/>
    </row>
    <row r="115" spans="1:27" x14ac:dyDescent="0.25">
      <c r="A115" s="46"/>
      <c r="B115" s="27" t="s">
        <v>123</v>
      </c>
      <c r="C115" s="28" t="s">
        <v>9</v>
      </c>
      <c r="D115" s="17"/>
      <c r="E115" s="32">
        <f>D116</f>
        <v>2.2999999999999998</v>
      </c>
      <c r="F115" s="105">
        <v>0</v>
      </c>
      <c r="G115" s="34">
        <f>F115*E115</f>
        <v>0</v>
      </c>
      <c r="I115" s="56"/>
      <c r="J115" s="56"/>
      <c r="Z115" s="55"/>
      <c r="AA115" s="55"/>
    </row>
    <row r="116" spans="1:27" x14ac:dyDescent="0.25">
      <c r="A116" s="46"/>
      <c r="B116" s="27" t="s">
        <v>202</v>
      </c>
      <c r="C116" s="28"/>
      <c r="D116" s="17">
        <v>2.2999999999999998</v>
      </c>
      <c r="E116" s="32"/>
      <c r="F116" s="105"/>
      <c r="G116" s="34"/>
      <c r="I116" s="56"/>
      <c r="J116" s="56"/>
      <c r="Z116" s="55"/>
      <c r="AA116" s="55"/>
    </row>
    <row r="117" spans="1:27" x14ac:dyDescent="0.25">
      <c r="A117" s="46"/>
      <c r="B117" s="27"/>
      <c r="C117" s="28"/>
      <c r="D117" s="17"/>
      <c r="E117" s="32"/>
      <c r="F117" s="105"/>
      <c r="G117" s="34"/>
      <c r="I117" s="56"/>
      <c r="J117" s="56"/>
      <c r="Z117" s="55"/>
      <c r="AA117" s="55"/>
    </row>
    <row r="118" spans="1:27" x14ac:dyDescent="0.25">
      <c r="A118" s="46"/>
      <c r="B118" s="27" t="s">
        <v>203</v>
      </c>
      <c r="C118" s="28" t="s">
        <v>9</v>
      </c>
      <c r="D118" s="17">
        <f>22</f>
        <v>22</v>
      </c>
      <c r="E118" s="32">
        <f>D118</f>
        <v>22</v>
      </c>
      <c r="F118" s="105">
        <v>0</v>
      </c>
      <c r="G118" s="34">
        <f>F118*E118</f>
        <v>0</v>
      </c>
      <c r="I118" s="56"/>
      <c r="J118" s="56"/>
      <c r="Z118" s="55"/>
      <c r="AA118" s="55"/>
    </row>
    <row r="119" spans="1:27" x14ac:dyDescent="0.25">
      <c r="A119" s="46"/>
      <c r="B119" s="27"/>
      <c r="C119" s="28"/>
      <c r="D119" s="17"/>
      <c r="E119" s="32"/>
      <c r="F119" s="105"/>
      <c r="G119" s="34"/>
      <c r="I119" s="56"/>
      <c r="J119" s="56"/>
      <c r="Z119" s="55"/>
      <c r="AA119" s="55"/>
    </row>
    <row r="120" spans="1:27" x14ac:dyDescent="0.25">
      <c r="A120" s="46"/>
      <c r="B120" s="27" t="s">
        <v>204</v>
      </c>
      <c r="C120" s="28" t="s">
        <v>9</v>
      </c>
      <c r="D120" s="17">
        <f>2.5</f>
        <v>2.5</v>
      </c>
      <c r="E120" s="32">
        <f>D120</f>
        <v>2.5</v>
      </c>
      <c r="F120" s="105">
        <v>0</v>
      </c>
      <c r="G120" s="34">
        <f>F120*E120</f>
        <v>0</v>
      </c>
      <c r="I120" s="56"/>
      <c r="J120" s="56"/>
      <c r="Z120" s="55"/>
      <c r="AA120" s="55"/>
    </row>
    <row r="121" spans="1:27" x14ac:dyDescent="0.25">
      <c r="A121" s="46"/>
      <c r="B121" s="27"/>
      <c r="C121" s="28"/>
      <c r="D121" s="17"/>
      <c r="E121" s="32"/>
      <c r="F121" s="105"/>
      <c r="G121" s="34"/>
      <c r="I121" s="56"/>
      <c r="J121" s="56"/>
      <c r="Z121" s="55"/>
      <c r="AA121" s="55"/>
    </row>
    <row r="122" spans="1:27" x14ac:dyDescent="0.25">
      <c r="A122" s="46"/>
      <c r="B122" s="27"/>
      <c r="C122" s="28"/>
      <c r="D122" s="17"/>
      <c r="E122" s="32"/>
      <c r="F122" s="105"/>
      <c r="G122" s="34"/>
      <c r="I122" s="56"/>
      <c r="J122" s="56"/>
      <c r="Z122" s="55"/>
      <c r="AA122" s="55"/>
    </row>
    <row r="123" spans="1:27" s="44" customFormat="1" x14ac:dyDescent="0.25">
      <c r="A123" s="46">
        <v>22</v>
      </c>
      <c r="B123" s="66" t="s">
        <v>3</v>
      </c>
      <c r="C123" s="67" t="s">
        <v>0</v>
      </c>
      <c r="D123" s="68" t="s">
        <v>0</v>
      </c>
      <c r="E123" s="68" t="s">
        <v>0</v>
      </c>
      <c r="F123" s="103"/>
      <c r="G123" s="69"/>
      <c r="H123" s="42"/>
      <c r="I123" s="43"/>
      <c r="J123" s="43"/>
      <c r="Z123" s="45"/>
      <c r="AA123" s="45"/>
    </row>
    <row r="124" spans="1:27" x14ac:dyDescent="0.25">
      <c r="A124" s="46"/>
      <c r="B124" s="13" t="s">
        <v>45</v>
      </c>
      <c r="C124" s="31" t="s">
        <v>9</v>
      </c>
      <c r="D124" s="32">
        <f>4.2*2.5+2.5+3.6+3+4.26+1.5+5+4.2+2.5+2.5+1.5</f>
        <v>41.06</v>
      </c>
      <c r="E124" s="32">
        <f>D124</f>
        <v>41.06</v>
      </c>
      <c r="F124" s="105">
        <v>0</v>
      </c>
      <c r="G124" s="34">
        <f>F124</f>
        <v>0</v>
      </c>
      <c r="H124" s="51">
        <f>(4.4+4.4+5+5)*3-(1.2*2.4*2+0.8*3*1.97)</f>
        <v>45.912000000000006</v>
      </c>
      <c r="Z124" s="55"/>
      <c r="AA124" s="55"/>
    </row>
    <row r="125" spans="1:27" x14ac:dyDescent="0.25">
      <c r="A125" s="46">
        <v>23</v>
      </c>
      <c r="B125" s="13" t="s">
        <v>137</v>
      </c>
      <c r="C125" s="31" t="s">
        <v>74</v>
      </c>
      <c r="D125" s="17">
        <v>50</v>
      </c>
      <c r="E125" s="32"/>
      <c r="F125" s="105" t="s">
        <v>43</v>
      </c>
      <c r="G125" s="34"/>
      <c r="Z125" s="55"/>
      <c r="AA125" s="55"/>
    </row>
    <row r="126" spans="1:27" x14ac:dyDescent="0.25">
      <c r="A126" s="46">
        <v>24</v>
      </c>
      <c r="B126" s="13" t="s">
        <v>97</v>
      </c>
      <c r="C126" s="31" t="s">
        <v>44</v>
      </c>
      <c r="D126" s="17">
        <v>2</v>
      </c>
      <c r="E126" s="32"/>
      <c r="F126" s="105" t="s">
        <v>43</v>
      </c>
      <c r="G126" s="34"/>
      <c r="Z126" s="55"/>
      <c r="AA126" s="55"/>
    </row>
    <row r="127" spans="1:27" x14ac:dyDescent="0.25">
      <c r="A127" s="54" t="s">
        <v>0</v>
      </c>
      <c r="B127" s="66" t="s">
        <v>28</v>
      </c>
      <c r="C127" s="67" t="s">
        <v>0</v>
      </c>
      <c r="D127" s="68" t="s">
        <v>0</v>
      </c>
      <c r="E127" s="68" t="s">
        <v>0</v>
      </c>
      <c r="F127" s="103"/>
      <c r="G127" s="69"/>
      <c r="Z127" s="55"/>
      <c r="AA127" s="55"/>
    </row>
    <row r="128" spans="1:27" x14ac:dyDescent="0.25">
      <c r="A128" s="46">
        <v>25</v>
      </c>
      <c r="B128" s="13" t="s">
        <v>46</v>
      </c>
      <c r="C128" s="31" t="s">
        <v>10</v>
      </c>
      <c r="D128" s="32">
        <v>3</v>
      </c>
      <c r="E128" s="32">
        <v>4</v>
      </c>
      <c r="F128" s="105">
        <v>0</v>
      </c>
      <c r="G128" s="34">
        <f>F128*E128</f>
        <v>0</v>
      </c>
      <c r="Z128" s="55"/>
      <c r="AA128" s="55"/>
    </row>
    <row r="129" spans="1:27" x14ac:dyDescent="0.25">
      <c r="A129" s="46"/>
      <c r="B129" s="13"/>
      <c r="C129" s="31"/>
      <c r="D129" s="32"/>
      <c r="E129" s="32"/>
      <c r="F129" s="105"/>
      <c r="G129" s="34"/>
      <c r="Z129" s="55"/>
      <c r="AA129" s="55"/>
    </row>
    <row r="130" spans="1:27" x14ac:dyDescent="0.25">
      <c r="A130" s="46"/>
      <c r="B130" s="13" t="s">
        <v>47</v>
      </c>
      <c r="C130" s="31" t="s">
        <v>10</v>
      </c>
      <c r="D130" s="32">
        <v>3</v>
      </c>
      <c r="E130" s="32">
        <v>4</v>
      </c>
      <c r="F130" s="105">
        <v>0</v>
      </c>
      <c r="G130" s="34">
        <f>F130*E130</f>
        <v>0</v>
      </c>
    </row>
    <row r="131" spans="1:27" s="56" customFormat="1" x14ac:dyDescent="0.25">
      <c r="A131" s="54" t="s">
        <v>0</v>
      </c>
      <c r="B131" s="13"/>
      <c r="C131" s="31"/>
      <c r="D131" s="32"/>
      <c r="E131" s="32"/>
      <c r="F131" s="105"/>
      <c r="G131" s="34"/>
      <c r="H131" s="53"/>
    </row>
    <row r="132" spans="1:27" s="56" customFormat="1" x14ac:dyDescent="0.25">
      <c r="A132" s="46">
        <v>27</v>
      </c>
      <c r="B132" s="13" t="s">
        <v>55</v>
      </c>
      <c r="C132" s="31" t="s">
        <v>10</v>
      </c>
      <c r="D132" s="32">
        <v>3</v>
      </c>
      <c r="E132" s="32">
        <f>D132</f>
        <v>3</v>
      </c>
      <c r="F132" s="105">
        <v>0</v>
      </c>
      <c r="G132" s="34">
        <f>F132*E132</f>
        <v>0</v>
      </c>
      <c r="H132" s="53"/>
    </row>
    <row r="133" spans="1:27" s="56" customFormat="1" x14ac:dyDescent="0.25">
      <c r="A133" s="46"/>
      <c r="B133" s="13" t="s">
        <v>98</v>
      </c>
      <c r="C133" s="31" t="s">
        <v>12</v>
      </c>
      <c r="D133" s="32">
        <v>3</v>
      </c>
      <c r="E133" s="32"/>
      <c r="F133" s="105" t="s">
        <v>43</v>
      </c>
      <c r="G133" s="34"/>
      <c r="H133" s="53"/>
    </row>
    <row r="134" spans="1:27" s="56" customFormat="1" x14ac:dyDescent="0.25">
      <c r="A134" s="46">
        <v>28</v>
      </c>
      <c r="B134" s="13" t="s">
        <v>99</v>
      </c>
      <c r="C134" s="31" t="s">
        <v>12</v>
      </c>
      <c r="D134" s="32">
        <v>3</v>
      </c>
      <c r="E134" s="32"/>
      <c r="F134" s="105" t="s">
        <v>43</v>
      </c>
      <c r="G134" s="34"/>
      <c r="H134" s="53"/>
    </row>
    <row r="135" spans="1:27" s="56" customFormat="1" x14ac:dyDescent="0.25">
      <c r="A135" s="46"/>
      <c r="B135" s="13"/>
      <c r="C135" s="31"/>
      <c r="D135" s="32"/>
      <c r="E135" s="32"/>
      <c r="F135" s="105"/>
      <c r="G135" s="34"/>
      <c r="H135" s="53"/>
    </row>
    <row r="136" spans="1:27" x14ac:dyDescent="0.25">
      <c r="A136" s="46"/>
      <c r="B136" s="13" t="s">
        <v>38</v>
      </c>
      <c r="C136" s="31" t="s">
        <v>10</v>
      </c>
      <c r="D136" s="84">
        <v>3</v>
      </c>
      <c r="E136" s="32">
        <f>D136</f>
        <v>3</v>
      </c>
      <c r="F136" s="105">
        <v>0</v>
      </c>
      <c r="G136" s="34">
        <f>F136*E136</f>
        <v>0</v>
      </c>
    </row>
    <row r="137" spans="1:27" x14ac:dyDescent="0.25">
      <c r="A137" s="46"/>
      <c r="B137" s="13" t="s">
        <v>100</v>
      </c>
      <c r="C137" s="31" t="s">
        <v>12</v>
      </c>
      <c r="D137" s="35">
        <v>3</v>
      </c>
      <c r="E137" s="32"/>
      <c r="F137" s="105" t="s">
        <v>43</v>
      </c>
      <c r="G137" s="34"/>
      <c r="Z137" s="55" t="e">
        <f>#REF!*0.561587955625991</f>
        <v>#REF!</v>
      </c>
      <c r="AA137" s="55" t="e">
        <f>#REF!*(1-0.561587955625991)</f>
        <v>#REF!</v>
      </c>
    </row>
    <row r="138" spans="1:27" x14ac:dyDescent="0.25">
      <c r="A138" s="46"/>
      <c r="B138" s="13" t="s">
        <v>101</v>
      </c>
      <c r="C138" s="31" t="s">
        <v>12</v>
      </c>
      <c r="D138" s="35">
        <v>3</v>
      </c>
      <c r="E138" s="32"/>
      <c r="F138" s="105" t="s">
        <v>43</v>
      </c>
      <c r="G138" s="34"/>
      <c r="Z138" s="55"/>
      <c r="AA138" s="55"/>
    </row>
    <row r="139" spans="1:27" x14ac:dyDescent="0.25">
      <c r="A139" s="46"/>
      <c r="B139" s="13" t="s">
        <v>134</v>
      </c>
      <c r="C139" s="31" t="s">
        <v>12</v>
      </c>
      <c r="D139" s="35">
        <v>3</v>
      </c>
      <c r="E139" s="32"/>
      <c r="F139" s="105" t="s">
        <v>43</v>
      </c>
      <c r="G139" s="34"/>
      <c r="Z139" s="55"/>
      <c r="AA139" s="55"/>
    </row>
    <row r="140" spans="1:27" x14ac:dyDescent="0.25">
      <c r="A140" s="46"/>
      <c r="B140" s="13" t="s">
        <v>223</v>
      </c>
      <c r="C140" s="31" t="s">
        <v>12</v>
      </c>
      <c r="D140" s="35">
        <v>3</v>
      </c>
      <c r="E140" s="32"/>
      <c r="F140" s="105"/>
      <c r="G140" s="34"/>
      <c r="Z140" s="55"/>
      <c r="AA140" s="55"/>
    </row>
    <row r="141" spans="1:27" x14ac:dyDescent="0.25">
      <c r="A141" s="46"/>
      <c r="B141" s="13"/>
      <c r="C141" s="31"/>
      <c r="D141" s="35"/>
      <c r="E141" s="32"/>
      <c r="F141" s="105"/>
      <c r="G141" s="34"/>
      <c r="Z141" s="55"/>
      <c r="AA141" s="55"/>
    </row>
    <row r="142" spans="1:27" x14ac:dyDescent="0.25">
      <c r="A142" s="46">
        <v>30</v>
      </c>
      <c r="B142" s="13" t="s">
        <v>39</v>
      </c>
      <c r="C142" s="31" t="s">
        <v>10</v>
      </c>
      <c r="D142" s="32">
        <v>4</v>
      </c>
      <c r="E142" s="32">
        <f>D142</f>
        <v>4</v>
      </c>
      <c r="F142" s="105">
        <v>0</v>
      </c>
      <c r="G142" s="34">
        <f>F142*E142</f>
        <v>0</v>
      </c>
      <c r="Z142" s="55"/>
      <c r="AA142" s="55"/>
    </row>
    <row r="143" spans="1:27" x14ac:dyDescent="0.25">
      <c r="A143" s="46">
        <v>31</v>
      </c>
      <c r="B143" s="13" t="s">
        <v>102</v>
      </c>
      <c r="C143" s="31" t="s">
        <v>12</v>
      </c>
      <c r="D143" s="32">
        <v>3</v>
      </c>
      <c r="E143" s="32"/>
      <c r="F143" s="105" t="s">
        <v>43</v>
      </c>
      <c r="G143" s="34"/>
      <c r="Z143" s="55"/>
      <c r="AA143" s="55"/>
    </row>
    <row r="144" spans="1:27" x14ac:dyDescent="0.25">
      <c r="A144" s="46">
        <v>31</v>
      </c>
      <c r="B144" s="113" t="s">
        <v>207</v>
      </c>
      <c r="C144" s="31" t="s">
        <v>12</v>
      </c>
      <c r="D144" s="32">
        <v>1</v>
      </c>
      <c r="E144" s="32"/>
      <c r="F144" s="105" t="s">
        <v>43</v>
      </c>
      <c r="G144" s="34"/>
      <c r="Z144" s="55"/>
      <c r="AA144" s="55"/>
    </row>
    <row r="145" spans="1:27" x14ac:dyDescent="0.25">
      <c r="A145" s="46">
        <v>33</v>
      </c>
      <c r="B145" s="13" t="s">
        <v>205</v>
      </c>
      <c r="C145" s="31" t="s">
        <v>12</v>
      </c>
      <c r="D145" s="32">
        <v>3</v>
      </c>
      <c r="E145" s="32"/>
      <c r="F145" s="105" t="s">
        <v>43</v>
      </c>
      <c r="G145" s="34"/>
      <c r="Z145" s="55"/>
      <c r="AA145" s="55"/>
    </row>
    <row r="146" spans="1:27" x14ac:dyDescent="0.25">
      <c r="A146" s="46">
        <v>33</v>
      </c>
      <c r="B146" s="113" t="s">
        <v>206</v>
      </c>
      <c r="C146" s="31" t="s">
        <v>12</v>
      </c>
      <c r="D146" s="32">
        <v>1</v>
      </c>
      <c r="E146" s="32"/>
      <c r="F146" s="105" t="s">
        <v>43</v>
      </c>
      <c r="G146" s="34"/>
      <c r="Z146" s="55"/>
      <c r="AA146" s="55"/>
    </row>
    <row r="147" spans="1:27" x14ac:dyDescent="0.25">
      <c r="A147" s="46"/>
      <c r="B147" s="13" t="s">
        <v>103</v>
      </c>
      <c r="C147" s="31" t="s">
        <v>12</v>
      </c>
      <c r="D147" s="32">
        <v>1</v>
      </c>
      <c r="E147" s="32"/>
      <c r="F147" s="105" t="s">
        <v>43</v>
      </c>
      <c r="G147" s="34"/>
      <c r="Z147" s="55"/>
      <c r="AA147" s="55"/>
    </row>
    <row r="148" spans="1:27" x14ac:dyDescent="0.25">
      <c r="A148" s="46"/>
      <c r="B148" s="13" t="s">
        <v>220</v>
      </c>
      <c r="C148" s="31" t="s">
        <v>12</v>
      </c>
      <c r="D148" s="32">
        <v>3</v>
      </c>
      <c r="E148" s="32"/>
      <c r="F148" s="105" t="s">
        <v>43</v>
      </c>
      <c r="G148" s="34"/>
      <c r="Z148" s="55"/>
      <c r="AA148" s="55"/>
    </row>
    <row r="149" spans="1:27" x14ac:dyDescent="0.25">
      <c r="A149" s="46">
        <v>34</v>
      </c>
      <c r="B149" s="13" t="s">
        <v>104</v>
      </c>
      <c r="C149" s="31" t="s">
        <v>12</v>
      </c>
      <c r="D149" s="32">
        <v>3</v>
      </c>
      <c r="E149" s="32"/>
      <c r="F149" s="105" t="s">
        <v>43</v>
      </c>
      <c r="G149" s="34"/>
      <c r="Z149" s="55"/>
      <c r="AA149" s="55"/>
    </row>
    <row r="150" spans="1:27" x14ac:dyDescent="0.25">
      <c r="A150" s="46">
        <v>34</v>
      </c>
      <c r="B150" s="113" t="s">
        <v>221</v>
      </c>
      <c r="C150" s="31" t="s">
        <v>12</v>
      </c>
      <c r="D150" s="32">
        <v>4</v>
      </c>
      <c r="E150" s="32"/>
      <c r="F150" s="105" t="s">
        <v>43</v>
      </c>
      <c r="G150" s="34"/>
      <c r="Z150" s="55"/>
      <c r="AA150" s="55"/>
    </row>
    <row r="151" spans="1:27" x14ac:dyDescent="0.25">
      <c r="A151" s="46">
        <v>35</v>
      </c>
      <c r="B151" s="13" t="s">
        <v>105</v>
      </c>
      <c r="C151" s="31" t="s">
        <v>12</v>
      </c>
      <c r="D151" s="32">
        <v>4</v>
      </c>
      <c r="E151" s="32"/>
      <c r="F151" s="105" t="s">
        <v>43</v>
      </c>
      <c r="G151" s="34"/>
      <c r="Z151" s="55"/>
      <c r="AA151" s="55"/>
    </row>
    <row r="152" spans="1:27" x14ac:dyDescent="0.25">
      <c r="A152" s="46">
        <v>36</v>
      </c>
      <c r="B152" s="13"/>
      <c r="C152" s="31"/>
      <c r="D152" s="32"/>
      <c r="E152" s="32"/>
      <c r="F152" s="105"/>
      <c r="G152" s="34"/>
      <c r="Z152" s="55"/>
      <c r="AA152" s="55"/>
    </row>
    <row r="153" spans="1:27" x14ac:dyDescent="0.25">
      <c r="A153" s="46">
        <v>37</v>
      </c>
      <c r="B153" s="13" t="s">
        <v>41</v>
      </c>
      <c r="C153" s="31" t="s">
        <v>10</v>
      </c>
      <c r="D153" s="32">
        <v>3</v>
      </c>
      <c r="E153" s="32">
        <f>D153</f>
        <v>3</v>
      </c>
      <c r="F153" s="105">
        <v>0</v>
      </c>
      <c r="G153" s="34">
        <f>F153*E153</f>
        <v>0</v>
      </c>
      <c r="Z153" s="55"/>
      <c r="AA153" s="55"/>
    </row>
    <row r="154" spans="1:27" x14ac:dyDescent="0.25">
      <c r="A154" s="46"/>
      <c r="B154" s="13" t="s">
        <v>135</v>
      </c>
      <c r="C154" s="31" t="s">
        <v>12</v>
      </c>
      <c r="D154" s="32">
        <v>1</v>
      </c>
      <c r="E154" s="32"/>
      <c r="F154" s="105" t="s">
        <v>43</v>
      </c>
      <c r="G154" s="34"/>
      <c r="Z154" s="55"/>
      <c r="AA154" s="55"/>
    </row>
    <row r="155" spans="1:27" x14ac:dyDescent="0.25">
      <c r="A155" s="46"/>
      <c r="B155" s="13" t="s">
        <v>217</v>
      </c>
      <c r="C155" s="31" t="s">
        <v>12</v>
      </c>
      <c r="D155" s="32">
        <v>1</v>
      </c>
      <c r="E155" s="32"/>
      <c r="F155" s="105" t="s">
        <v>43</v>
      </c>
      <c r="G155" s="34"/>
      <c r="Z155" s="55"/>
      <c r="AA155" s="55"/>
    </row>
    <row r="156" spans="1:27" x14ac:dyDescent="0.25">
      <c r="A156" s="46"/>
      <c r="B156" s="113" t="s">
        <v>215</v>
      </c>
      <c r="C156" s="31" t="s">
        <v>12</v>
      </c>
      <c r="D156" s="32">
        <v>1</v>
      </c>
      <c r="E156" s="32"/>
      <c r="F156" s="105" t="s">
        <v>43</v>
      </c>
      <c r="G156" s="34"/>
      <c r="Z156" s="55"/>
      <c r="AA156" s="55"/>
    </row>
    <row r="157" spans="1:27" x14ac:dyDescent="0.25">
      <c r="A157" s="46"/>
      <c r="B157" s="13" t="s">
        <v>216</v>
      </c>
      <c r="C157" s="31" t="s">
        <v>12</v>
      </c>
      <c r="D157" s="32">
        <v>2</v>
      </c>
      <c r="E157" s="32"/>
      <c r="F157" s="105" t="s">
        <v>43</v>
      </c>
      <c r="G157" s="34"/>
      <c r="Z157" s="55"/>
      <c r="AA157" s="55"/>
    </row>
    <row r="158" spans="1:27" x14ac:dyDescent="0.25">
      <c r="A158" s="46"/>
      <c r="B158" s="113" t="s">
        <v>214</v>
      </c>
      <c r="C158" s="31" t="s">
        <v>12</v>
      </c>
      <c r="D158" s="32">
        <v>1</v>
      </c>
      <c r="E158" s="32"/>
      <c r="F158" s="105" t="s">
        <v>43</v>
      </c>
      <c r="G158" s="34"/>
    </row>
    <row r="159" spans="1:27" x14ac:dyDescent="0.25">
      <c r="A159" s="46">
        <v>41</v>
      </c>
      <c r="B159" s="113" t="s">
        <v>213</v>
      </c>
      <c r="C159" s="31" t="s">
        <v>12</v>
      </c>
      <c r="D159" s="32">
        <v>1</v>
      </c>
      <c r="E159" s="32"/>
      <c r="F159" s="105" t="s">
        <v>43</v>
      </c>
      <c r="G159" s="34"/>
      <c r="Z159" s="55">
        <f>F128*0</f>
        <v>0</v>
      </c>
      <c r="AA159" s="55">
        <f>F128*(1-0)</f>
        <v>0</v>
      </c>
    </row>
    <row r="160" spans="1:27" x14ac:dyDescent="0.25">
      <c r="A160" s="46">
        <v>43</v>
      </c>
      <c r="B160" s="111" t="s">
        <v>209</v>
      </c>
      <c r="C160" s="31" t="s">
        <v>12</v>
      </c>
      <c r="D160" s="32">
        <v>1</v>
      </c>
      <c r="E160" s="32"/>
      <c r="F160" s="105" t="s">
        <v>43</v>
      </c>
      <c r="G160" s="34"/>
      <c r="Z160" s="55"/>
      <c r="AA160" s="55"/>
    </row>
    <row r="161" spans="1:27" x14ac:dyDescent="0.25">
      <c r="A161" s="46">
        <v>43</v>
      </c>
      <c r="B161" s="112" t="s">
        <v>208</v>
      </c>
      <c r="C161" s="31" t="s">
        <v>12</v>
      </c>
      <c r="D161" s="32">
        <v>1</v>
      </c>
      <c r="E161" s="32"/>
      <c r="F161" s="105" t="s">
        <v>43</v>
      </c>
      <c r="G161" s="34"/>
      <c r="Z161" s="55">
        <f>F130*0</f>
        <v>0</v>
      </c>
      <c r="AA161" s="55">
        <f>F130*(1-0)</f>
        <v>0</v>
      </c>
    </row>
    <row r="162" spans="1:27" x14ac:dyDescent="0.25">
      <c r="A162" s="46">
        <v>44</v>
      </c>
      <c r="B162" s="112" t="s">
        <v>210</v>
      </c>
      <c r="C162" s="31" t="s">
        <v>12</v>
      </c>
      <c r="D162" s="32">
        <v>1</v>
      </c>
      <c r="E162" s="32"/>
      <c r="F162" s="105" t="s">
        <v>43</v>
      </c>
      <c r="G162" s="34"/>
      <c r="Z162" s="55"/>
      <c r="AA162" s="55"/>
    </row>
    <row r="163" spans="1:27" x14ac:dyDescent="0.25">
      <c r="A163" s="46">
        <v>45</v>
      </c>
      <c r="B163" s="113" t="s">
        <v>212</v>
      </c>
      <c r="C163" s="31" t="s">
        <v>12</v>
      </c>
      <c r="D163" s="32">
        <v>1</v>
      </c>
      <c r="E163" s="32"/>
      <c r="F163" s="105" t="s">
        <v>43</v>
      </c>
      <c r="G163" s="34"/>
      <c r="Z163" s="55"/>
      <c r="AA163" s="55"/>
    </row>
    <row r="164" spans="1:27" x14ac:dyDescent="0.25">
      <c r="A164" s="46">
        <v>46</v>
      </c>
      <c r="B164" s="113" t="s">
        <v>211</v>
      </c>
      <c r="C164" s="31" t="s">
        <v>12</v>
      </c>
      <c r="D164" s="32">
        <v>1</v>
      </c>
      <c r="E164" s="32"/>
      <c r="F164" s="105" t="s">
        <v>43</v>
      </c>
      <c r="G164" s="34"/>
      <c r="Z164" s="55"/>
      <c r="AA164" s="55"/>
    </row>
    <row r="165" spans="1:27" x14ac:dyDescent="0.25">
      <c r="A165" s="46">
        <v>47</v>
      </c>
      <c r="B165" s="13" t="s">
        <v>108</v>
      </c>
      <c r="C165" s="31" t="s">
        <v>12</v>
      </c>
      <c r="D165" s="32">
        <v>2</v>
      </c>
      <c r="E165" s="32"/>
      <c r="F165" s="105" t="s">
        <v>43</v>
      </c>
      <c r="G165" s="34"/>
      <c r="Z165" s="55"/>
      <c r="AA165" s="55"/>
    </row>
    <row r="166" spans="1:27" x14ac:dyDescent="0.25">
      <c r="A166" s="46">
        <v>41</v>
      </c>
      <c r="B166" s="13" t="s">
        <v>218</v>
      </c>
      <c r="C166" s="31" t="s">
        <v>12</v>
      </c>
      <c r="D166" s="32">
        <v>2</v>
      </c>
      <c r="E166" s="32"/>
      <c r="F166" s="105" t="s">
        <v>43</v>
      </c>
      <c r="G166" s="34"/>
      <c r="Z166" s="55">
        <f>F135*0</f>
        <v>0</v>
      </c>
      <c r="AA166" s="55">
        <f>F135*(1-0)</f>
        <v>0</v>
      </c>
    </row>
    <row r="167" spans="1:27" x14ac:dyDescent="0.25">
      <c r="A167" s="46">
        <v>43</v>
      </c>
      <c r="B167" s="114" t="s">
        <v>106</v>
      </c>
      <c r="C167" s="31" t="s">
        <v>12</v>
      </c>
      <c r="D167" s="32">
        <v>2</v>
      </c>
      <c r="E167" s="32"/>
      <c r="F167" s="105" t="s">
        <v>43</v>
      </c>
      <c r="G167" s="34"/>
      <c r="Z167" s="55"/>
      <c r="AA167" s="55"/>
    </row>
    <row r="168" spans="1:27" x14ac:dyDescent="0.25">
      <c r="A168" s="46">
        <v>43</v>
      </c>
      <c r="B168" s="27" t="s">
        <v>219</v>
      </c>
      <c r="C168" s="31" t="s">
        <v>12</v>
      </c>
      <c r="D168" s="32">
        <v>2</v>
      </c>
      <c r="E168" s="32"/>
      <c r="F168" s="105" t="s">
        <v>43</v>
      </c>
      <c r="G168" s="34"/>
      <c r="Z168" s="55" t="e">
        <f>F137*0</f>
        <v>#VALUE!</v>
      </c>
      <c r="AA168" s="55" t="e">
        <f>F137*(1-0)</f>
        <v>#VALUE!</v>
      </c>
    </row>
    <row r="169" spans="1:27" x14ac:dyDescent="0.25">
      <c r="A169" s="46">
        <v>44</v>
      </c>
      <c r="B169" s="27" t="s">
        <v>107</v>
      </c>
      <c r="C169" s="31" t="s">
        <v>12</v>
      </c>
      <c r="D169" s="32">
        <v>2</v>
      </c>
      <c r="E169" s="32"/>
      <c r="F169" s="105" t="s">
        <v>43</v>
      </c>
      <c r="G169" s="34"/>
      <c r="Z169" s="55"/>
      <c r="AA169" s="55"/>
    </row>
    <row r="170" spans="1:27" x14ac:dyDescent="0.25">
      <c r="A170" s="46">
        <v>45</v>
      </c>
      <c r="B170" s="13" t="s">
        <v>222</v>
      </c>
      <c r="C170" s="31" t="s">
        <v>12</v>
      </c>
      <c r="D170" s="32">
        <v>2</v>
      </c>
      <c r="E170" s="32"/>
      <c r="F170" s="105" t="s">
        <v>43</v>
      </c>
      <c r="G170" s="34"/>
      <c r="Z170" s="55"/>
      <c r="AA170" s="55"/>
    </row>
    <row r="171" spans="1:27" x14ac:dyDescent="0.25">
      <c r="A171" s="46"/>
      <c r="B171" s="13"/>
      <c r="C171" s="31"/>
      <c r="D171" s="32"/>
      <c r="E171" s="32"/>
      <c r="F171" s="105"/>
      <c r="G171" s="34"/>
      <c r="Z171" s="55"/>
      <c r="AA171" s="55"/>
    </row>
    <row r="172" spans="1:27" x14ac:dyDescent="0.25">
      <c r="A172" s="46">
        <v>48</v>
      </c>
      <c r="B172" s="13" t="s">
        <v>132</v>
      </c>
      <c r="C172" s="31" t="s">
        <v>10</v>
      </c>
      <c r="D172" s="32">
        <v>1</v>
      </c>
      <c r="E172" s="32">
        <v>1</v>
      </c>
      <c r="F172" s="105">
        <v>0</v>
      </c>
      <c r="G172" s="34">
        <f>F172*E172</f>
        <v>0</v>
      </c>
      <c r="Z172" s="55"/>
      <c r="AA172" s="55"/>
    </row>
    <row r="173" spans="1:27" s="56" customFormat="1" x14ac:dyDescent="0.25">
      <c r="A173" s="46">
        <v>49</v>
      </c>
      <c r="B173" s="13" t="s">
        <v>109</v>
      </c>
      <c r="C173" s="31" t="s">
        <v>12</v>
      </c>
      <c r="D173" s="32">
        <v>1</v>
      </c>
      <c r="E173" s="32"/>
      <c r="F173" s="105" t="s">
        <v>43</v>
      </c>
      <c r="G173" s="34"/>
      <c r="H173" s="53"/>
      <c r="Z173" s="55"/>
      <c r="AA173" s="55"/>
    </row>
    <row r="174" spans="1:27" s="56" customFormat="1" x14ac:dyDescent="0.25">
      <c r="A174" s="46">
        <v>50</v>
      </c>
      <c r="B174" s="13" t="s">
        <v>127</v>
      </c>
      <c r="C174" s="31" t="s">
        <v>12</v>
      </c>
      <c r="D174" s="32">
        <v>1</v>
      </c>
      <c r="E174" s="32"/>
      <c r="F174" s="105" t="s">
        <v>43</v>
      </c>
      <c r="G174" s="34"/>
      <c r="H174" s="53"/>
      <c r="Z174" s="55"/>
      <c r="AA174" s="55"/>
    </row>
    <row r="175" spans="1:27" s="56" customFormat="1" x14ac:dyDescent="0.25">
      <c r="A175" s="46">
        <v>50</v>
      </c>
      <c r="B175" s="13" t="s">
        <v>128</v>
      </c>
      <c r="C175" s="31" t="s">
        <v>12</v>
      </c>
      <c r="D175" s="32">
        <v>1</v>
      </c>
      <c r="E175" s="32"/>
      <c r="F175" s="105" t="s">
        <v>43</v>
      </c>
      <c r="G175" s="34"/>
      <c r="H175" s="53"/>
      <c r="Z175" s="55"/>
      <c r="AA175" s="55"/>
    </row>
    <row r="176" spans="1:27" s="56" customFormat="1" x14ac:dyDescent="0.25">
      <c r="A176" s="46">
        <v>51</v>
      </c>
      <c r="B176" s="13" t="s">
        <v>110</v>
      </c>
      <c r="C176" s="31" t="s">
        <v>12</v>
      </c>
      <c r="D176" s="32">
        <v>1</v>
      </c>
      <c r="E176" s="32"/>
      <c r="F176" s="105" t="s">
        <v>43</v>
      </c>
      <c r="G176" s="34"/>
      <c r="H176" s="53"/>
      <c r="Z176" s="55"/>
      <c r="AA176" s="55"/>
    </row>
    <row r="177" spans="1:27" s="56" customFormat="1" x14ac:dyDescent="0.25">
      <c r="A177" s="46"/>
      <c r="B177" s="13" t="s">
        <v>111</v>
      </c>
      <c r="C177" s="31" t="s">
        <v>12</v>
      </c>
      <c r="D177" s="32">
        <v>1</v>
      </c>
      <c r="E177" s="32"/>
      <c r="F177" s="105" t="s">
        <v>43</v>
      </c>
      <c r="G177" s="34"/>
      <c r="H177" s="53"/>
      <c r="Z177" s="55"/>
      <c r="AA177" s="55"/>
    </row>
    <row r="178" spans="1:27" s="56" customFormat="1" x14ac:dyDescent="0.25">
      <c r="A178" s="46"/>
      <c r="B178" s="13" t="s">
        <v>108</v>
      </c>
      <c r="C178" s="31" t="s">
        <v>12</v>
      </c>
      <c r="D178" s="32">
        <v>1</v>
      </c>
      <c r="E178" s="32"/>
      <c r="F178" s="105" t="s">
        <v>43</v>
      </c>
      <c r="G178" s="34"/>
      <c r="H178" s="53"/>
      <c r="Z178" s="55"/>
      <c r="AA178" s="55"/>
    </row>
    <row r="179" spans="1:27" s="56" customFormat="1" x14ac:dyDescent="0.25">
      <c r="A179" s="46"/>
      <c r="B179" s="13" t="s">
        <v>107</v>
      </c>
      <c r="C179" s="31" t="s">
        <v>12</v>
      </c>
      <c r="D179" s="32">
        <v>1</v>
      </c>
      <c r="E179" s="32"/>
      <c r="F179" s="105" t="s">
        <v>43</v>
      </c>
      <c r="G179" s="34"/>
      <c r="H179" s="53"/>
      <c r="Z179" s="55"/>
      <c r="AA179" s="55"/>
    </row>
    <row r="180" spans="1:27" s="56" customFormat="1" x14ac:dyDescent="0.25">
      <c r="A180" s="46"/>
      <c r="B180" s="13" t="s">
        <v>136</v>
      </c>
      <c r="C180" s="31" t="s">
        <v>12</v>
      </c>
      <c r="D180" s="32">
        <v>1</v>
      </c>
      <c r="E180" s="32"/>
      <c r="F180" s="105" t="s">
        <v>43</v>
      </c>
      <c r="G180" s="34"/>
      <c r="H180" s="53"/>
      <c r="Z180" s="55"/>
      <c r="AA180" s="55"/>
    </row>
    <row r="181" spans="1:27" s="56" customFormat="1" x14ac:dyDescent="0.25">
      <c r="A181" s="46"/>
      <c r="B181" s="13" t="s">
        <v>129</v>
      </c>
      <c r="C181" s="31" t="s">
        <v>12</v>
      </c>
      <c r="D181" s="32">
        <v>1</v>
      </c>
      <c r="E181" s="32"/>
      <c r="F181" s="105" t="s">
        <v>43</v>
      </c>
      <c r="G181" s="34"/>
      <c r="H181" s="53"/>
      <c r="Z181" s="55"/>
      <c r="AA181" s="55"/>
    </row>
    <row r="182" spans="1:27" s="56" customFormat="1" x14ac:dyDescent="0.25">
      <c r="A182" s="46"/>
      <c r="B182" s="66" t="s">
        <v>4</v>
      </c>
      <c r="C182" s="67" t="s">
        <v>0</v>
      </c>
      <c r="D182" s="68" t="s">
        <v>0</v>
      </c>
      <c r="E182" s="68" t="s">
        <v>0</v>
      </c>
      <c r="F182" s="103"/>
      <c r="G182" s="69"/>
      <c r="H182" s="53"/>
      <c r="Z182" s="55"/>
      <c r="AA182" s="55"/>
    </row>
    <row r="183" spans="1:27" s="56" customFormat="1" x14ac:dyDescent="0.25">
      <c r="A183" s="46"/>
      <c r="B183" s="13" t="s">
        <v>231</v>
      </c>
      <c r="C183" s="31" t="s">
        <v>10</v>
      </c>
      <c r="D183" s="32">
        <v>1</v>
      </c>
      <c r="E183" s="32"/>
      <c r="F183" s="105">
        <v>0</v>
      </c>
      <c r="G183" s="34">
        <f>F183*E183</f>
        <v>0</v>
      </c>
      <c r="H183" s="53"/>
      <c r="Z183" s="55"/>
      <c r="AA183" s="55"/>
    </row>
    <row r="184" spans="1:27" s="56" customFormat="1" x14ac:dyDescent="0.25">
      <c r="A184" s="46"/>
      <c r="B184" s="13" t="s">
        <v>230</v>
      </c>
      <c r="C184" s="31" t="s">
        <v>12</v>
      </c>
      <c r="D184" s="32">
        <v>10</v>
      </c>
      <c r="E184" s="32"/>
      <c r="F184" s="105">
        <v>0</v>
      </c>
      <c r="G184" s="34">
        <f>F184*E184</f>
        <v>0</v>
      </c>
      <c r="H184" s="53"/>
      <c r="Z184" s="55"/>
      <c r="AA184" s="55"/>
    </row>
    <row r="185" spans="1:27" s="56" customFormat="1" x14ac:dyDescent="0.25">
      <c r="A185" s="46"/>
      <c r="B185" s="13" t="s">
        <v>232</v>
      </c>
      <c r="C185" s="31" t="s">
        <v>12</v>
      </c>
      <c r="D185" s="32">
        <v>2</v>
      </c>
      <c r="E185" s="32"/>
      <c r="F185" s="105">
        <v>0</v>
      </c>
      <c r="G185" s="34">
        <f>F185*E185</f>
        <v>0</v>
      </c>
      <c r="H185" s="53"/>
      <c r="Z185" s="55"/>
      <c r="AA185" s="55"/>
    </row>
    <row r="186" spans="1:27" s="56" customFormat="1" x14ac:dyDescent="0.25">
      <c r="A186" s="46"/>
      <c r="B186" s="13" t="s">
        <v>226</v>
      </c>
      <c r="C186" s="31" t="s">
        <v>12</v>
      </c>
      <c r="D186" s="32">
        <v>1</v>
      </c>
      <c r="E186" s="32"/>
      <c r="F186" s="105">
        <v>0</v>
      </c>
      <c r="G186" s="34">
        <f>F186*E186</f>
        <v>0</v>
      </c>
      <c r="H186" s="53"/>
      <c r="Z186" s="55"/>
      <c r="AA186" s="55"/>
    </row>
    <row r="187" spans="1:27" s="56" customFormat="1" x14ac:dyDescent="0.25">
      <c r="A187" s="46" t="s">
        <v>0</v>
      </c>
      <c r="B187" s="13"/>
      <c r="C187" s="31"/>
      <c r="D187" s="32"/>
      <c r="E187" s="32"/>
      <c r="F187" s="33"/>
      <c r="G187" s="34"/>
      <c r="H187" s="53"/>
      <c r="Z187" s="55"/>
      <c r="AA187" s="55"/>
    </row>
    <row r="188" spans="1:27" s="56" customFormat="1" x14ac:dyDescent="0.25">
      <c r="A188" s="46">
        <v>48</v>
      </c>
      <c r="B188" s="85" t="s">
        <v>16</v>
      </c>
      <c r="C188" s="86"/>
      <c r="D188" s="87"/>
      <c r="E188" s="87"/>
      <c r="F188" s="105"/>
      <c r="G188" s="88"/>
      <c r="H188" s="53"/>
      <c r="Z188" s="55"/>
      <c r="AA188" s="55"/>
    </row>
    <row r="189" spans="1:27" s="56" customFormat="1" x14ac:dyDescent="0.25">
      <c r="A189" s="46"/>
      <c r="B189" s="13" t="s">
        <v>29</v>
      </c>
      <c r="C189" s="31" t="s">
        <v>10</v>
      </c>
      <c r="D189" s="32">
        <v>3</v>
      </c>
      <c r="E189" s="32">
        <f>D189</f>
        <v>3</v>
      </c>
      <c r="F189" s="105">
        <v>0</v>
      </c>
      <c r="G189" s="34">
        <f>F189*E189</f>
        <v>0</v>
      </c>
      <c r="H189" s="53"/>
      <c r="Z189" s="55"/>
      <c r="AA189" s="55"/>
    </row>
    <row r="190" spans="1:27" s="56" customFormat="1" x14ac:dyDescent="0.25">
      <c r="A190" s="46"/>
      <c r="B190" s="13" t="s">
        <v>30</v>
      </c>
      <c r="C190" s="31" t="s">
        <v>10</v>
      </c>
      <c r="D190" s="32">
        <v>3</v>
      </c>
      <c r="E190" s="32">
        <f t="shared" ref="E190:E204" si="3">D190</f>
        <v>3</v>
      </c>
      <c r="F190" s="105">
        <v>0</v>
      </c>
      <c r="G190" s="34">
        <f>F190*E190</f>
        <v>0</v>
      </c>
      <c r="H190" s="53"/>
      <c r="Z190" s="55"/>
      <c r="AA190" s="55"/>
    </row>
    <row r="191" spans="1:27" s="56" customFormat="1" x14ac:dyDescent="0.25">
      <c r="A191" s="46"/>
      <c r="B191" s="13" t="s">
        <v>229</v>
      </c>
      <c r="C191" s="31" t="s">
        <v>12</v>
      </c>
      <c r="D191" s="32">
        <v>3</v>
      </c>
      <c r="E191" s="32">
        <f t="shared" si="3"/>
        <v>3</v>
      </c>
      <c r="F191" s="105">
        <v>0</v>
      </c>
      <c r="G191" s="34">
        <f>F191*E191</f>
        <v>0</v>
      </c>
      <c r="H191" s="53"/>
      <c r="Z191" s="55"/>
      <c r="AA191" s="55"/>
    </row>
    <row r="192" spans="1:27" s="56" customFormat="1" x14ac:dyDescent="0.25">
      <c r="A192" s="46"/>
      <c r="B192" s="13" t="s">
        <v>228</v>
      </c>
      <c r="C192" s="31" t="s">
        <v>12</v>
      </c>
      <c r="D192" s="32">
        <v>1</v>
      </c>
      <c r="E192" s="32">
        <f t="shared" ref="E192" si="4">D192</f>
        <v>1</v>
      </c>
      <c r="F192" s="105">
        <v>0</v>
      </c>
      <c r="G192" s="34">
        <f>F192*E192</f>
        <v>0</v>
      </c>
      <c r="H192" s="53"/>
      <c r="Z192" s="55"/>
      <c r="AA192" s="55"/>
    </row>
    <row r="193" spans="1:27" s="56" customFormat="1" x14ac:dyDescent="0.25">
      <c r="A193" s="89"/>
      <c r="B193" s="13" t="s">
        <v>96</v>
      </c>
      <c r="C193" s="31" t="s">
        <v>10</v>
      </c>
      <c r="D193" s="32">
        <v>1</v>
      </c>
      <c r="E193" s="32"/>
      <c r="F193" s="105" t="s">
        <v>43</v>
      </c>
      <c r="G193" s="34"/>
      <c r="H193" s="53"/>
      <c r="Z193" s="55"/>
      <c r="AA193" s="55"/>
    </row>
    <row r="194" spans="1:27" s="56" customFormat="1" x14ac:dyDescent="0.25">
      <c r="A194" s="89"/>
      <c r="B194" s="13"/>
      <c r="C194" s="31"/>
      <c r="D194" s="32"/>
      <c r="E194" s="32"/>
      <c r="F194" s="105"/>
      <c r="G194" s="34"/>
      <c r="H194" s="53"/>
      <c r="Z194" s="55"/>
      <c r="AA194" s="55"/>
    </row>
    <row r="195" spans="1:27" s="56" customFormat="1" x14ac:dyDescent="0.25">
      <c r="A195" s="89"/>
      <c r="B195" s="13" t="s">
        <v>295</v>
      </c>
      <c r="C195" s="31" t="s">
        <v>10</v>
      </c>
      <c r="D195" s="32">
        <v>1</v>
      </c>
      <c r="E195" s="32">
        <v>1</v>
      </c>
      <c r="F195" s="105">
        <v>0</v>
      </c>
      <c r="G195" s="34">
        <v>0</v>
      </c>
      <c r="H195" s="53"/>
      <c r="Z195" s="55"/>
      <c r="AA195" s="55"/>
    </row>
    <row r="196" spans="1:27" s="56" customFormat="1" x14ac:dyDescent="0.25">
      <c r="A196" s="89"/>
      <c r="B196" s="13" t="s">
        <v>296</v>
      </c>
      <c r="C196" s="31" t="s">
        <v>10</v>
      </c>
      <c r="D196" s="32">
        <v>1</v>
      </c>
      <c r="E196" s="32">
        <v>1</v>
      </c>
      <c r="F196" s="105">
        <v>0</v>
      </c>
      <c r="G196" s="34">
        <v>0</v>
      </c>
      <c r="H196" s="53"/>
      <c r="Z196" s="55"/>
      <c r="AA196" s="55"/>
    </row>
    <row r="197" spans="1:27" s="56" customFormat="1" x14ac:dyDescent="0.25">
      <c r="A197" s="89"/>
      <c r="B197" s="13"/>
      <c r="C197" s="31"/>
      <c r="D197" s="32"/>
      <c r="E197" s="32"/>
      <c r="F197" s="105"/>
      <c r="G197" s="34"/>
      <c r="H197" s="53"/>
      <c r="Z197" s="55"/>
      <c r="AA197" s="55"/>
    </row>
    <row r="198" spans="1:27" s="56" customFormat="1" x14ac:dyDescent="0.25">
      <c r="A198" s="46"/>
      <c r="B198" s="13" t="s">
        <v>225</v>
      </c>
      <c r="C198" s="31" t="s">
        <v>10</v>
      </c>
      <c r="D198" s="32">
        <v>1</v>
      </c>
      <c r="E198" s="32"/>
      <c r="F198" s="105"/>
      <c r="G198" s="34"/>
      <c r="H198" s="53"/>
      <c r="Z198" s="55"/>
      <c r="AA198" s="55"/>
    </row>
    <row r="199" spans="1:27" s="56" customFormat="1" x14ac:dyDescent="0.25">
      <c r="A199" s="46"/>
      <c r="B199" s="13" t="s">
        <v>224</v>
      </c>
      <c r="C199" s="31" t="s">
        <v>12</v>
      </c>
      <c r="D199" s="32">
        <v>1</v>
      </c>
      <c r="E199" s="32"/>
      <c r="F199" s="105"/>
      <c r="G199" s="34"/>
      <c r="H199" s="53"/>
      <c r="Z199" s="55"/>
      <c r="AA199" s="55"/>
    </row>
    <row r="200" spans="1:27" s="56" customFormat="1" x14ac:dyDescent="0.25">
      <c r="A200" s="46"/>
      <c r="B200" s="13" t="s">
        <v>227</v>
      </c>
      <c r="C200" s="31" t="s">
        <v>12</v>
      </c>
      <c r="D200" s="32">
        <v>1</v>
      </c>
      <c r="E200" s="32"/>
      <c r="F200" s="105"/>
      <c r="G200" s="34"/>
      <c r="H200" s="53"/>
      <c r="Z200" s="55"/>
      <c r="AA200" s="55"/>
    </row>
    <row r="201" spans="1:27" s="56" customFormat="1" x14ac:dyDescent="0.25">
      <c r="A201" s="46"/>
      <c r="B201" s="13"/>
      <c r="C201" s="31"/>
      <c r="D201" s="32"/>
      <c r="E201" s="32"/>
      <c r="F201" s="105"/>
      <c r="G201" s="34"/>
      <c r="H201" s="53"/>
      <c r="Z201" s="55"/>
      <c r="AA201" s="55"/>
    </row>
    <row r="202" spans="1:27" s="56" customFormat="1" x14ac:dyDescent="0.25">
      <c r="A202" s="46"/>
      <c r="B202" s="13" t="s">
        <v>286</v>
      </c>
      <c r="C202" s="31" t="s">
        <v>10</v>
      </c>
      <c r="D202" s="32">
        <v>1</v>
      </c>
      <c r="E202" s="32">
        <v>1</v>
      </c>
      <c r="F202" s="105">
        <v>0</v>
      </c>
      <c r="G202" s="34">
        <f>F202*E202</f>
        <v>0</v>
      </c>
      <c r="H202" s="53"/>
      <c r="Z202" s="55"/>
      <c r="AA202" s="55"/>
    </row>
    <row r="203" spans="1:27" s="56" customFormat="1" x14ac:dyDescent="0.25">
      <c r="A203" s="89"/>
      <c r="B203" s="13" t="s">
        <v>126</v>
      </c>
      <c r="C203" s="31" t="s">
        <v>10</v>
      </c>
      <c r="D203" s="32">
        <v>1</v>
      </c>
      <c r="E203" s="32">
        <v>1</v>
      </c>
      <c r="F203" s="105" t="s">
        <v>43</v>
      </c>
      <c r="G203" s="34"/>
      <c r="H203" s="53"/>
      <c r="Z203" s="55"/>
      <c r="AA203" s="55"/>
    </row>
    <row r="204" spans="1:27" s="56" customFormat="1" x14ac:dyDescent="0.25">
      <c r="A204" s="46">
        <v>47</v>
      </c>
      <c r="B204" s="13" t="s">
        <v>18</v>
      </c>
      <c r="C204" s="31" t="s">
        <v>10</v>
      </c>
      <c r="D204" s="32">
        <v>4</v>
      </c>
      <c r="E204" s="32">
        <f t="shared" si="3"/>
        <v>4</v>
      </c>
      <c r="F204" s="105">
        <v>0</v>
      </c>
      <c r="G204" s="34">
        <f>F204*E204</f>
        <v>0</v>
      </c>
      <c r="H204" s="53"/>
      <c r="Z204" s="55"/>
      <c r="AA204" s="55"/>
    </row>
    <row r="205" spans="1:27" s="56" customFormat="1" x14ac:dyDescent="0.25">
      <c r="A205" s="46">
        <v>48</v>
      </c>
      <c r="B205" s="85" t="s">
        <v>15</v>
      </c>
      <c r="C205" s="86"/>
      <c r="D205" s="87"/>
      <c r="E205" s="87"/>
      <c r="F205" s="105"/>
      <c r="G205" s="88"/>
      <c r="H205" s="53"/>
      <c r="Z205" s="55"/>
      <c r="AA205" s="55"/>
    </row>
    <row r="206" spans="1:27" s="56" customFormat="1" x14ac:dyDescent="0.25">
      <c r="A206" s="46">
        <v>49</v>
      </c>
      <c r="B206" s="27" t="s">
        <v>289</v>
      </c>
      <c r="C206" s="31" t="s">
        <v>12</v>
      </c>
      <c r="D206" s="17">
        <v>5</v>
      </c>
      <c r="E206" s="17">
        <f>D206</f>
        <v>5</v>
      </c>
      <c r="F206" s="108">
        <v>0</v>
      </c>
      <c r="G206" s="30">
        <f>F206*E206</f>
        <v>0</v>
      </c>
      <c r="H206" s="53"/>
      <c r="Z206" s="55"/>
      <c r="AA206" s="55"/>
    </row>
    <row r="207" spans="1:27" s="56" customFormat="1" x14ac:dyDescent="0.25">
      <c r="A207" s="46"/>
      <c r="B207" s="27" t="s">
        <v>42</v>
      </c>
      <c r="C207" s="31" t="s">
        <v>12</v>
      </c>
      <c r="D207" s="17">
        <v>5</v>
      </c>
      <c r="E207" s="17">
        <f>D207</f>
        <v>5</v>
      </c>
      <c r="F207" s="109" t="s">
        <v>43</v>
      </c>
      <c r="G207" s="30"/>
      <c r="H207" s="53"/>
      <c r="Z207" s="55"/>
      <c r="AA207" s="55"/>
    </row>
    <row r="208" spans="1:27" s="56" customFormat="1" x14ac:dyDescent="0.25">
      <c r="A208" s="46"/>
      <c r="B208" s="27" t="s">
        <v>287</v>
      </c>
      <c r="C208" s="31" t="s">
        <v>288</v>
      </c>
      <c r="D208" s="17">
        <v>3</v>
      </c>
      <c r="E208" s="17">
        <v>3</v>
      </c>
      <c r="F208" s="109" t="s">
        <v>43</v>
      </c>
      <c r="G208" s="30"/>
      <c r="H208" s="53"/>
      <c r="Z208" s="55"/>
      <c r="AA208" s="55"/>
    </row>
    <row r="209" spans="1:27" s="56" customFormat="1" x14ac:dyDescent="0.25">
      <c r="A209" s="46">
        <v>50</v>
      </c>
      <c r="B209" s="66" t="s">
        <v>31</v>
      </c>
      <c r="C209" s="67" t="s">
        <v>0</v>
      </c>
      <c r="D209" s="68" t="s">
        <v>0</v>
      </c>
      <c r="E209" s="68" t="s">
        <v>0</v>
      </c>
      <c r="F209" s="103" t="s">
        <v>0</v>
      </c>
      <c r="G209" s="69"/>
      <c r="H209" s="53"/>
      <c r="Z209" s="55"/>
      <c r="AA209" s="55"/>
    </row>
    <row r="210" spans="1:27" s="56" customFormat="1" x14ac:dyDescent="0.25">
      <c r="A210" s="89"/>
      <c r="B210" s="13" t="s">
        <v>124</v>
      </c>
      <c r="C210" s="31" t="s">
        <v>9</v>
      </c>
      <c r="D210" s="17"/>
      <c r="E210" s="32">
        <f>SUM(D212:D219)</f>
        <v>83.850000000000009</v>
      </c>
      <c r="F210" s="105">
        <v>0</v>
      </c>
      <c r="G210" s="33">
        <f>F210*E210</f>
        <v>0</v>
      </c>
      <c r="H210" s="53"/>
      <c r="Z210" s="55"/>
      <c r="AA210" s="55"/>
    </row>
    <row r="211" spans="1:27" s="56" customFormat="1" x14ac:dyDescent="0.25">
      <c r="A211" s="79">
        <v>51</v>
      </c>
      <c r="B211" s="13" t="s">
        <v>239</v>
      </c>
      <c r="C211" s="31" t="s">
        <v>9</v>
      </c>
      <c r="D211" s="17"/>
      <c r="E211" s="32"/>
      <c r="F211" s="105" t="s">
        <v>43</v>
      </c>
      <c r="G211" s="33"/>
      <c r="H211" s="53"/>
      <c r="Z211" s="55"/>
      <c r="AA211" s="55"/>
    </row>
    <row r="212" spans="1:27" s="56" customFormat="1" x14ac:dyDescent="0.25">
      <c r="A212" s="79"/>
      <c r="B212" s="13" t="s">
        <v>233</v>
      </c>
      <c r="C212" s="31" t="s">
        <v>9</v>
      </c>
      <c r="D212" s="17">
        <f>1.9*2.5-0.8*2+4.2+1.9*2.5+1.5*0.9+1.2</f>
        <v>14.649999999999999</v>
      </c>
      <c r="E212" s="21">
        <f>D212*1.2</f>
        <v>17.579999999999998</v>
      </c>
      <c r="F212" s="105" t="s">
        <v>43</v>
      </c>
      <c r="G212" s="33"/>
      <c r="H212" s="53"/>
      <c r="Z212" s="55"/>
      <c r="AA212" s="55"/>
    </row>
    <row r="213" spans="1:27" s="56" customFormat="1" x14ac:dyDescent="0.25">
      <c r="A213" s="79"/>
      <c r="B213" s="13" t="s">
        <v>234</v>
      </c>
      <c r="C213" s="31" t="s">
        <v>9</v>
      </c>
      <c r="D213" s="17">
        <f>2.3*2.5-1.5+2.3*2.5+1.5*2.5+1.5*2.5-0.8*2</f>
        <v>15.9</v>
      </c>
      <c r="E213" s="21">
        <f>D213*1.2</f>
        <v>19.079999999999998</v>
      </c>
      <c r="F213" s="105" t="s">
        <v>43</v>
      </c>
      <c r="G213" s="33"/>
      <c r="H213" s="53"/>
      <c r="Z213" s="55"/>
      <c r="AA213" s="55"/>
    </row>
    <row r="214" spans="1:27" s="56" customFormat="1" x14ac:dyDescent="0.25">
      <c r="A214" s="79"/>
      <c r="B214" s="13" t="s">
        <v>235</v>
      </c>
      <c r="C214" s="31" t="s">
        <v>9</v>
      </c>
      <c r="D214" s="17">
        <f>1.8*2.5+4+1.2*2.5-0.8*2</f>
        <v>9.9</v>
      </c>
      <c r="E214" s="21">
        <f>D214*1.2</f>
        <v>11.88</v>
      </c>
      <c r="F214" s="105" t="s">
        <v>43</v>
      </c>
      <c r="G214" s="33"/>
      <c r="H214" s="53"/>
      <c r="Z214" s="55"/>
      <c r="AA214" s="55"/>
    </row>
    <row r="215" spans="1:27" s="56" customFormat="1" x14ac:dyDescent="0.25">
      <c r="A215" s="79"/>
      <c r="B215" s="13" t="s">
        <v>236</v>
      </c>
      <c r="C215" s="31" t="s">
        <v>9</v>
      </c>
      <c r="D215" s="17">
        <f>5.3*2.5</f>
        <v>13.25</v>
      </c>
      <c r="E215" s="21">
        <f>D215*1.2</f>
        <v>15.899999999999999</v>
      </c>
      <c r="F215" s="105" t="s">
        <v>43</v>
      </c>
      <c r="G215" s="33"/>
      <c r="H215" s="53"/>
      <c r="Z215" s="55"/>
      <c r="AA215" s="55"/>
    </row>
    <row r="216" spans="1:27" s="56" customFormat="1" x14ac:dyDescent="0.25">
      <c r="A216" s="79"/>
      <c r="B216" s="13" t="s">
        <v>237</v>
      </c>
      <c r="C216" s="31" t="s">
        <v>9</v>
      </c>
      <c r="D216" s="17">
        <f>4.4+1.5*1.5+1.2*2.5-0.8*2</f>
        <v>8.0500000000000007</v>
      </c>
      <c r="E216" s="21">
        <f>D216*1.2</f>
        <v>9.66</v>
      </c>
      <c r="F216" s="105" t="s">
        <v>43</v>
      </c>
      <c r="G216" s="33"/>
      <c r="H216" s="53"/>
      <c r="Z216" s="55"/>
      <c r="AA216" s="55"/>
    </row>
    <row r="217" spans="1:27" s="56" customFormat="1" x14ac:dyDescent="0.25">
      <c r="A217" s="79"/>
      <c r="B217" s="13" t="s">
        <v>238</v>
      </c>
      <c r="C217" s="31" t="s">
        <v>9</v>
      </c>
      <c r="D217" s="17">
        <f>1.7*2*0.5+1*2.5+2.3*2*0.5</f>
        <v>6.5</v>
      </c>
      <c r="E217" s="21">
        <f>D217*1.2</f>
        <v>7.8</v>
      </c>
      <c r="F217" s="105" t="s">
        <v>43</v>
      </c>
      <c r="G217" s="33"/>
      <c r="H217" s="53"/>
      <c r="Z217" s="55"/>
      <c r="AA217" s="55"/>
    </row>
    <row r="218" spans="1:27" s="56" customFormat="1" x14ac:dyDescent="0.25">
      <c r="A218" s="79"/>
      <c r="B218" s="13" t="s">
        <v>245</v>
      </c>
      <c r="C218" s="31" t="s">
        <v>9</v>
      </c>
      <c r="D218" s="17">
        <f>2.2</f>
        <v>2.2000000000000002</v>
      </c>
      <c r="E218" s="21">
        <f>D218*1.2</f>
        <v>2.64</v>
      </c>
      <c r="F218" s="105" t="s">
        <v>43</v>
      </c>
      <c r="G218" s="33"/>
      <c r="H218" s="53"/>
      <c r="Z218" s="55"/>
      <c r="AA218" s="55"/>
    </row>
    <row r="219" spans="1:27" s="56" customFormat="1" x14ac:dyDescent="0.25">
      <c r="A219" s="79"/>
      <c r="B219" s="13" t="s">
        <v>246</v>
      </c>
      <c r="C219" s="31" t="s">
        <v>9</v>
      </c>
      <c r="D219" s="17">
        <f>6*2.5-0.8*2</f>
        <v>13.4</v>
      </c>
      <c r="E219" s="21">
        <f>D219*1.2</f>
        <v>16.079999999999998</v>
      </c>
      <c r="F219" s="105" t="s">
        <v>43</v>
      </c>
      <c r="G219" s="33"/>
      <c r="H219" s="53"/>
      <c r="Z219" s="55"/>
      <c r="AA219" s="55"/>
    </row>
    <row r="220" spans="1:27" s="56" customFormat="1" x14ac:dyDescent="0.25">
      <c r="A220" s="79"/>
      <c r="B220" s="13"/>
      <c r="C220" s="31"/>
      <c r="D220" s="17"/>
      <c r="E220" s="32"/>
      <c r="F220" s="105"/>
      <c r="G220" s="33"/>
      <c r="H220" s="53"/>
      <c r="Z220" s="55"/>
      <c r="AA220" s="55"/>
    </row>
    <row r="221" spans="1:27" s="56" customFormat="1" x14ac:dyDescent="0.25">
      <c r="A221" s="54" t="s">
        <v>0</v>
      </c>
      <c r="B221" s="13" t="s">
        <v>112</v>
      </c>
      <c r="C221" s="31" t="s">
        <v>44</v>
      </c>
      <c r="D221" s="17">
        <f>(1.2+1.2+1.2+2+1.5+1+2.5+0.6*6+2+1+1.5+2.5+1.2+0.9+1+1+1+1.9+1+1.5)/2.5</f>
        <v>12.279999999999998</v>
      </c>
      <c r="E221" s="32"/>
      <c r="F221" s="105" t="s">
        <v>43</v>
      </c>
      <c r="G221" s="33"/>
      <c r="H221" s="53"/>
      <c r="Z221" s="55"/>
      <c r="AA221" s="55"/>
    </row>
    <row r="222" spans="1:27" s="56" customFormat="1" ht="13.5" customHeight="1" x14ac:dyDescent="0.25">
      <c r="A222" s="90">
        <v>53</v>
      </c>
      <c r="B222" s="13" t="s">
        <v>113</v>
      </c>
      <c r="C222" s="31" t="s">
        <v>44</v>
      </c>
      <c r="D222" s="17">
        <v>20</v>
      </c>
      <c r="E222" s="32"/>
      <c r="F222" s="105" t="s">
        <v>43</v>
      </c>
      <c r="G222" s="33"/>
      <c r="H222" s="53"/>
      <c r="Z222" s="55"/>
      <c r="AA222" s="55"/>
    </row>
    <row r="223" spans="1:27" s="56" customFormat="1" ht="13.5" customHeight="1" x14ac:dyDescent="0.25">
      <c r="A223" s="90">
        <v>56</v>
      </c>
      <c r="B223" s="13" t="s">
        <v>240</v>
      </c>
      <c r="C223" s="31" t="s">
        <v>44</v>
      </c>
      <c r="D223" s="17">
        <v>2</v>
      </c>
      <c r="E223" s="32"/>
      <c r="F223" s="105" t="s">
        <v>43</v>
      </c>
      <c r="G223" s="33"/>
      <c r="H223" s="53"/>
      <c r="Z223" s="55"/>
      <c r="AA223" s="55"/>
    </row>
    <row r="224" spans="1:27" s="56" customFormat="1" ht="13.5" customHeight="1" x14ac:dyDescent="0.25">
      <c r="A224" s="90"/>
      <c r="B224" s="13" t="s">
        <v>241</v>
      </c>
      <c r="C224" s="31" t="s">
        <v>44</v>
      </c>
      <c r="D224" s="17">
        <v>4</v>
      </c>
      <c r="E224" s="32"/>
      <c r="F224" s="105" t="s">
        <v>43</v>
      </c>
      <c r="G224" s="33"/>
      <c r="H224" s="53"/>
      <c r="Z224" s="55"/>
      <c r="AA224" s="55"/>
    </row>
    <row r="225" spans="1:27" s="56" customFormat="1" ht="13.5" customHeight="1" x14ac:dyDescent="0.25">
      <c r="A225" s="90">
        <v>54</v>
      </c>
      <c r="B225" s="13" t="s">
        <v>114</v>
      </c>
      <c r="C225" s="31" t="s">
        <v>44</v>
      </c>
      <c r="D225" s="17">
        <v>2</v>
      </c>
      <c r="E225" s="32"/>
      <c r="F225" s="105" t="s">
        <v>43</v>
      </c>
      <c r="G225" s="33"/>
      <c r="H225" s="53"/>
      <c r="Z225" s="55"/>
      <c r="AA225" s="55"/>
    </row>
    <row r="226" spans="1:27" s="56" customFormat="1" ht="13.5" customHeight="1" x14ac:dyDescent="0.25">
      <c r="A226" s="90"/>
      <c r="B226" s="13" t="s">
        <v>115</v>
      </c>
      <c r="C226" s="31" t="s">
        <v>44</v>
      </c>
      <c r="D226" s="17">
        <v>6</v>
      </c>
      <c r="E226" s="32"/>
      <c r="F226" s="105" t="s">
        <v>43</v>
      </c>
      <c r="G226" s="33"/>
      <c r="H226" s="53"/>
      <c r="Z226" s="55"/>
      <c r="AA226" s="55"/>
    </row>
    <row r="227" spans="1:27" s="56" customFormat="1" ht="13.5" customHeight="1" x14ac:dyDescent="0.25">
      <c r="A227" s="90"/>
      <c r="B227" s="13" t="s">
        <v>290</v>
      </c>
      <c r="C227" s="31" t="s">
        <v>44</v>
      </c>
      <c r="D227" s="17">
        <v>1</v>
      </c>
      <c r="E227" s="32"/>
      <c r="F227" s="105" t="s">
        <v>43</v>
      </c>
      <c r="G227" s="33"/>
      <c r="H227" s="53"/>
      <c r="Z227" s="55"/>
      <c r="AA227" s="55"/>
    </row>
    <row r="228" spans="1:27" s="56" customFormat="1" ht="13.5" customHeight="1" x14ac:dyDescent="0.25">
      <c r="A228" s="90"/>
      <c r="B228" s="13" t="s">
        <v>247</v>
      </c>
      <c r="C228" s="31" t="s">
        <v>44</v>
      </c>
      <c r="D228" s="17">
        <v>2</v>
      </c>
      <c r="E228" s="32"/>
      <c r="F228" s="105" t="s">
        <v>43</v>
      </c>
      <c r="G228" s="33"/>
      <c r="H228" s="53"/>
      <c r="Z228" s="55"/>
      <c r="AA228" s="55"/>
    </row>
    <row r="229" spans="1:27" x14ac:dyDescent="0.25">
      <c r="A229" s="90"/>
      <c r="B229" s="13"/>
      <c r="C229" s="31"/>
      <c r="D229" s="17"/>
      <c r="E229" s="32"/>
      <c r="F229" s="105"/>
      <c r="G229" s="33"/>
      <c r="J229" s="47">
        <f>2/7</f>
        <v>0.2857142857142857</v>
      </c>
      <c r="K229" s="48">
        <f>J229*E210</f>
        <v>23.957142857142859</v>
      </c>
    </row>
    <row r="230" spans="1:27" x14ac:dyDescent="0.25">
      <c r="A230" s="90"/>
      <c r="B230" s="13" t="s">
        <v>70</v>
      </c>
      <c r="C230" s="31" t="s">
        <v>9</v>
      </c>
      <c r="D230" s="17"/>
      <c r="E230" s="32">
        <f>SUM(D231:D233)</f>
        <v>5.3999999999999995</v>
      </c>
      <c r="F230" s="105">
        <v>0</v>
      </c>
      <c r="G230" s="33">
        <f>F230*E230</f>
        <v>0</v>
      </c>
      <c r="Z230" s="55"/>
      <c r="AA230" s="55"/>
    </row>
    <row r="231" spans="1:27" x14ac:dyDescent="0.25">
      <c r="A231" s="90"/>
      <c r="B231" s="13" t="s">
        <v>190</v>
      </c>
      <c r="C231" s="31" t="s">
        <v>77</v>
      </c>
      <c r="D231" s="17">
        <v>1.8</v>
      </c>
      <c r="E231" s="32"/>
      <c r="F231" s="105" t="s">
        <v>43</v>
      </c>
      <c r="G231" s="33"/>
      <c r="Z231" s="55"/>
      <c r="AA231" s="55"/>
    </row>
    <row r="232" spans="1:27" x14ac:dyDescent="0.25">
      <c r="A232" s="90"/>
      <c r="B232" s="13" t="s">
        <v>191</v>
      </c>
      <c r="C232" s="31" t="s">
        <v>77</v>
      </c>
      <c r="D232" s="17">
        <f>3*0.6</f>
        <v>1.7999999999999998</v>
      </c>
      <c r="E232" s="32"/>
      <c r="F232" s="105" t="s">
        <v>43</v>
      </c>
      <c r="G232" s="33"/>
      <c r="Z232" s="55"/>
      <c r="AA232" s="55"/>
    </row>
    <row r="233" spans="1:27" x14ac:dyDescent="0.25">
      <c r="A233" s="90"/>
      <c r="B233" s="13" t="s">
        <v>192</v>
      </c>
      <c r="C233" s="31" t="s">
        <v>77</v>
      </c>
      <c r="D233" s="17">
        <f>3*0.6</f>
        <v>1.7999999999999998</v>
      </c>
      <c r="E233" s="32"/>
      <c r="F233" s="105" t="s">
        <v>43</v>
      </c>
      <c r="G233" s="33"/>
      <c r="Z233" s="55"/>
      <c r="AA233" s="55"/>
    </row>
    <row r="234" spans="1:27" x14ac:dyDescent="0.25">
      <c r="A234" s="90"/>
      <c r="B234" s="13"/>
      <c r="C234" s="31"/>
      <c r="D234" s="17"/>
      <c r="E234" s="32"/>
      <c r="F234" s="105"/>
      <c r="G234" s="33"/>
      <c r="Z234" s="55"/>
      <c r="AA234" s="55"/>
    </row>
    <row r="235" spans="1:27" x14ac:dyDescent="0.25">
      <c r="A235" s="90"/>
      <c r="B235" s="13" t="s">
        <v>242</v>
      </c>
      <c r="C235" s="31" t="s">
        <v>9</v>
      </c>
      <c r="D235" s="17">
        <f>E230*1.2</f>
        <v>6.4799999999999995</v>
      </c>
      <c r="E235" s="32"/>
      <c r="F235" s="105" t="s">
        <v>43</v>
      </c>
      <c r="G235" s="33"/>
      <c r="Z235" s="55"/>
      <c r="AA235" s="55"/>
    </row>
    <row r="236" spans="1:27" x14ac:dyDescent="0.25">
      <c r="A236" s="90"/>
      <c r="B236" s="13" t="s">
        <v>116</v>
      </c>
      <c r="C236" s="31" t="s">
        <v>44</v>
      </c>
      <c r="D236" s="17">
        <v>0</v>
      </c>
      <c r="E236" s="32"/>
      <c r="F236" s="105" t="s">
        <v>43</v>
      </c>
      <c r="G236" s="33"/>
      <c r="Z236" s="55"/>
      <c r="AA236" s="55"/>
    </row>
    <row r="237" spans="1:27" x14ac:dyDescent="0.25">
      <c r="A237" s="90"/>
      <c r="B237" s="13" t="s">
        <v>243</v>
      </c>
      <c r="C237" s="31" t="s">
        <v>44</v>
      </c>
      <c r="D237" s="17">
        <v>0</v>
      </c>
      <c r="E237" s="32"/>
      <c r="F237" s="105" t="s">
        <v>43</v>
      </c>
      <c r="G237" s="33"/>
      <c r="Z237" s="55"/>
      <c r="AA237" s="55"/>
    </row>
    <row r="238" spans="1:27" x14ac:dyDescent="0.25">
      <c r="A238" s="90"/>
      <c r="B238" s="13" t="s">
        <v>244</v>
      </c>
      <c r="C238" s="31" t="s">
        <v>44</v>
      </c>
      <c r="D238" s="17">
        <v>0</v>
      </c>
      <c r="E238" s="32"/>
      <c r="F238" s="105" t="s">
        <v>43</v>
      </c>
      <c r="G238" s="33"/>
      <c r="Z238" s="55"/>
      <c r="AA238" s="55"/>
    </row>
    <row r="239" spans="1:27" x14ac:dyDescent="0.25">
      <c r="A239" s="90">
        <v>55</v>
      </c>
      <c r="B239" s="27"/>
      <c r="C239" s="28"/>
      <c r="D239" s="17"/>
      <c r="E239" s="17"/>
      <c r="F239" s="108"/>
      <c r="G239" s="29"/>
      <c r="Z239" s="55"/>
      <c r="AA239" s="55"/>
    </row>
    <row r="240" spans="1:27" x14ac:dyDescent="0.25">
      <c r="A240" s="90">
        <v>54</v>
      </c>
      <c r="B240" s="13" t="s">
        <v>78</v>
      </c>
      <c r="C240" s="28" t="s">
        <v>9</v>
      </c>
      <c r="D240" s="17"/>
      <c r="E240" s="17">
        <f>SUM(D241:D244)</f>
        <v>14.4</v>
      </c>
      <c r="F240" s="105">
        <v>0</v>
      </c>
      <c r="G240" s="33">
        <f>F240*E240</f>
        <v>0</v>
      </c>
      <c r="Z240" s="55"/>
      <c r="AA240" s="55"/>
    </row>
    <row r="241" spans="1:27" x14ac:dyDescent="0.25">
      <c r="A241" s="91"/>
      <c r="B241" s="13" t="s">
        <v>248</v>
      </c>
      <c r="C241" s="28"/>
      <c r="D241" s="17">
        <f>1.5</f>
        <v>1.5</v>
      </c>
      <c r="E241" s="17"/>
      <c r="F241" s="105"/>
      <c r="G241" s="33"/>
      <c r="Z241" s="55"/>
      <c r="AA241" s="55"/>
    </row>
    <row r="242" spans="1:27" x14ac:dyDescent="0.25">
      <c r="A242" s="91"/>
      <c r="B242" s="13" t="s">
        <v>249</v>
      </c>
      <c r="C242" s="28"/>
      <c r="D242" s="17">
        <f>2.9</f>
        <v>2.9</v>
      </c>
      <c r="E242" s="17"/>
      <c r="F242" s="105"/>
      <c r="G242" s="33"/>
      <c r="Z242" s="55"/>
      <c r="AA242" s="55"/>
    </row>
    <row r="243" spans="1:27" x14ac:dyDescent="0.25">
      <c r="A243" s="91"/>
      <c r="B243" s="13" t="s">
        <v>250</v>
      </c>
      <c r="C243" s="28"/>
      <c r="D243" s="17">
        <v>9</v>
      </c>
      <c r="E243" s="17"/>
      <c r="F243" s="105"/>
      <c r="G243" s="33"/>
      <c r="Z243" s="55"/>
      <c r="AA243" s="55"/>
    </row>
    <row r="244" spans="1:27" x14ac:dyDescent="0.25">
      <c r="A244" s="92"/>
      <c r="B244" s="13" t="s">
        <v>291</v>
      </c>
      <c r="C244" s="31" t="s">
        <v>44</v>
      </c>
      <c r="D244" s="32">
        <v>1</v>
      </c>
      <c r="E244" s="32"/>
      <c r="F244" s="105" t="s">
        <v>43</v>
      </c>
      <c r="G244" s="33"/>
      <c r="Z244" s="55"/>
      <c r="AA244" s="55"/>
    </row>
    <row r="245" spans="1:27" x14ac:dyDescent="0.25">
      <c r="A245" s="93"/>
      <c r="B245" s="13" t="s">
        <v>117</v>
      </c>
      <c r="C245" s="31" t="s">
        <v>44</v>
      </c>
      <c r="D245" s="32">
        <v>2</v>
      </c>
      <c r="E245" s="32"/>
      <c r="F245" s="105" t="s">
        <v>43</v>
      </c>
      <c r="G245" s="33"/>
      <c r="Z245" s="55"/>
      <c r="AA245" s="55"/>
    </row>
    <row r="246" spans="1:27" x14ac:dyDescent="0.25">
      <c r="A246" s="75">
        <v>60</v>
      </c>
      <c r="B246" s="13"/>
      <c r="C246" s="31"/>
      <c r="D246" s="32"/>
      <c r="E246" s="32"/>
      <c r="F246" s="105"/>
      <c r="G246" s="33"/>
      <c r="Z246" s="55"/>
      <c r="AA246" s="55"/>
    </row>
    <row r="247" spans="1:27" x14ac:dyDescent="0.25">
      <c r="A247" s="50">
        <v>61</v>
      </c>
      <c r="B247" s="66" t="s">
        <v>5</v>
      </c>
      <c r="C247" s="67" t="s">
        <v>0</v>
      </c>
      <c r="D247" s="68" t="s">
        <v>0</v>
      </c>
      <c r="E247" s="68" t="s">
        <v>0</v>
      </c>
      <c r="F247" s="103" t="s">
        <v>0</v>
      </c>
      <c r="G247" s="69"/>
      <c r="Z247" s="55"/>
      <c r="AA247" s="55"/>
    </row>
    <row r="248" spans="1:27" x14ac:dyDescent="0.25">
      <c r="A248" s="50"/>
      <c r="B248" s="13" t="s">
        <v>6</v>
      </c>
      <c r="C248" s="31" t="s">
        <v>10</v>
      </c>
      <c r="D248" s="17">
        <v>14</v>
      </c>
      <c r="E248" s="17">
        <f>D248</f>
        <v>14</v>
      </c>
      <c r="F248" s="108">
        <v>0</v>
      </c>
      <c r="G248" s="29">
        <f>F248*E248</f>
        <v>0</v>
      </c>
      <c r="Z248" s="55"/>
      <c r="AA248" s="55"/>
    </row>
    <row r="249" spans="1:27" x14ac:dyDescent="0.25">
      <c r="A249" s="50"/>
      <c r="B249" s="13" t="s">
        <v>251</v>
      </c>
      <c r="C249" s="31" t="s">
        <v>44</v>
      </c>
      <c r="D249" s="17">
        <v>3</v>
      </c>
      <c r="E249" s="17">
        <f>D249</f>
        <v>3</v>
      </c>
      <c r="F249" s="108">
        <v>0</v>
      </c>
      <c r="G249" s="29">
        <f>F249*E249</f>
        <v>0</v>
      </c>
      <c r="Z249" s="55"/>
      <c r="AA249" s="55"/>
    </row>
    <row r="250" spans="1:27" x14ac:dyDescent="0.25">
      <c r="A250" s="50"/>
      <c r="B250" s="13" t="s">
        <v>254</v>
      </c>
      <c r="C250" s="31"/>
      <c r="D250" s="17"/>
      <c r="E250" s="17"/>
      <c r="F250" s="108"/>
      <c r="G250" s="29"/>
      <c r="Z250" s="55"/>
      <c r="AA250" s="55"/>
    </row>
    <row r="251" spans="1:27" x14ac:dyDescent="0.25">
      <c r="A251" s="50"/>
      <c r="B251" s="13" t="s">
        <v>255</v>
      </c>
      <c r="C251" s="31"/>
      <c r="D251" s="17"/>
      <c r="E251" s="17"/>
      <c r="F251" s="108"/>
      <c r="G251" s="29"/>
      <c r="Z251" s="55"/>
      <c r="AA251" s="55"/>
    </row>
    <row r="252" spans="1:27" x14ac:dyDescent="0.25">
      <c r="A252" s="50"/>
      <c r="B252" s="13"/>
      <c r="C252" s="31"/>
      <c r="D252" s="17"/>
      <c r="E252" s="17"/>
      <c r="F252" s="108"/>
      <c r="G252" s="29"/>
      <c r="Z252" s="55"/>
      <c r="AA252" s="55"/>
    </row>
    <row r="253" spans="1:27" x14ac:dyDescent="0.25">
      <c r="A253" s="49"/>
      <c r="B253" s="13" t="s">
        <v>257</v>
      </c>
      <c r="C253" s="31"/>
      <c r="D253" s="32"/>
      <c r="E253" s="32"/>
      <c r="F253" s="105"/>
      <c r="G253" s="58"/>
      <c r="Z253" s="55"/>
      <c r="AA253" s="55"/>
    </row>
    <row r="254" spans="1:27" x14ac:dyDescent="0.25">
      <c r="A254" s="49"/>
      <c r="B254" s="13" t="s">
        <v>258</v>
      </c>
      <c r="C254" s="31"/>
      <c r="D254" s="32"/>
      <c r="E254" s="32"/>
      <c r="F254" s="105"/>
      <c r="G254" s="58"/>
      <c r="Z254" s="55"/>
      <c r="AA254" s="55"/>
    </row>
    <row r="255" spans="1:27" x14ac:dyDescent="0.25">
      <c r="A255" s="49"/>
      <c r="B255" s="13" t="s">
        <v>260</v>
      </c>
      <c r="C255" s="31" t="s">
        <v>44</v>
      </c>
      <c r="D255" s="32">
        <v>1</v>
      </c>
      <c r="E255" s="32"/>
      <c r="F255" s="105" t="s">
        <v>43</v>
      </c>
      <c r="G255" s="58"/>
      <c r="Z255" s="55"/>
      <c r="AA255" s="55"/>
    </row>
    <row r="256" spans="1:27" x14ac:dyDescent="0.25">
      <c r="A256" s="49"/>
      <c r="B256" s="13" t="s">
        <v>259</v>
      </c>
      <c r="C256" s="31" t="s">
        <v>44</v>
      </c>
      <c r="D256" s="32">
        <v>1</v>
      </c>
      <c r="E256" s="32"/>
      <c r="F256" s="105" t="s">
        <v>43</v>
      </c>
      <c r="G256" s="58"/>
      <c r="Z256" s="55"/>
      <c r="AA256" s="55"/>
    </row>
    <row r="257" spans="1:27" x14ac:dyDescent="0.25">
      <c r="A257" s="49"/>
      <c r="B257" s="13" t="s">
        <v>262</v>
      </c>
      <c r="C257" s="31" t="s">
        <v>44</v>
      </c>
      <c r="D257" s="32">
        <v>1</v>
      </c>
      <c r="E257" s="32"/>
      <c r="F257" s="105" t="s">
        <v>43</v>
      </c>
      <c r="G257" s="58"/>
      <c r="Z257" s="55"/>
      <c r="AA257" s="55"/>
    </row>
    <row r="258" spans="1:27" x14ac:dyDescent="0.25">
      <c r="A258" s="49"/>
      <c r="B258" s="13"/>
      <c r="C258" s="31"/>
      <c r="D258" s="32"/>
      <c r="E258" s="32"/>
      <c r="F258" s="105"/>
      <c r="G258" s="58"/>
      <c r="Z258" s="55"/>
      <c r="AA258" s="55"/>
    </row>
    <row r="259" spans="1:27" x14ac:dyDescent="0.25">
      <c r="A259" s="57"/>
      <c r="B259" s="13" t="s">
        <v>191</v>
      </c>
      <c r="C259" s="31"/>
      <c r="D259" s="32"/>
      <c r="E259" s="32"/>
      <c r="F259" s="105"/>
      <c r="G259" s="58"/>
      <c r="Z259" s="55"/>
      <c r="AA259" s="55"/>
    </row>
    <row r="260" spans="1:27" x14ac:dyDescent="0.25">
      <c r="A260" s="49"/>
      <c r="B260" s="13" t="s">
        <v>261</v>
      </c>
      <c r="C260" s="31" t="s">
        <v>44</v>
      </c>
      <c r="D260" s="32">
        <v>1</v>
      </c>
      <c r="E260" s="32"/>
      <c r="F260" s="105" t="s">
        <v>43</v>
      </c>
      <c r="G260" s="58"/>
      <c r="Z260" s="55"/>
      <c r="AA260" s="55"/>
    </row>
    <row r="261" spans="1:27" x14ac:dyDescent="0.25">
      <c r="A261" s="49"/>
      <c r="B261" s="13" t="s">
        <v>263</v>
      </c>
      <c r="C261" s="31" t="s">
        <v>44</v>
      </c>
      <c r="D261" s="32">
        <v>1</v>
      </c>
      <c r="E261" s="32"/>
      <c r="F261" s="105" t="s">
        <v>43</v>
      </c>
      <c r="G261" s="58"/>
      <c r="Z261" s="55"/>
      <c r="AA261" s="55"/>
    </row>
    <row r="262" spans="1:27" x14ac:dyDescent="0.25">
      <c r="A262" s="49"/>
      <c r="B262" s="13" t="s">
        <v>261</v>
      </c>
      <c r="C262" s="31" t="s">
        <v>44</v>
      </c>
      <c r="D262" s="32">
        <v>1</v>
      </c>
      <c r="E262" s="32"/>
      <c r="F262" s="105" t="s">
        <v>43</v>
      </c>
      <c r="G262" s="58"/>
      <c r="Z262" s="55"/>
      <c r="AA262" s="55"/>
    </row>
    <row r="263" spans="1:27" x14ac:dyDescent="0.25">
      <c r="A263" s="54"/>
      <c r="B263" s="13"/>
      <c r="C263" s="31"/>
      <c r="D263" s="32"/>
      <c r="E263" s="32"/>
      <c r="F263" s="105"/>
      <c r="G263" s="58"/>
      <c r="Z263" s="55"/>
      <c r="AA263" s="55"/>
    </row>
    <row r="264" spans="1:27" x14ac:dyDescent="0.25">
      <c r="A264" s="54"/>
      <c r="B264" s="13" t="s">
        <v>192</v>
      </c>
      <c r="C264" s="31"/>
      <c r="D264" s="32"/>
      <c r="E264" s="32"/>
      <c r="F264" s="105"/>
      <c r="G264" s="58"/>
      <c r="Z264" s="55"/>
      <c r="AA264" s="55"/>
    </row>
    <row r="265" spans="1:27" x14ac:dyDescent="0.25">
      <c r="A265" s="49"/>
      <c r="B265" s="13" t="s">
        <v>264</v>
      </c>
      <c r="C265" s="31" t="s">
        <v>44</v>
      </c>
      <c r="D265" s="32">
        <v>1</v>
      </c>
      <c r="E265" s="32"/>
      <c r="F265" s="105" t="s">
        <v>43</v>
      </c>
      <c r="G265" s="58"/>
      <c r="Z265" s="55"/>
      <c r="AA265" s="55"/>
    </row>
    <row r="266" spans="1:27" x14ac:dyDescent="0.25">
      <c r="A266" s="49"/>
      <c r="B266" s="13" t="s">
        <v>265</v>
      </c>
      <c r="C266" s="31" t="s">
        <v>44</v>
      </c>
      <c r="D266" s="32">
        <v>1</v>
      </c>
      <c r="E266" s="32"/>
      <c r="F266" s="105" t="s">
        <v>43</v>
      </c>
      <c r="G266" s="58"/>
      <c r="Z266" s="55"/>
      <c r="AA266" s="55"/>
    </row>
    <row r="267" spans="1:27" x14ac:dyDescent="0.25">
      <c r="A267" s="49"/>
      <c r="B267" s="13" t="s">
        <v>260</v>
      </c>
      <c r="C267" s="31" t="s">
        <v>44</v>
      </c>
      <c r="D267" s="32">
        <v>1</v>
      </c>
      <c r="E267" s="32"/>
      <c r="F267" s="105" t="s">
        <v>43</v>
      </c>
      <c r="G267" s="58"/>
      <c r="Z267" s="55"/>
      <c r="AA267" s="55"/>
    </row>
    <row r="268" spans="1:27" x14ac:dyDescent="0.25">
      <c r="A268" s="49"/>
      <c r="B268" s="13" t="s">
        <v>260</v>
      </c>
      <c r="C268" s="31" t="s">
        <v>44</v>
      </c>
      <c r="D268" s="32">
        <v>1</v>
      </c>
      <c r="E268" s="32"/>
      <c r="F268" s="105" t="s">
        <v>43</v>
      </c>
      <c r="G268" s="58"/>
      <c r="Z268" s="55"/>
      <c r="AA268" s="55"/>
    </row>
    <row r="269" spans="1:27" x14ac:dyDescent="0.25">
      <c r="A269" s="49"/>
      <c r="B269" s="13" t="s">
        <v>266</v>
      </c>
      <c r="C269" s="31" t="s">
        <v>44</v>
      </c>
      <c r="D269" s="32">
        <v>1</v>
      </c>
      <c r="E269" s="32"/>
      <c r="F269" s="105" t="s">
        <v>43</v>
      </c>
      <c r="G269" s="58"/>
      <c r="Z269" s="55"/>
      <c r="AA269" s="55"/>
    </row>
    <row r="270" spans="1:27" x14ac:dyDescent="0.25">
      <c r="A270" s="49"/>
      <c r="B270" s="13" t="s">
        <v>267</v>
      </c>
      <c r="C270" s="31" t="s">
        <v>44</v>
      </c>
      <c r="D270" s="32">
        <v>1</v>
      </c>
      <c r="E270" s="32"/>
      <c r="F270" s="105" t="s">
        <v>43</v>
      </c>
      <c r="G270" s="58"/>
      <c r="Z270" s="55"/>
      <c r="AA270" s="55"/>
    </row>
    <row r="271" spans="1:27" x14ac:dyDescent="0.25">
      <c r="A271" s="46"/>
      <c r="B271" s="13"/>
      <c r="C271" s="31"/>
      <c r="D271" s="32"/>
      <c r="E271" s="32"/>
      <c r="F271" s="105"/>
      <c r="G271" s="58"/>
      <c r="Z271" s="55"/>
      <c r="AA271" s="55"/>
    </row>
    <row r="272" spans="1:27" x14ac:dyDescent="0.25">
      <c r="A272" s="46"/>
      <c r="B272" s="13" t="s">
        <v>256</v>
      </c>
      <c r="C272" s="31"/>
      <c r="D272" s="32"/>
      <c r="E272" s="32"/>
      <c r="F272" s="105"/>
      <c r="G272" s="58"/>
      <c r="Z272" s="55"/>
      <c r="AA272" s="55"/>
    </row>
    <row r="273" spans="1:27" x14ac:dyDescent="0.25">
      <c r="A273" s="49"/>
      <c r="B273" s="13" t="s">
        <v>268</v>
      </c>
      <c r="C273" s="31" t="s">
        <v>44</v>
      </c>
      <c r="D273" s="32">
        <v>1</v>
      </c>
      <c r="E273" s="32"/>
      <c r="F273" s="105" t="s">
        <v>43</v>
      </c>
      <c r="G273" s="58"/>
      <c r="Z273" s="55"/>
      <c r="AA273" s="55"/>
    </row>
    <row r="274" spans="1:27" x14ac:dyDescent="0.25">
      <c r="A274" s="49"/>
      <c r="B274" s="13" t="s">
        <v>269</v>
      </c>
      <c r="C274" s="31" t="s">
        <v>44</v>
      </c>
      <c r="D274" s="32">
        <v>1</v>
      </c>
      <c r="E274" s="32"/>
      <c r="F274" s="105" t="s">
        <v>43</v>
      </c>
      <c r="G274" s="58"/>
      <c r="Z274" s="55"/>
      <c r="AA274" s="55"/>
    </row>
    <row r="275" spans="1:27" x14ac:dyDescent="0.25">
      <c r="A275" s="49"/>
      <c r="B275" s="13" t="s">
        <v>270</v>
      </c>
      <c r="C275" s="31" t="s">
        <v>44</v>
      </c>
      <c r="D275" s="32">
        <v>1</v>
      </c>
      <c r="E275" s="32"/>
      <c r="F275" s="105" t="s">
        <v>43</v>
      </c>
      <c r="G275" s="58"/>
      <c r="Z275" s="55"/>
      <c r="AA275" s="55"/>
    </row>
    <row r="276" spans="1:27" x14ac:dyDescent="0.25">
      <c r="A276" s="49"/>
      <c r="B276" s="13" t="s">
        <v>271</v>
      </c>
      <c r="C276" s="31" t="s">
        <v>44</v>
      </c>
      <c r="D276" s="32">
        <v>1</v>
      </c>
      <c r="E276" s="32"/>
      <c r="F276" s="105" t="s">
        <v>43</v>
      </c>
      <c r="G276" s="58"/>
      <c r="Z276" s="55"/>
      <c r="AA276" s="55"/>
    </row>
    <row r="277" spans="1:27" x14ac:dyDescent="0.25">
      <c r="A277" s="49"/>
      <c r="B277" s="13" t="s">
        <v>271</v>
      </c>
      <c r="C277" s="31" t="s">
        <v>44</v>
      </c>
      <c r="D277" s="32">
        <v>1</v>
      </c>
      <c r="E277" s="32"/>
      <c r="F277" s="105" t="s">
        <v>43</v>
      </c>
      <c r="G277" s="58"/>
      <c r="Z277" s="55"/>
      <c r="AA277" s="55"/>
    </row>
    <row r="278" spans="1:27" x14ac:dyDescent="0.25">
      <c r="A278" s="46"/>
      <c r="B278" s="13"/>
      <c r="C278" s="31"/>
      <c r="D278" s="32"/>
      <c r="E278" s="32"/>
      <c r="F278" s="105"/>
      <c r="G278" s="58"/>
    </row>
    <row r="279" spans="1:27" x14ac:dyDescent="0.25">
      <c r="A279" s="46">
        <v>64</v>
      </c>
      <c r="B279" s="13" t="s">
        <v>48</v>
      </c>
      <c r="C279" s="31" t="s">
        <v>10</v>
      </c>
      <c r="D279" s="32">
        <v>3</v>
      </c>
      <c r="E279" s="32">
        <f>D279</f>
        <v>3</v>
      </c>
      <c r="F279" s="105" t="s">
        <v>43</v>
      </c>
      <c r="G279" s="59"/>
      <c r="Z279" s="55"/>
      <c r="AA279" s="55"/>
    </row>
    <row r="280" spans="1:27" x14ac:dyDescent="0.25">
      <c r="A280" s="46"/>
      <c r="B280" s="13" t="s">
        <v>94</v>
      </c>
      <c r="C280" s="31" t="s">
        <v>44</v>
      </c>
      <c r="D280" s="32">
        <v>3</v>
      </c>
      <c r="E280" s="32"/>
      <c r="F280" s="105" t="s">
        <v>43</v>
      </c>
      <c r="G280" s="59"/>
      <c r="Z280" s="55"/>
      <c r="AA280" s="55"/>
    </row>
    <row r="281" spans="1:27" x14ac:dyDescent="0.25">
      <c r="A281" s="46">
        <v>65</v>
      </c>
      <c r="B281" s="66" t="s">
        <v>7</v>
      </c>
      <c r="C281" s="67" t="s">
        <v>0</v>
      </c>
      <c r="D281" s="68" t="s">
        <v>0</v>
      </c>
      <c r="E281" s="68" t="s">
        <v>0</v>
      </c>
      <c r="F281" s="103" t="s">
        <v>0</v>
      </c>
      <c r="G281" s="69"/>
    </row>
    <row r="282" spans="1:27" x14ac:dyDescent="0.25">
      <c r="A282" s="46"/>
      <c r="B282" s="13" t="s">
        <v>130</v>
      </c>
      <c r="C282" s="31" t="s">
        <v>9</v>
      </c>
      <c r="D282" s="32" t="s">
        <v>293</v>
      </c>
      <c r="E282" s="32">
        <v>200</v>
      </c>
      <c r="F282" s="105">
        <v>0</v>
      </c>
      <c r="G282" s="34">
        <f>F282*E282</f>
        <v>0</v>
      </c>
      <c r="Z282" s="55"/>
      <c r="AA282" s="55"/>
    </row>
    <row r="283" spans="1:27" x14ac:dyDescent="0.25">
      <c r="A283" s="46"/>
      <c r="B283" s="13"/>
      <c r="C283" s="28"/>
      <c r="D283" s="32"/>
      <c r="E283" s="32"/>
      <c r="F283" s="108"/>
      <c r="G283" s="30"/>
      <c r="Z283" s="55"/>
      <c r="AA283" s="55"/>
    </row>
    <row r="284" spans="1:27" x14ac:dyDescent="0.25">
      <c r="A284" s="54" t="s">
        <v>0</v>
      </c>
      <c r="B284" s="13" t="s">
        <v>131</v>
      </c>
      <c r="C284" s="28" t="s">
        <v>9</v>
      </c>
      <c r="D284" s="32" t="s">
        <v>294</v>
      </c>
      <c r="E284" s="32">
        <f>500</f>
        <v>500</v>
      </c>
      <c r="F284" s="108">
        <v>0</v>
      </c>
      <c r="G284" s="30">
        <f>F284*E284</f>
        <v>0</v>
      </c>
      <c r="Z284" s="55" t="e">
        <f>#REF!*1</f>
        <v>#REF!</v>
      </c>
      <c r="AA284" s="55" t="e">
        <f>#REF!*(1-1)</f>
        <v>#REF!</v>
      </c>
    </row>
    <row r="285" spans="1:27" x14ac:dyDescent="0.25">
      <c r="A285" s="46">
        <v>68</v>
      </c>
      <c r="B285" s="13"/>
      <c r="C285" s="28"/>
      <c r="D285" s="32"/>
      <c r="E285" s="32"/>
      <c r="F285" s="108"/>
      <c r="G285" s="30"/>
      <c r="Z285" s="55"/>
      <c r="AA285" s="55"/>
    </row>
    <row r="286" spans="1:27" x14ac:dyDescent="0.25">
      <c r="A286" s="94">
        <v>69</v>
      </c>
      <c r="B286" s="66" t="s">
        <v>24</v>
      </c>
      <c r="C286" s="67" t="s">
        <v>0</v>
      </c>
      <c r="D286" s="68" t="s">
        <v>0</v>
      </c>
      <c r="E286" s="68" t="s">
        <v>0</v>
      </c>
      <c r="F286" s="103" t="s">
        <v>0</v>
      </c>
      <c r="G286" s="69"/>
      <c r="Z286" s="55"/>
      <c r="AA286" s="55"/>
    </row>
    <row r="287" spans="1:27" x14ac:dyDescent="0.25">
      <c r="A287" s="94"/>
      <c r="B287" s="13" t="s">
        <v>272</v>
      </c>
      <c r="C287" s="31" t="s">
        <v>10</v>
      </c>
      <c r="D287" s="32"/>
      <c r="E287" s="32">
        <v>1</v>
      </c>
      <c r="F287" s="108">
        <v>0</v>
      </c>
      <c r="G287" s="30">
        <f>F287*E287</f>
        <v>0</v>
      </c>
      <c r="Z287" s="55"/>
      <c r="AA287" s="55"/>
    </row>
    <row r="288" spans="1:27" x14ac:dyDescent="0.25">
      <c r="A288" s="94"/>
      <c r="B288" s="13" t="s">
        <v>273</v>
      </c>
      <c r="C288" s="31" t="s">
        <v>10</v>
      </c>
      <c r="D288" s="32"/>
      <c r="E288" s="32">
        <v>1</v>
      </c>
      <c r="F288" s="108">
        <v>0</v>
      </c>
      <c r="G288" s="30">
        <f>F288*E288</f>
        <v>0</v>
      </c>
      <c r="Z288" s="55"/>
      <c r="AA288" s="55"/>
    </row>
    <row r="289" spans="1:27" x14ac:dyDescent="0.25">
      <c r="A289" s="94"/>
      <c r="B289" s="13" t="s">
        <v>292</v>
      </c>
      <c r="C289" s="31" t="s">
        <v>10</v>
      </c>
      <c r="D289" s="32"/>
      <c r="E289" s="32">
        <v>1</v>
      </c>
      <c r="F289" s="105">
        <v>0</v>
      </c>
      <c r="G289" s="34">
        <v>0</v>
      </c>
      <c r="Z289" s="55"/>
      <c r="AA289" s="55"/>
    </row>
    <row r="290" spans="1:27" x14ac:dyDescent="0.25">
      <c r="A290" s="94"/>
      <c r="B290" s="13"/>
      <c r="C290" s="31"/>
      <c r="D290" s="32"/>
      <c r="E290" s="32"/>
      <c r="F290" s="105"/>
      <c r="G290" s="34"/>
      <c r="Z290" s="55"/>
      <c r="AA290" s="55"/>
    </row>
    <row r="291" spans="1:27" x14ac:dyDescent="0.25">
      <c r="A291" s="94"/>
      <c r="B291" s="13"/>
      <c r="C291" s="31"/>
      <c r="D291" s="32"/>
      <c r="E291" s="32"/>
      <c r="F291" s="105"/>
      <c r="G291" s="34"/>
      <c r="Z291" s="55"/>
      <c r="AA291" s="55"/>
    </row>
    <row r="292" spans="1:27" x14ac:dyDescent="0.25">
      <c r="A292" s="94"/>
      <c r="B292" s="13"/>
      <c r="C292" s="31"/>
      <c r="D292" s="32"/>
      <c r="E292" s="32"/>
      <c r="F292" s="105"/>
      <c r="G292" s="34"/>
      <c r="Z292" s="55"/>
      <c r="AA292" s="55"/>
    </row>
    <row r="293" spans="1:27" x14ac:dyDescent="0.25">
      <c r="A293" s="79">
        <v>70</v>
      </c>
      <c r="B293" s="27" t="s">
        <v>23</v>
      </c>
      <c r="C293" s="28" t="s">
        <v>10</v>
      </c>
      <c r="D293" s="17">
        <v>1</v>
      </c>
      <c r="E293" s="17">
        <f>D293</f>
        <v>1</v>
      </c>
      <c r="F293" s="108">
        <v>0</v>
      </c>
      <c r="G293" s="30">
        <f>F293</f>
        <v>0</v>
      </c>
      <c r="Z293" s="55"/>
      <c r="AA293" s="55"/>
    </row>
    <row r="294" spans="1:27" x14ac:dyDescent="0.25">
      <c r="A294" s="94">
        <v>71</v>
      </c>
      <c r="B294" s="27" t="s">
        <v>133</v>
      </c>
      <c r="C294" s="28" t="s">
        <v>10</v>
      </c>
      <c r="D294" s="17">
        <v>1</v>
      </c>
      <c r="E294" s="17">
        <f t="shared" ref="E294:E296" si="5">D294</f>
        <v>1</v>
      </c>
      <c r="F294" s="108">
        <v>0</v>
      </c>
      <c r="G294" s="30">
        <f t="shared" ref="G294:G296" si="6">F294</f>
        <v>0</v>
      </c>
      <c r="Z294" s="55"/>
      <c r="AA294" s="55"/>
    </row>
    <row r="295" spans="1:27" x14ac:dyDescent="0.25">
      <c r="A295" s="79"/>
      <c r="B295" s="27" t="s">
        <v>21</v>
      </c>
      <c r="C295" s="28" t="s">
        <v>10</v>
      </c>
      <c r="D295" s="17">
        <v>1</v>
      </c>
      <c r="E295" s="17">
        <f t="shared" si="5"/>
        <v>1</v>
      </c>
      <c r="F295" s="108">
        <v>0</v>
      </c>
      <c r="G295" s="30">
        <f t="shared" si="6"/>
        <v>0</v>
      </c>
    </row>
    <row r="296" spans="1:27" x14ac:dyDescent="0.25">
      <c r="A296" s="54" t="s">
        <v>0</v>
      </c>
      <c r="B296" s="27" t="s">
        <v>22</v>
      </c>
      <c r="C296" s="28" t="s">
        <v>10</v>
      </c>
      <c r="D296" s="17">
        <v>1</v>
      </c>
      <c r="E296" s="17">
        <f t="shared" si="5"/>
        <v>1</v>
      </c>
      <c r="F296" s="108">
        <v>0</v>
      </c>
      <c r="G296" s="30">
        <f t="shared" si="6"/>
        <v>0</v>
      </c>
    </row>
    <row r="297" spans="1:27" x14ac:dyDescent="0.25">
      <c r="A297" s="79">
        <v>73</v>
      </c>
      <c r="B297" s="66" t="s">
        <v>26</v>
      </c>
      <c r="C297" s="67" t="s">
        <v>0</v>
      </c>
      <c r="D297" s="68"/>
      <c r="E297" s="68" t="s">
        <v>0</v>
      </c>
      <c r="F297" s="103" t="s">
        <v>0</v>
      </c>
      <c r="G297" s="69"/>
      <c r="Z297" s="55"/>
      <c r="AA297" s="55"/>
    </row>
    <row r="298" spans="1:27" x14ac:dyDescent="0.25">
      <c r="A298" s="79">
        <v>74</v>
      </c>
      <c r="B298" s="95" t="s">
        <v>32</v>
      </c>
      <c r="C298" s="81"/>
      <c r="D298" s="82"/>
      <c r="E298" s="82"/>
      <c r="F298" s="108"/>
      <c r="G298" s="34">
        <f>SUM(G41:G297)</f>
        <v>0</v>
      </c>
      <c r="Z298" s="55"/>
      <c r="AA298" s="55"/>
    </row>
    <row r="299" spans="1:27" x14ac:dyDescent="0.25">
      <c r="A299" s="79">
        <v>75</v>
      </c>
      <c r="B299" s="95" t="s">
        <v>34</v>
      </c>
      <c r="C299" s="81"/>
      <c r="D299" s="82"/>
      <c r="E299" s="82"/>
      <c r="F299" s="108"/>
      <c r="G299" s="96">
        <f>(G298/100)*21</f>
        <v>0</v>
      </c>
      <c r="Z299" s="55"/>
      <c r="AA299" s="55"/>
    </row>
    <row r="300" spans="1:27" ht="13.8" thickBot="1" x14ac:dyDescent="0.3">
      <c r="A300" s="79">
        <v>76</v>
      </c>
      <c r="B300" s="97" t="s">
        <v>33</v>
      </c>
      <c r="C300" s="98"/>
      <c r="D300" s="99"/>
      <c r="E300" s="99"/>
      <c r="F300" s="110"/>
      <c r="G300" s="100">
        <f>G298+G299</f>
        <v>0</v>
      </c>
    </row>
    <row r="301" spans="1:27" x14ac:dyDescent="0.25">
      <c r="A301" s="54"/>
    </row>
    <row r="302" spans="1:27" x14ac:dyDescent="0.25">
      <c r="A302" s="79"/>
    </row>
    <row r="303" spans="1:27" x14ac:dyDescent="0.25">
      <c r="A303" s="79"/>
    </row>
    <row r="304" spans="1:27" s="56" customFormat="1" ht="13.8" thickBot="1" x14ac:dyDescent="0.3">
      <c r="A304" s="101"/>
      <c r="B304" s="51"/>
      <c r="C304" s="76"/>
      <c r="D304" s="77"/>
      <c r="E304" s="77"/>
      <c r="F304" s="106"/>
      <c r="G304" s="78"/>
      <c r="H304" s="53"/>
    </row>
    <row r="305" spans="1:27" s="56" customFormat="1" x14ac:dyDescent="0.25">
      <c r="A305" s="75"/>
      <c r="B305" s="51"/>
      <c r="C305" s="76"/>
      <c r="D305" s="77"/>
      <c r="E305" s="77"/>
      <c r="F305" s="106"/>
      <c r="G305" s="78"/>
      <c r="H305" s="53"/>
    </row>
    <row r="306" spans="1:27" s="56" customFormat="1" x14ac:dyDescent="0.25">
      <c r="A306" s="75"/>
      <c r="B306" s="51"/>
      <c r="C306" s="76"/>
      <c r="D306" s="77"/>
      <c r="E306" s="77"/>
      <c r="F306" s="106"/>
      <c r="G306" s="78"/>
      <c r="H306" s="53"/>
    </row>
    <row r="307" spans="1:27" s="56" customFormat="1" x14ac:dyDescent="0.25">
      <c r="A307" s="75"/>
      <c r="B307" s="51"/>
      <c r="C307" s="76"/>
      <c r="D307" s="77"/>
      <c r="E307" s="77"/>
      <c r="F307" s="106"/>
      <c r="G307" s="78"/>
      <c r="H307" s="53"/>
    </row>
    <row r="308" spans="1:27" s="56" customFormat="1" x14ac:dyDescent="0.25">
      <c r="A308" s="75"/>
      <c r="B308" s="51"/>
      <c r="C308" s="76"/>
      <c r="D308" s="77"/>
      <c r="E308" s="77"/>
      <c r="F308" s="106"/>
      <c r="G308" s="78"/>
      <c r="H308" s="53"/>
    </row>
    <row r="309" spans="1:27" s="56" customFormat="1" x14ac:dyDescent="0.25">
      <c r="A309" s="75"/>
      <c r="B309" s="51"/>
      <c r="C309" s="76"/>
      <c r="D309" s="77"/>
      <c r="E309" s="77"/>
      <c r="F309" s="106"/>
      <c r="G309" s="78"/>
      <c r="H309" s="53"/>
    </row>
    <row r="312" spans="1:27" x14ac:dyDescent="0.25">
      <c r="Z312" s="55" t="e">
        <f>#REF!*0.233514352211016</f>
        <v>#REF!</v>
      </c>
      <c r="AA312" s="55" t="e">
        <f>#REF!*(1-0.233514352211016)</f>
        <v>#REF!</v>
      </c>
    </row>
    <row r="313" spans="1:27" x14ac:dyDescent="0.25">
      <c r="Z313" s="55"/>
      <c r="AA313" s="55"/>
    </row>
    <row r="314" spans="1:27" x14ac:dyDescent="0.25">
      <c r="Z314" s="55">
        <f t="shared" ref="Z314:Z315" si="7">F284*0.233514352211016</f>
        <v>0</v>
      </c>
      <c r="AA314" s="55">
        <f t="shared" ref="AA314:AA315" si="8">F284*(1-0.233514352211016)</f>
        <v>0</v>
      </c>
    </row>
    <row r="315" spans="1:27" x14ac:dyDescent="0.25">
      <c r="Z315" s="55">
        <f t="shared" si="7"/>
        <v>0</v>
      </c>
      <c r="AA315" s="55">
        <f t="shared" si="8"/>
        <v>0</v>
      </c>
    </row>
  </sheetData>
  <pageMargins left="0.39370078740157483" right="0.39370078740157483" top="0.59055118110236227" bottom="0.59055118110236227" header="0.51181102362204722" footer="0.51181102362204722"/>
  <pageSetup paperSize="9" scale="55" fitToHeight="0" orientation="landscape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57"/>
  <sheetViews>
    <sheetView topLeftCell="A34" workbookViewId="0">
      <selection activeCell="C61" sqref="C61"/>
    </sheetView>
  </sheetViews>
  <sheetFormatPr defaultRowHeight="13.2" x14ac:dyDescent="0.25"/>
  <cols>
    <col min="3" max="3" width="81.33203125" customWidth="1"/>
  </cols>
  <sheetData>
    <row r="2" spans="3:5" x14ac:dyDescent="0.25">
      <c r="C2" s="1" t="s">
        <v>55</v>
      </c>
      <c r="D2" s="2" t="s">
        <v>10</v>
      </c>
      <c r="E2" s="8">
        <v>2</v>
      </c>
    </row>
    <row r="3" spans="3:5" x14ac:dyDescent="0.25">
      <c r="C3" s="1" t="s">
        <v>56</v>
      </c>
      <c r="D3" s="2" t="s">
        <v>12</v>
      </c>
      <c r="E3" s="8">
        <v>2</v>
      </c>
    </row>
    <row r="4" spans="3:5" x14ac:dyDescent="0.25">
      <c r="C4" s="1" t="s">
        <v>59</v>
      </c>
      <c r="D4" s="2" t="s">
        <v>12</v>
      </c>
      <c r="E4" s="8">
        <v>2</v>
      </c>
    </row>
    <row r="5" spans="3:5" x14ac:dyDescent="0.25">
      <c r="C5" s="1"/>
      <c r="D5" s="2"/>
      <c r="E5" s="8"/>
    </row>
    <row r="6" spans="3:5" x14ac:dyDescent="0.25">
      <c r="C6" s="22" t="s">
        <v>38</v>
      </c>
      <c r="D6" s="23" t="s">
        <v>10</v>
      </c>
      <c r="E6" s="24">
        <v>2</v>
      </c>
    </row>
    <row r="7" spans="3:5" x14ac:dyDescent="0.25">
      <c r="C7" s="1" t="s">
        <v>61</v>
      </c>
      <c r="D7" s="2" t="s">
        <v>12</v>
      </c>
      <c r="E7" s="14">
        <v>2</v>
      </c>
    </row>
    <row r="8" spans="3:5" x14ac:dyDescent="0.25">
      <c r="C8" s="1" t="s">
        <v>62</v>
      </c>
      <c r="D8" s="2" t="s">
        <v>12</v>
      </c>
      <c r="E8" s="14">
        <v>2</v>
      </c>
    </row>
    <row r="9" spans="3:5" x14ac:dyDescent="0.25">
      <c r="C9" s="1" t="s">
        <v>58</v>
      </c>
      <c r="D9" s="2" t="s">
        <v>12</v>
      </c>
      <c r="E9" s="14">
        <v>2</v>
      </c>
    </row>
    <row r="10" spans="3:5" x14ac:dyDescent="0.25">
      <c r="C10" s="1"/>
      <c r="D10" s="2"/>
      <c r="E10" s="12"/>
    </row>
    <row r="11" spans="3:5" x14ac:dyDescent="0.25">
      <c r="C11" s="22" t="s">
        <v>39</v>
      </c>
      <c r="D11" s="23" t="s">
        <v>10</v>
      </c>
      <c r="E11" s="21">
        <v>2</v>
      </c>
    </row>
    <row r="12" spans="3:5" x14ac:dyDescent="0.25">
      <c r="C12" s="1" t="s">
        <v>50</v>
      </c>
      <c r="D12" s="2" t="s">
        <v>12</v>
      </c>
      <c r="E12" s="8">
        <v>2</v>
      </c>
    </row>
    <row r="13" spans="3:5" x14ac:dyDescent="0.25">
      <c r="C13" s="1" t="s">
        <v>60</v>
      </c>
      <c r="D13" s="2" t="s">
        <v>12</v>
      </c>
      <c r="E13" s="8">
        <v>2</v>
      </c>
    </row>
    <row r="14" spans="3:5" x14ac:dyDescent="0.25">
      <c r="C14" s="1" t="s">
        <v>40</v>
      </c>
      <c r="D14" s="2" t="s">
        <v>12</v>
      </c>
      <c r="E14" s="8">
        <v>2</v>
      </c>
    </row>
    <row r="15" spans="3:5" x14ac:dyDescent="0.25">
      <c r="C15" s="1" t="s">
        <v>63</v>
      </c>
      <c r="D15" s="2" t="s">
        <v>12</v>
      </c>
      <c r="E15" s="8">
        <v>2</v>
      </c>
    </row>
    <row r="16" spans="3:5" x14ac:dyDescent="0.25">
      <c r="C16" s="1" t="s">
        <v>54</v>
      </c>
      <c r="D16" s="2" t="s">
        <v>12</v>
      </c>
      <c r="E16" s="8">
        <v>2</v>
      </c>
    </row>
    <row r="17" spans="3:5" x14ac:dyDescent="0.25">
      <c r="C17" s="1"/>
      <c r="D17" s="2"/>
      <c r="E17" s="8"/>
    </row>
    <row r="18" spans="3:5" x14ac:dyDescent="0.25">
      <c r="C18" s="22" t="s">
        <v>41</v>
      </c>
      <c r="D18" s="23" t="s">
        <v>10</v>
      </c>
      <c r="E18" s="21">
        <v>1</v>
      </c>
    </row>
    <row r="19" spans="3:5" x14ac:dyDescent="0.25">
      <c r="C19" s="1" t="s">
        <v>51</v>
      </c>
      <c r="D19" s="2" t="s">
        <v>12</v>
      </c>
      <c r="E19" s="8">
        <v>1</v>
      </c>
    </row>
    <row r="20" spans="3:5" x14ac:dyDescent="0.25">
      <c r="C20" s="1" t="s">
        <v>69</v>
      </c>
      <c r="D20" s="2" t="s">
        <v>12</v>
      </c>
      <c r="E20" s="8">
        <v>1</v>
      </c>
    </row>
    <row r="21" spans="3:5" x14ac:dyDescent="0.25">
      <c r="C21" s="1" t="s">
        <v>68</v>
      </c>
      <c r="D21" s="2" t="s">
        <v>12</v>
      </c>
      <c r="E21" s="8">
        <v>2</v>
      </c>
    </row>
    <row r="22" spans="3:5" x14ac:dyDescent="0.25">
      <c r="C22" s="1" t="s">
        <v>57</v>
      </c>
      <c r="D22" s="2" t="s">
        <v>12</v>
      </c>
      <c r="E22" s="8">
        <v>2</v>
      </c>
    </row>
    <row r="23" spans="3:5" x14ac:dyDescent="0.25">
      <c r="C23" s="15" t="s">
        <v>65</v>
      </c>
      <c r="D23" s="2" t="s">
        <v>12</v>
      </c>
      <c r="E23" s="8">
        <v>2</v>
      </c>
    </row>
    <row r="24" spans="3:5" x14ac:dyDescent="0.25">
      <c r="C24" s="7" t="s">
        <v>64</v>
      </c>
      <c r="D24" s="2" t="s">
        <v>12</v>
      </c>
      <c r="E24" s="8">
        <v>2</v>
      </c>
    </row>
    <row r="25" spans="3:5" x14ac:dyDescent="0.25">
      <c r="C25" s="16" t="s">
        <v>52</v>
      </c>
      <c r="D25" s="2" t="s">
        <v>12</v>
      </c>
      <c r="E25" s="8">
        <v>2</v>
      </c>
    </row>
    <row r="26" spans="3:5" x14ac:dyDescent="0.25">
      <c r="C26" s="1" t="s">
        <v>66</v>
      </c>
      <c r="D26" s="2" t="s">
        <v>12</v>
      </c>
      <c r="E26" s="8">
        <v>2</v>
      </c>
    </row>
    <row r="27" spans="3:5" x14ac:dyDescent="0.25">
      <c r="C27" s="1" t="s">
        <v>67</v>
      </c>
      <c r="D27" s="2" t="s">
        <v>12</v>
      </c>
      <c r="E27" s="8">
        <v>2</v>
      </c>
    </row>
    <row r="28" spans="3:5" x14ac:dyDescent="0.25">
      <c r="C28" s="1" t="s">
        <v>53</v>
      </c>
      <c r="D28" s="2" t="s">
        <v>12</v>
      </c>
      <c r="E28" s="8">
        <v>2</v>
      </c>
    </row>
    <row r="29" spans="3:5" x14ac:dyDescent="0.25">
      <c r="C29" s="1" t="s">
        <v>73</v>
      </c>
      <c r="D29" s="2" t="s">
        <v>74</v>
      </c>
      <c r="E29" s="11">
        <v>32</v>
      </c>
    </row>
    <row r="30" spans="3:5" x14ac:dyDescent="0.25">
      <c r="C30" s="1" t="s">
        <v>75</v>
      </c>
      <c r="D30" s="2" t="s">
        <v>44</v>
      </c>
      <c r="E30" s="11">
        <v>1</v>
      </c>
    </row>
    <row r="31" spans="3:5" x14ac:dyDescent="0.25">
      <c r="C31" s="1" t="s">
        <v>81</v>
      </c>
      <c r="D31" s="2" t="s">
        <v>9</v>
      </c>
      <c r="E31" s="11">
        <f>(10.32-(0.7*1.97)+8)*1.35</f>
        <v>22.870350000000006</v>
      </c>
    </row>
    <row r="32" spans="3:5" x14ac:dyDescent="0.25">
      <c r="C32" s="1" t="s">
        <v>83</v>
      </c>
      <c r="D32" s="2" t="s">
        <v>77</v>
      </c>
      <c r="E32" s="11">
        <f>(3.2*2*2.7-(0.7*1.97)+3.9*2*2.7)*1.2</f>
        <v>44.353200000000008</v>
      </c>
    </row>
    <row r="33" spans="3:5" x14ac:dyDescent="0.25">
      <c r="C33" s="1" t="s">
        <v>72</v>
      </c>
      <c r="D33" s="2" t="s">
        <v>44</v>
      </c>
      <c r="E33" s="11">
        <v>5</v>
      </c>
    </row>
    <row r="34" spans="3:5" x14ac:dyDescent="0.25">
      <c r="C34" s="1" t="s">
        <v>71</v>
      </c>
      <c r="D34" s="2" t="s">
        <v>44</v>
      </c>
      <c r="E34" s="11">
        <v>20</v>
      </c>
    </row>
    <row r="35" spans="3:5" x14ac:dyDescent="0.25">
      <c r="C35" s="1" t="s">
        <v>84</v>
      </c>
      <c r="D35" s="2" t="s">
        <v>44</v>
      </c>
      <c r="E35" s="11">
        <v>2</v>
      </c>
    </row>
    <row r="36" spans="3:5" x14ac:dyDescent="0.25">
      <c r="C36" s="1" t="s">
        <v>85</v>
      </c>
      <c r="D36" s="2" t="s">
        <v>44</v>
      </c>
      <c r="E36" s="11">
        <v>3</v>
      </c>
    </row>
    <row r="37" spans="3:5" x14ac:dyDescent="0.25">
      <c r="C37" s="1" t="s">
        <v>86</v>
      </c>
      <c r="D37" s="2" t="s">
        <v>44</v>
      </c>
      <c r="E37" s="11">
        <v>2</v>
      </c>
    </row>
    <row r="38" spans="3:5" x14ac:dyDescent="0.25">
      <c r="C38" s="1" t="s">
        <v>87</v>
      </c>
      <c r="D38" s="2" t="s">
        <v>44</v>
      </c>
      <c r="E38" s="11">
        <v>3</v>
      </c>
    </row>
    <row r="39" spans="3:5" x14ac:dyDescent="0.25">
      <c r="C39" s="1"/>
      <c r="D39" s="2"/>
      <c r="E39" s="11"/>
    </row>
    <row r="40" spans="3:5" x14ac:dyDescent="0.25">
      <c r="C40" s="22" t="s">
        <v>70</v>
      </c>
      <c r="D40" s="23" t="s">
        <v>9</v>
      </c>
      <c r="E40" s="25">
        <f>2.16+1.08</f>
        <v>3.24</v>
      </c>
    </row>
    <row r="41" spans="3:5" x14ac:dyDescent="0.25">
      <c r="C41" s="1" t="s">
        <v>82</v>
      </c>
      <c r="D41" s="2" t="s">
        <v>9</v>
      </c>
      <c r="E41" s="10">
        <f>E40*1.2</f>
        <v>3.8879999999999999</v>
      </c>
    </row>
    <row r="42" spans="3:5" x14ac:dyDescent="0.25">
      <c r="C42" s="1" t="s">
        <v>76</v>
      </c>
      <c r="D42" s="2" t="s">
        <v>44</v>
      </c>
      <c r="E42" s="11">
        <v>1</v>
      </c>
    </row>
    <row r="43" spans="3:5" x14ac:dyDescent="0.25">
      <c r="C43" s="1" t="s">
        <v>88</v>
      </c>
      <c r="D43" s="2" t="s">
        <v>44</v>
      </c>
      <c r="E43" s="11">
        <v>0</v>
      </c>
    </row>
    <row r="44" spans="3:5" x14ac:dyDescent="0.25">
      <c r="C44" s="1" t="s">
        <v>89</v>
      </c>
      <c r="D44" s="2" t="s">
        <v>44</v>
      </c>
      <c r="E44" s="11">
        <v>0</v>
      </c>
    </row>
    <row r="45" spans="3:5" x14ac:dyDescent="0.25">
      <c r="C45" s="3"/>
      <c r="D45" s="4"/>
      <c r="E45" s="11"/>
    </row>
    <row r="46" spans="3:5" x14ac:dyDescent="0.25">
      <c r="C46" s="22" t="s">
        <v>78</v>
      </c>
      <c r="D46" s="26" t="s">
        <v>9</v>
      </c>
      <c r="E46" s="25">
        <f>6.7+3.5+4.8</f>
        <v>15</v>
      </c>
    </row>
    <row r="47" spans="3:5" x14ac:dyDescent="0.25">
      <c r="C47" s="5" t="s">
        <v>79</v>
      </c>
      <c r="D47" s="6" t="s">
        <v>9</v>
      </c>
      <c r="E47" s="9">
        <f>E46*1.4</f>
        <v>21</v>
      </c>
    </row>
    <row r="48" spans="3:5" x14ac:dyDescent="0.25">
      <c r="C48" s="5" t="s">
        <v>92</v>
      </c>
      <c r="D48" s="6" t="s">
        <v>44</v>
      </c>
      <c r="E48" s="9">
        <v>2</v>
      </c>
    </row>
    <row r="49" spans="3:5" x14ac:dyDescent="0.25">
      <c r="C49" s="5" t="s">
        <v>93</v>
      </c>
      <c r="D49" s="6" t="s">
        <v>44</v>
      </c>
      <c r="E49" s="9">
        <v>4</v>
      </c>
    </row>
    <row r="50" spans="3:5" x14ac:dyDescent="0.25">
      <c r="C50" s="18"/>
      <c r="D50" s="19"/>
      <c r="E50" s="20"/>
    </row>
    <row r="51" spans="3:5" x14ac:dyDescent="0.25">
      <c r="C51" s="22" t="s">
        <v>49</v>
      </c>
      <c r="D51" s="26" t="s">
        <v>9</v>
      </c>
      <c r="E51" s="25">
        <f>9.8</f>
        <v>9.8000000000000007</v>
      </c>
    </row>
    <row r="52" spans="3:5" x14ac:dyDescent="0.25">
      <c r="C52" s="5" t="s">
        <v>80</v>
      </c>
      <c r="D52" s="6" t="s">
        <v>9</v>
      </c>
      <c r="E52" s="9">
        <f>E51*1.3</f>
        <v>12.740000000000002</v>
      </c>
    </row>
    <row r="53" spans="3:5" x14ac:dyDescent="0.25">
      <c r="C53" s="5" t="s">
        <v>90</v>
      </c>
      <c r="D53" s="6" t="s">
        <v>44</v>
      </c>
      <c r="E53" s="9">
        <v>0</v>
      </c>
    </row>
    <row r="54" spans="3:5" x14ac:dyDescent="0.25">
      <c r="C54" s="5" t="s">
        <v>91</v>
      </c>
      <c r="D54" s="6" t="s">
        <v>44</v>
      </c>
      <c r="E54" s="9">
        <v>0</v>
      </c>
    </row>
    <row r="56" spans="3:5" x14ac:dyDescent="0.25">
      <c r="C56" s="1" t="s">
        <v>73</v>
      </c>
      <c r="D56" s="2" t="s">
        <v>74</v>
      </c>
      <c r="E56" s="11">
        <v>32</v>
      </c>
    </row>
    <row r="57" spans="3:5" x14ac:dyDescent="0.25">
      <c r="C57" s="1" t="s">
        <v>75</v>
      </c>
      <c r="D57" s="2" t="s">
        <v>44</v>
      </c>
      <c r="E57" s="11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Radim Kokeš</cp:lastModifiedBy>
  <cp:lastPrinted>2020-12-17T13:19:23Z</cp:lastPrinted>
  <dcterms:created xsi:type="dcterms:W3CDTF">2017-07-03T11:01:57Z</dcterms:created>
  <dcterms:modified xsi:type="dcterms:W3CDTF">2023-02-09T14:00:53Z</dcterms:modified>
</cp:coreProperties>
</file>