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<sst xmlns="http://schemas.openxmlformats.org/spreadsheetml/2006/main" count="4823" uniqueCount="1367">
  <si>
    <t>92</t>
  </si>
  <si>
    <t>972054241R00</t>
  </si>
  <si>
    <t>protilehlé pouzdro 1250/1970 mm</t>
  </si>
  <si>
    <t>165</t>
  </si>
  <si>
    <t>včetně dodávky asfaltového laku</t>
  </si>
  <si>
    <t>998736102R00</t>
  </si>
  <si>
    <t>pro plochy 2 - 5 m2</t>
  </si>
  <si>
    <t>13482710</t>
  </si>
  <si>
    <t>Doba výstavby:</t>
  </si>
  <si>
    <t>Hloubené vykopávky</t>
  </si>
  <si>
    <t>198</t>
  </si>
  <si>
    <t>297</t>
  </si>
  <si>
    <t>261</t>
  </si>
  <si>
    <t>Mazanina betonová tl. 5 - 8 cm C 16/20</t>
  </si>
  <si>
    <t>323</t>
  </si>
  <si>
    <t>zalití tvárnic betonem C 20/25</t>
  </si>
  <si>
    <t>Atypické ocelové konstrukce-ocelový rám U140(6ks)</t>
  </si>
  <si>
    <t>Projektant</t>
  </si>
  <si>
    <t>O010-Okno plastové jednokřídlé 188,5 x 185 cm O+OS 1x+2xfix bílé</t>
  </si>
  <si>
    <t>67</t>
  </si>
  <si>
    <t>953941395R00</t>
  </si>
  <si>
    <t>998721102R00</t>
  </si>
  <si>
    <t>209</t>
  </si>
  <si>
    <t>272</t>
  </si>
  <si>
    <t>226</t>
  </si>
  <si>
    <t>283</t>
  </si>
  <si>
    <t>Základ 15%</t>
  </si>
  <si>
    <t>Malby</t>
  </si>
  <si>
    <t>Příplatek za otvor v podhledu podkroví pl. 1,00 m2</t>
  </si>
  <si>
    <t>183</t>
  </si>
  <si>
    <t>včetně dodávky asfaltového penetračního laku</t>
  </si>
  <si>
    <t>103</t>
  </si>
  <si>
    <t>411120031RAB</t>
  </si>
  <si>
    <t>60725035</t>
  </si>
  <si>
    <t>Lišta okenní s tkaninou V 09  l = 2,4 m</t>
  </si>
  <si>
    <t>Výztuž základových pasů ze svařovaných sítí</t>
  </si>
  <si>
    <t>panely Goldbeck SPG 20</t>
  </si>
  <si>
    <t>Penetrace podkladu pod dlažby</t>
  </si>
  <si>
    <t>941940031RAD</t>
  </si>
  <si>
    <t>317168138R00</t>
  </si>
  <si>
    <t>166</t>
  </si>
  <si>
    <t>733163102R00</t>
  </si>
  <si>
    <t>Malba Primalex Plus, barva, bez penetrace, 2 x</t>
  </si>
  <si>
    <t>Montáž tepelného čerpadla s modulem</t>
  </si>
  <si>
    <t>Stříška větrací šachty jednoprůduchového Schiedel UNI ADVANCED</t>
  </si>
  <si>
    <t>SO-03_1_</t>
  </si>
  <si>
    <t>Bednění ztužujících pásů a věnců - odstranění</t>
  </si>
  <si>
    <t>Zdivo POROTHERM 19 AKU Profi P10, tl. 190 mm</t>
  </si>
  <si>
    <t>725100006RA0</t>
  </si>
  <si>
    <t>228</t>
  </si>
  <si>
    <t>91</t>
  </si>
  <si>
    <t>339921213R00</t>
  </si>
  <si>
    <t>87</t>
  </si>
  <si>
    <t>Těleso trubkové Koralux Linear Classic-M KLCM, v. 1500 mm, dl. 750 mm</t>
  </si>
  <si>
    <t>Dlažba vegetační Andezit AND 60/40/10 II nat</t>
  </si>
  <si>
    <t>Základ 21%</t>
  </si>
  <si>
    <t>20</t>
  </si>
  <si>
    <t>237</t>
  </si>
  <si>
    <t>zpětná klapka, D 40, 50 mm, kulový kloub na odtoku</t>
  </si>
  <si>
    <t>998711102R00</t>
  </si>
  <si>
    <t>Dodávka</t>
  </si>
  <si>
    <t>NUS celkem z obj.</t>
  </si>
  <si>
    <t>336</t>
  </si>
  <si>
    <t>Výztuž ztužujících pásů a věnců z oceli B500B (10 505)</t>
  </si>
  <si>
    <t>profil RB, pro tloušťku obkladu 10 mm</t>
  </si>
  <si>
    <t>D05-Dveře vnitřní CPL 0,2 KLASIK plné 1-křídlé 700 x 2100 mm</t>
  </si>
  <si>
    <t>998767101R00</t>
  </si>
  <si>
    <t>167</t>
  </si>
  <si>
    <t>Náklady (Kč) - celkem</t>
  </si>
  <si>
    <t>711</t>
  </si>
  <si>
    <t>Zábradlí schodištové, madlo, nátěry</t>
  </si>
  <si>
    <t>597623142</t>
  </si>
  <si>
    <t>61143840</t>
  </si>
  <si>
    <t>314248545R00</t>
  </si>
  <si>
    <t>Zkouška těsnosti kanalizace vodou DN 125 mm</t>
  </si>
  <si>
    <t>odvoz do 15 km, uložení na skládku</t>
  </si>
  <si>
    <t>721290112R00</t>
  </si>
  <si>
    <t>hranoly 14 x 14 cm, včetně dodávky-T7</t>
  </si>
  <si>
    <t>271570010RAC</t>
  </si>
  <si>
    <t>338</t>
  </si>
  <si>
    <t>564871111RT4</t>
  </si>
  <si>
    <t>171</t>
  </si>
  <si>
    <t>342265193R00</t>
  </si>
  <si>
    <t>147</t>
  </si>
  <si>
    <t>Název stavby:</t>
  </si>
  <si>
    <t>Potrubí HT odpadní svislé, D 110 x 2,7 mm</t>
  </si>
  <si>
    <t>Přesun hmot pro klempířské konstr., výšky do 12 m</t>
  </si>
  <si>
    <t>175200022RAB</t>
  </si>
  <si>
    <t>Nátěr kovových doplňkových konstrukcí syntetický</t>
  </si>
  <si>
    <t>Ostatní materiál</t>
  </si>
  <si>
    <t>48</t>
  </si>
  <si>
    <t>29</t>
  </si>
  <si>
    <t>Č</t>
  </si>
  <si>
    <t>725860201RT1</t>
  </si>
  <si>
    <t>764</t>
  </si>
  <si>
    <t>Rodinný dům</t>
  </si>
  <si>
    <t>s použitím suché maltové směsi</t>
  </si>
  <si>
    <t>Přípl.za lepivost,hloubení rýh 200cm,hor.3,STROJNĚ</t>
  </si>
  <si>
    <t>směs Fugendbunt (Knauf)</t>
  </si>
  <si>
    <t>Osazení stojat. obrub.bet. s opěrou,lože z C 12/15</t>
  </si>
  <si>
    <t>311361821R00</t>
  </si>
  <si>
    <t>Přesun hmot pro obklady keramické, výšky do 12 m</t>
  </si>
  <si>
    <t>Poznámka:</t>
  </si>
  <si>
    <t>2x nanášený, celková tloušťka vrstvy 4 mm</t>
  </si>
  <si>
    <t>Přesun hmot pro vnitřní vodovod, výšky do 12 m</t>
  </si>
  <si>
    <t>šířka 130 mm, stavební výška 130-300 mm</t>
  </si>
  <si>
    <t>Lokalita:</t>
  </si>
  <si>
    <t>79</t>
  </si>
  <si>
    <t>831350111RAB</t>
  </si>
  <si>
    <t>71</t>
  </si>
  <si>
    <t>61143868</t>
  </si>
  <si>
    <t>16</t>
  </si>
  <si>
    <t>hranoly 10 x 16 cm, včetně dodávky-T4</t>
  </si>
  <si>
    <t>711140029RA0</t>
  </si>
  <si>
    <t>PSV</t>
  </si>
  <si>
    <t>132201110R00</t>
  </si>
  <si>
    <t>189</t>
  </si>
  <si>
    <t>24</t>
  </si>
  <si>
    <t>721176114R00</t>
  </si>
  <si>
    <t>s omítkou SilikatTop K2, lepidlo ProContact</t>
  </si>
  <si>
    <t>Bez pevné podl.</t>
  </si>
  <si>
    <t>Uložení sypaniny na skládku</t>
  </si>
  <si>
    <t>Krbová kamna Heta Scan-Line 8</t>
  </si>
  <si>
    <t>327</t>
  </si>
  <si>
    <t>733_</t>
  </si>
  <si>
    <t>Celkem</t>
  </si>
  <si>
    <t>131100010RAD</t>
  </si>
  <si>
    <t>764892310RS1</t>
  </si>
  <si>
    <t>Hloubení rýh š.do 200 cm hor.3 do 50 m3,STROJNĚ</t>
  </si>
  <si>
    <t>Zařízení staveniště</t>
  </si>
  <si>
    <t>Falcované tabule Classic, tl. 0,5 mm, na dřevo</t>
  </si>
  <si>
    <t>SO-03_</t>
  </si>
  <si>
    <t>713111130RT2</t>
  </si>
  <si>
    <t>vikýře</t>
  </si>
  <si>
    <t>342265122RT8</t>
  </si>
  <si>
    <t>998011002R00</t>
  </si>
  <si>
    <t>642941121RT1</t>
  </si>
  <si>
    <t>764773313R00</t>
  </si>
  <si>
    <t>SO-02_</t>
  </si>
  <si>
    <t>včetně dodávky zárubně Sapeli  197 x 70/7 - 19 buk</t>
  </si>
  <si>
    <t>766_</t>
  </si>
  <si>
    <t>11_</t>
  </si>
  <si>
    <t>648991113RT4</t>
  </si>
  <si>
    <t>Přesun hmot pro izolace tepelné, výšky do 12 m</t>
  </si>
  <si>
    <t>611474860RT4</t>
  </si>
  <si>
    <t>4</t>
  </si>
  <si>
    <t>97</t>
  </si>
  <si>
    <t>121</t>
  </si>
  <si>
    <t>55342605</t>
  </si>
  <si>
    <t>94</t>
  </si>
  <si>
    <t>725100003RA0</t>
  </si>
  <si>
    <t>900      R00</t>
  </si>
  <si>
    <t>Úprava podkroví sádrokarton. na ocel. rošt, šikmá</t>
  </si>
  <si>
    <t>Překlad POROTHERM 7 vysoký 70 x 238 x 1250 mm pro orientované uložení</t>
  </si>
  <si>
    <t>Přesun hmot pro truhlářské konstr., výšky do 12 m</t>
  </si>
  <si>
    <t>998771102R00</t>
  </si>
  <si>
    <t>Kanalizace dešťová z trub PVC, D 125 mm</t>
  </si>
  <si>
    <t>145</t>
  </si>
  <si>
    <t>342267111RT2</t>
  </si>
  <si>
    <t>Omítka sádrová vnitřního ostění - hladká</t>
  </si>
  <si>
    <t>60</t>
  </si>
  <si>
    <t>Lišta parapetní LX-LPE PVC LIKOV, s tkaninou 100 mm</t>
  </si>
  <si>
    <t>vnitřní průměr 22 mm</t>
  </si>
  <si>
    <t>55342342</t>
  </si>
  <si>
    <t>Podlahy vlysové a parketové</t>
  </si>
  <si>
    <t>Základní rozpočtové náklady</t>
  </si>
  <si>
    <t>998713102R00</t>
  </si>
  <si>
    <t>352</t>
  </si>
  <si>
    <t>nad příčkami -podkroví</t>
  </si>
  <si>
    <t>235</t>
  </si>
  <si>
    <t>132200012RAD</t>
  </si>
  <si>
    <t>26</t>
  </si>
  <si>
    <t>722172411R00</t>
  </si>
  <si>
    <t>105</t>
  </si>
  <si>
    <t>Přesun hmot pro rozvody potrubí, výšky do 24 m</t>
  </si>
  <si>
    <t>13482715</t>
  </si>
  <si>
    <t>135</t>
  </si>
  <si>
    <t>tloušťka 20 cm, bednění, výztuž</t>
  </si>
  <si>
    <t>314248523R00</t>
  </si>
  <si>
    <t>Překlad POROTHERM 7 vysoký 70 x 238 x 1000 mm pro orientované uložení</t>
  </si>
  <si>
    <t>721100013RAB</t>
  </si>
  <si>
    <t>332</t>
  </si>
  <si>
    <t>Konstrukce ze zemin</t>
  </si>
  <si>
    <t>342264051RT2</t>
  </si>
  <si>
    <t>253</t>
  </si>
  <si>
    <t>Konstrukce klempířské</t>
  </si>
  <si>
    <t>721176102R00</t>
  </si>
  <si>
    <t>775540020RAJ</t>
  </si>
  <si>
    <t>Celkem bez DPH</t>
  </si>
  <si>
    <t>765901221R00</t>
  </si>
  <si>
    <t>122</t>
  </si>
  <si>
    <t>Hloubení nezapaž.rýh šířky do 200 cm v hornině 1-4</t>
  </si>
  <si>
    <t>61143869</t>
  </si>
  <si>
    <t>Odkopávky nezapažené v hornině 1-4</t>
  </si>
  <si>
    <t>268</t>
  </si>
  <si>
    <t>Montáž oplocení z pletiva v.do 2,0 m,napínací drát</t>
  </si>
  <si>
    <t>291</t>
  </si>
  <si>
    <t>Brána vjezdová s výplní Tahokov 500x180 cm s ET pohonem-cena předběžná</t>
  </si>
  <si>
    <t>138</t>
  </si>
  <si>
    <t>317168132R00</t>
  </si>
  <si>
    <t>M21</t>
  </si>
  <si>
    <t>721_</t>
  </si>
  <si>
    <t>389381001RT2</t>
  </si>
  <si>
    <t>172</t>
  </si>
  <si>
    <t>725100002RA0</t>
  </si>
  <si>
    <t>SO-01_76_</t>
  </si>
  <si>
    <t>998223011R00</t>
  </si>
  <si>
    <t>Montáž tepelné izolace stropů vrchem kladené, volně</t>
  </si>
  <si>
    <t>Terca obkladový cihelný pásek</t>
  </si>
  <si>
    <t>vnitřní průměr 15 mm</t>
  </si>
  <si>
    <t>242</t>
  </si>
  <si>
    <t>722290234R00</t>
  </si>
  <si>
    <t>274361821R00</t>
  </si>
  <si>
    <t>223</t>
  </si>
  <si>
    <t>KH 30, drát d 6,0 mm, oko 100 x 100 mm</t>
  </si>
  <si>
    <t>767200001RA0</t>
  </si>
  <si>
    <t>Potrubí z trub</t>
  </si>
  <si>
    <t>622481292R00</t>
  </si>
  <si>
    <t>6</t>
  </si>
  <si>
    <t>Rozpočtové náklady v Kč</t>
  </si>
  <si>
    <t>lože štěrkopís.,obsyp kamenivem,světlost trub 10cm</t>
  </si>
  <si>
    <t>protilehlé pouzdro 1650/1970 mm</t>
  </si>
  <si>
    <t>Příplatek k podhledu sádrokart. za plochu do 10 m2</t>
  </si>
  <si>
    <t>desky požár. impreg. tl. 12,5 mm, bez izolace-koupelny</t>
  </si>
  <si>
    <t>68</t>
  </si>
  <si>
    <t>417321414R00</t>
  </si>
  <si>
    <t>307</t>
  </si>
  <si>
    <t>762330112RAD</t>
  </si>
  <si>
    <t>Dřez, baterie, zápachová uzávěrka</t>
  </si>
  <si>
    <t>81</t>
  </si>
  <si>
    <t>721176226R00</t>
  </si>
  <si>
    <t>831350113RAB</t>
  </si>
  <si>
    <t>216</t>
  </si>
  <si>
    <t>781497111RS3</t>
  </si>
  <si>
    <t>teplá</t>
  </si>
  <si>
    <t>vnitřní průměr 25 mm</t>
  </si>
  <si>
    <t>274313611R00</t>
  </si>
  <si>
    <t>H00_</t>
  </si>
  <si>
    <t>Dřevěná příložka pod ocel.rám</t>
  </si>
  <si>
    <t>B</t>
  </si>
  <si>
    <t>119</t>
  </si>
  <si>
    <t>160</t>
  </si>
  <si>
    <t>Náklady na umístění stavby (NUS)</t>
  </si>
  <si>
    <t>343</t>
  </si>
  <si>
    <t>722172413R00</t>
  </si>
  <si>
    <t>Přesun hmot pro budovy zděné výšky do 6 m</t>
  </si>
  <si>
    <t>42</t>
  </si>
  <si>
    <t>2 vrstvy - pásy ve specifikaci</t>
  </si>
  <si>
    <t>Mřížka kruhová nerez průměr 125 mm</t>
  </si>
  <si>
    <t>231</t>
  </si>
  <si>
    <t>82</t>
  </si>
  <si>
    <t>Classic komínek odvětrávací, DN 125 mm, izolovaný</t>
  </si>
  <si>
    <t>Montáž</t>
  </si>
  <si>
    <t>Překlad POROTHERM 7 vysoký 70 x 238 x 3000 mm pro orientované uložení</t>
  </si>
  <si>
    <t>Polštář hutněný pod základy</t>
  </si>
  <si>
    <t>SO-01</t>
  </si>
  <si>
    <t>54914636</t>
  </si>
  <si>
    <t>229</t>
  </si>
  <si>
    <t>Datum, razítko a podpis</t>
  </si>
  <si>
    <t>schody+stropy</t>
  </si>
  <si>
    <t>55342337</t>
  </si>
  <si>
    <t>ZRN celkem</t>
  </si>
  <si>
    <t>317998111R00</t>
  </si>
  <si>
    <t>Potrubí HT připojovací, D 110 x 2,7 mm</t>
  </si>
  <si>
    <t>725100001RA0</t>
  </si>
  <si>
    <t>Sloupek plotový kraj a roh komaxit 2100 x 48 x 1,5 mm</t>
  </si>
  <si>
    <t>17_</t>
  </si>
  <si>
    <t>781479711R00</t>
  </si>
  <si>
    <t>Zábradlí balkonové, nátěry</t>
  </si>
  <si>
    <t>765_</t>
  </si>
  <si>
    <t>Osazení zárubní dveřních dřevěných, pl. do 2,5 m2</t>
  </si>
  <si>
    <t>931961115R00</t>
  </si>
  <si>
    <t>69</t>
  </si>
  <si>
    <t>304</t>
  </si>
  <si>
    <t>141</t>
  </si>
  <si>
    <t>Montáž dveří a obložkové zárubně šířky 60 cm</t>
  </si>
  <si>
    <t>Potrubí z měděných trubek vytápění D 22 x 1,0 mm</t>
  </si>
  <si>
    <t>Dveřní kování - dle výběru</t>
  </si>
  <si>
    <t>33</t>
  </si>
  <si>
    <t>270</t>
  </si>
  <si>
    <t>722181213RT7</t>
  </si>
  <si>
    <t>sokl+základy</t>
  </si>
  <si>
    <t>258</t>
  </si>
  <si>
    <t>263</t>
  </si>
  <si>
    <t>DPH 15%</t>
  </si>
  <si>
    <t>331</t>
  </si>
  <si>
    <t>349</t>
  </si>
  <si>
    <t>762341220R00</t>
  </si>
  <si>
    <t>78</t>
  </si>
  <si>
    <t>713120080RA0</t>
  </si>
  <si>
    <t>Montáž obkladů stěn, porovin.,tmel, 20x20,30x15 cm</t>
  </si>
  <si>
    <t>766629302R00</t>
  </si>
  <si>
    <t>Krycí list slepého rozpočtu</t>
  </si>
  <si>
    <t>771578011R00</t>
  </si>
  <si>
    <t>PREFA falcované šablony,příplatek za sklon nad 30°</t>
  </si>
  <si>
    <t>120</t>
  </si>
  <si>
    <t>63</t>
  </si>
  <si>
    <t>230</t>
  </si>
  <si>
    <t>D08-Dveře posuvné do pouzdra 1250 x 2100 mm</t>
  </si>
  <si>
    <t>766666114R00</t>
  </si>
  <si>
    <t>317168134R00</t>
  </si>
  <si>
    <t>783_</t>
  </si>
  <si>
    <t>Stěny a příčky</t>
  </si>
  <si>
    <t>322</t>
  </si>
  <si>
    <t>154</t>
  </si>
  <si>
    <t>Montáž dveří posuvných, osazení závěsu, 2kř.</t>
  </si>
  <si>
    <t>597813614</t>
  </si>
  <si>
    <t>192</t>
  </si>
  <si>
    <t>132201210R00</t>
  </si>
  <si>
    <t>Vodorovné přemístění výkopku z hor.1-4 do 50 m</t>
  </si>
  <si>
    <t>137</t>
  </si>
  <si>
    <t>612474860RT1</t>
  </si>
  <si>
    <t>324</t>
  </si>
  <si>
    <t>178</t>
  </si>
  <si>
    <t>schodiště</t>
  </si>
  <si>
    <t>564811111RT2</t>
  </si>
  <si>
    <t>Konstrukce krovu z řeziva plochy 224 cm2, impregn.</t>
  </si>
  <si>
    <t>25</t>
  </si>
  <si>
    <t>195</t>
  </si>
  <si>
    <t>kus</t>
  </si>
  <si>
    <t>764252401R00</t>
  </si>
  <si>
    <t>Odkopávky a prokopávky</t>
  </si>
  <si>
    <t>Překlad POROTHERM plochý 115 x 71 x 1500 mm</t>
  </si>
  <si>
    <t>721242110RT1</t>
  </si>
  <si>
    <t>Dodávky</t>
  </si>
  <si>
    <t>219</t>
  </si>
  <si>
    <t>SO-01_71_</t>
  </si>
  <si>
    <t>Beton základových pasů prostý C 16/20</t>
  </si>
  <si>
    <t>soustava</t>
  </si>
  <si>
    <t>762330112RAB</t>
  </si>
  <si>
    <t>Otvor v obkladačce diamant.korunkou prům.do 90 mm</t>
  </si>
  <si>
    <t>Sejmutí ornice, pl. do 400 m2, přemístění do 50 m</t>
  </si>
  <si>
    <t>342265122RT6</t>
  </si>
  <si>
    <t>274272140RT4</t>
  </si>
  <si>
    <t>Omítka stěn vnitřní 1vrstvá sádrová filc., strojně</t>
  </si>
  <si>
    <t>Výztuž nadzákladových zdí z betonářské oceli B500B (10 505)</t>
  </si>
  <si>
    <t>Vsakovací nádrž pro rodinný dům 3m3</t>
  </si>
  <si>
    <t>Ostatní mat.</t>
  </si>
  <si>
    <t>292</t>
  </si>
  <si>
    <t>411200021RAB</t>
  </si>
  <si>
    <t>762342206RT4</t>
  </si>
  <si>
    <t>Lešení lehké fasádní, š. 1 m, výška do 10 m</t>
  </si>
  <si>
    <t>764892325R00</t>
  </si>
  <si>
    <t>998011001R00</t>
  </si>
  <si>
    <t>764330210RBB</t>
  </si>
  <si>
    <t>764252403R00</t>
  </si>
  <si>
    <t>Vodovodní přípojka z trub polyetylénových D 32</t>
  </si>
  <si>
    <t>941955001R00</t>
  </si>
  <si>
    <t>130</t>
  </si>
  <si>
    <t>781101210RT1</t>
  </si>
  <si>
    <t>Cenová</t>
  </si>
  <si>
    <t>998767102R00</t>
  </si>
  <si>
    <t>Lapač střešních splavenin PP HL600, kloub</t>
  </si>
  <si>
    <t>63151412</t>
  </si>
  <si>
    <t>desky protipožární tl. 12,5 mm, bez izolace</t>
  </si>
  <si>
    <t>D07-Dveře posuvné do pouzdra  1650 x 2100 mm</t>
  </si>
  <si>
    <t>Ventilátor do WC VENTS 150 MATL TURBO</t>
  </si>
  <si>
    <t>Kanalizace splašková z trub PVC, D 160 mm</t>
  </si>
  <si>
    <t>281</t>
  </si>
  <si>
    <t>Hloubení rýh š.do 60 cm v hor.3 do 50 m3, STROJNĚ</t>
  </si>
  <si>
    <t>Posyp krytu lomovými výsivkami do 10 kg/m2</t>
  </si>
  <si>
    <t>Potrubí KG odvětrání radonu, D 125 x 3,2 mm</t>
  </si>
  <si>
    <t>Montáž kliky a štítku</t>
  </si>
  <si>
    <t>310</t>
  </si>
  <si>
    <t>765</t>
  </si>
  <si>
    <t>poz.parc.č.1009/121, k.ú.Velká Dobrá</t>
  </si>
  <si>
    <t>desky protipožární tl. 12,5 mm, bez izolace-přízemí</t>
  </si>
  <si>
    <t>133</t>
  </si>
  <si>
    <t>273351216R00</t>
  </si>
  <si>
    <t>studená</t>
  </si>
  <si>
    <t>612481211RT8</t>
  </si>
  <si>
    <t>254</t>
  </si>
  <si>
    <t>731_</t>
  </si>
  <si>
    <t>175</t>
  </si>
  <si>
    <t>170</t>
  </si>
  <si>
    <t>HSV prac</t>
  </si>
  <si>
    <t>90_</t>
  </si>
  <si>
    <t>767_</t>
  </si>
  <si>
    <t>998733103R00</t>
  </si>
  <si>
    <t>výplň tvárnic betonem C 20/25</t>
  </si>
  <si>
    <t>139</t>
  </si>
  <si>
    <t>Překlad POROTHERM plochý 115 x 71 x 1250 mm</t>
  </si>
  <si>
    <t>129</t>
  </si>
  <si>
    <t>Vybourání otv. stropy ŽB pl. 0,09 m2, tl. 20 cm</t>
  </si>
  <si>
    <t>151</t>
  </si>
  <si>
    <t>Provedení izolace proti vlhkosti na ploše vodorovné, 1x asfaltovým penetračním nátěrem</t>
  </si>
  <si>
    <t>Přesun hmot pro krytiny tvrdé, výšky do 12 m</t>
  </si>
  <si>
    <t>628522691</t>
  </si>
  <si>
    <t>13</t>
  </si>
  <si>
    <t>SO-02_5_</t>
  </si>
  <si>
    <t>Montáž balkónových dveří plastových</t>
  </si>
  <si>
    <t>771579791R00</t>
  </si>
  <si>
    <t>Potrubí plastové PP-R Ekoplastik, včetně zednických výpomocí, D 32 x 4,4 mm, PN 16</t>
  </si>
  <si>
    <t>289</t>
  </si>
  <si>
    <t>553437213</t>
  </si>
  <si>
    <t>325</t>
  </si>
  <si>
    <t>Montáž vrat posuvných do oc.konstrukce</t>
  </si>
  <si>
    <t>771579793R00</t>
  </si>
  <si>
    <t>232</t>
  </si>
  <si>
    <t>"M"</t>
  </si>
  <si>
    <t>Konstrukce doplňkové stavební (zámečnické)</t>
  </si>
  <si>
    <t>Obklad dřevoplastový WPC</t>
  </si>
  <si>
    <t>274354043R00</t>
  </si>
  <si>
    <t>998732102R00</t>
  </si>
  <si>
    <t>Štuk na stěnách vnitřní Cemix 033, ručně</t>
  </si>
  <si>
    <t>330</t>
  </si>
  <si>
    <t>7319999VD</t>
  </si>
  <si>
    <t>140</t>
  </si>
  <si>
    <t>97_</t>
  </si>
  <si>
    <t>ze štěrkopísku tloušťky 20 cm</t>
  </si>
  <si>
    <t>631312611RT6</t>
  </si>
  <si>
    <t>Vyčištění budov o výšce podlaží do 4 m</t>
  </si>
  <si>
    <t>180</t>
  </si>
  <si>
    <t>171201201R00</t>
  </si>
  <si>
    <t>Cena/MJ</t>
  </si>
  <si>
    <t>dvojnásobná Bochemitem QB-kontralatě</t>
  </si>
  <si>
    <t>Konec výstavby:</t>
  </si>
  <si>
    <t>Přesun hmot pro budovy zděné výšky do 12 m</t>
  </si>
  <si>
    <t>Hodinové zúčtovací sazby (HZS)</t>
  </si>
  <si>
    <t>127</t>
  </si>
  <si>
    <t>721176115R00</t>
  </si>
  <si>
    <t>křivočaré</t>
  </si>
  <si>
    <t>998766102R00</t>
  </si>
  <si>
    <t>784191101R00</t>
  </si>
  <si>
    <t>Kód</t>
  </si>
  <si>
    <t>317168130R00</t>
  </si>
  <si>
    <t>43</t>
  </si>
  <si>
    <t>Staveništní přesun hmot</t>
  </si>
  <si>
    <t>200</t>
  </si>
  <si>
    <t>642952110RT4</t>
  </si>
  <si>
    <t>Montáž podlah keram.,hladké, tmel, 30x30 cm</t>
  </si>
  <si>
    <t>SO-01_73_</t>
  </si>
  <si>
    <t>Dlaždice 30x30 Color Two šedá mat</t>
  </si>
  <si>
    <t>61169704</t>
  </si>
  <si>
    <t>Klozet kombi</t>
  </si>
  <si>
    <t>430000000RAA</t>
  </si>
  <si>
    <t>SO-03_3_</t>
  </si>
  <si>
    <t>311112130RT4</t>
  </si>
  <si>
    <t>Provedení izolace proti vlhkosti na ploše svislé, asfaltovými pásy přitavením</t>
  </si>
  <si>
    <t>276</t>
  </si>
  <si>
    <t>722265214R00</t>
  </si>
  <si>
    <t>SO-01_72_</t>
  </si>
  <si>
    <t>221</t>
  </si>
  <si>
    <t>784195222R00</t>
  </si>
  <si>
    <t>735171332R00</t>
  </si>
  <si>
    <t>Úprava podloží a základové spáry</t>
  </si>
  <si>
    <t>Vodoměr domovní FLODIS DN 25 x 260 mm, Qn 3,5</t>
  </si>
  <si>
    <t>Lešení lehké pomocné, výška podlahy do 1,2 m</t>
  </si>
  <si>
    <t>642952110RT2</t>
  </si>
  <si>
    <t>soubor</t>
  </si>
  <si>
    <t>MJ</t>
  </si>
  <si>
    <t>767654230R00</t>
  </si>
  <si>
    <t>998765102R00</t>
  </si>
  <si>
    <t>na pálené cihly a tvarovky</t>
  </si>
  <si>
    <t>Přesun hmot, pozemní komunikace, kryt dlážděný</t>
  </si>
  <si>
    <t>Obezdívky van a WC nádržek z desek Ytong tl. 150 mm</t>
  </si>
  <si>
    <t>45</t>
  </si>
  <si>
    <t>souprava větrací hlavice PP HL810  D 110 mm</t>
  </si>
  <si>
    <t>40</t>
  </si>
  <si>
    <t>Deska z minerální plsti ISOVER UNI tl. 160 mm</t>
  </si>
  <si>
    <t>319</t>
  </si>
  <si>
    <t>61143845</t>
  </si>
  <si>
    <t>SO-01_5_</t>
  </si>
  <si>
    <t>hranoly 8 x 16 cm, včetně dodávky-T6</t>
  </si>
  <si>
    <t>Doplňující konstrukce a práce na pozemních komunikacích a zpevněných plochách</t>
  </si>
  <si>
    <t>Doplňkové náklady</t>
  </si>
  <si>
    <t>224</t>
  </si>
  <si>
    <t>s polypropylénovými vlákny 0,6 kg / m3-P1</t>
  </si>
  <si>
    <t>s polypropylénovými vlákny 0,6 kg / m3-P2</t>
  </si>
  <si>
    <t>132</t>
  </si>
  <si>
    <t>762395000R00</t>
  </si>
  <si>
    <t>775</t>
  </si>
  <si>
    <t>Výztuž a probetonování plotového sloupku 400 x 400 mm, tvárnice KB 9/21-B</t>
  </si>
  <si>
    <t>220</t>
  </si>
  <si>
    <t>výška-2,75m</t>
  </si>
  <si>
    <t>Vrstva geotextilie Geofiltex 300g/m2</t>
  </si>
  <si>
    <t>Řezání dlaždic keramických pro soklíky</t>
  </si>
  <si>
    <t>PSV prac</t>
  </si>
  <si>
    <t>HSV</t>
  </si>
  <si>
    <t>1111199VD</t>
  </si>
  <si>
    <t>SO-01_1_</t>
  </si>
  <si>
    <t>Překlad POROTHERM 7 vysoký 70 x 238 x 2000 mm pro orientované uložení</t>
  </si>
  <si>
    <t>389361001R00</t>
  </si>
  <si>
    <t>Překlad POROTHERM 7 vysoký 70 x 238 x 1750 mm pro orientované uložení</t>
  </si>
  <si>
    <t>Modul pro WC Duofix s odsáváním, UP320, h. 1120 mm</t>
  </si>
  <si>
    <t>9</t>
  </si>
  <si>
    <t>61165600VD</t>
  </si>
  <si>
    <t>731</t>
  </si>
  <si>
    <t>328</t>
  </si>
  <si>
    <t>342</t>
  </si>
  <si>
    <t>596101012</t>
  </si>
  <si>
    <t>včetně výztužné sítě a stěrkového tmelu Cemix-Ytong</t>
  </si>
  <si>
    <t>320</t>
  </si>
  <si>
    <t>781735016R00</t>
  </si>
  <si>
    <t>736</t>
  </si>
  <si>
    <t>143</t>
  </si>
  <si>
    <t>104</t>
  </si>
  <si>
    <t>Různé dokončovací konstrukce a práce inženýrských staveb</t>
  </si>
  <si>
    <t>Schodiště</t>
  </si>
  <si>
    <t>Podlaha laminátová, podložka Mirelon+soklík</t>
  </si>
  <si>
    <t>D-02 Dveře vstupní plastové, 1křídlové 100x202 cm -cena předběžná</t>
  </si>
  <si>
    <t>15</t>
  </si>
  <si>
    <t>Sloup plotový 400 x 400 mm z betonových tvarovek hladkých bílé barvy KB-BLOK</t>
  </si>
  <si>
    <t>KH 20, drát d 6,0 mm, oko 150 x 150 mm</t>
  </si>
  <si>
    <t>642941121RT3</t>
  </si>
  <si>
    <t>95</t>
  </si>
  <si>
    <t>Zdivo plot.tl.200mm z tvar.hladkých bílých KB-BLOK</t>
  </si>
  <si>
    <t>767990010RAE</t>
  </si>
  <si>
    <t>ISWORK</t>
  </si>
  <si>
    <t>57_</t>
  </si>
  <si>
    <t>Doplňující výztuž z bet.oceli</t>
  </si>
  <si>
    <t>Celkem včetně DPH</t>
  </si>
  <si>
    <t>Zkouška tlaku potrubí závitového DN 50 mm</t>
  </si>
  <si>
    <t>142</t>
  </si>
  <si>
    <t>Základ 0%</t>
  </si>
  <si>
    <t>252</t>
  </si>
  <si>
    <t>156</t>
  </si>
  <si>
    <t>199</t>
  </si>
  <si>
    <t>150</t>
  </si>
  <si>
    <t>D+M vč.lemování</t>
  </si>
  <si>
    <t>721176103R00</t>
  </si>
  <si>
    <t>998764102R00</t>
  </si>
  <si>
    <t>260</t>
  </si>
  <si>
    <t>Provedení izolace proti vlhkosti na ploše svislé, 1x asfaltovým penetračním nátěr</t>
  </si>
  <si>
    <t>766</t>
  </si>
  <si>
    <t>vč. dodávky pletiva, napínacího drátu a napínáku</t>
  </si>
  <si>
    <t>Výztuž základových desek ze svařovaných sítí</t>
  </si>
  <si>
    <t>52</t>
  </si>
  <si>
    <t>722181214RT8</t>
  </si>
  <si>
    <t>118</t>
  </si>
  <si>
    <t>Schodiště ze železobetonu</t>
  </si>
  <si>
    <t>271</t>
  </si>
  <si>
    <t>penetrační nátěr Primer G</t>
  </si>
  <si>
    <t>SO-02</t>
  </si>
  <si>
    <t>SO-02_6_</t>
  </si>
  <si>
    <t>51</t>
  </si>
  <si>
    <t>893411010RA0</t>
  </si>
  <si>
    <t>včetně dodávky latí 4/6 cm</t>
  </si>
  <si>
    <t>596215020R00</t>
  </si>
  <si>
    <t>Obsyp objektu pískem</t>
  </si>
  <si>
    <t>227</t>
  </si>
  <si>
    <t>596921112R00</t>
  </si>
  <si>
    <t>771479001R00</t>
  </si>
  <si>
    <t>269</t>
  </si>
  <si>
    <t>Mont prac</t>
  </si>
  <si>
    <t>342265132RT6</t>
  </si>
  <si>
    <t>Branka plotová výplň Tahokov h = 1800 mm, š = 1100 mm, 2 sloupky</t>
  </si>
  <si>
    <t>766620051RA0</t>
  </si>
  <si>
    <t>Obklady (keramické)</t>
  </si>
  <si>
    <t>44</t>
  </si>
  <si>
    <t>721176105R00</t>
  </si>
  <si>
    <t>Kanalizace vnitřní, PVC, D 160 mm, zemní práce</t>
  </si>
  <si>
    <t>Kotelny</t>
  </si>
  <si>
    <t>cirkulace</t>
  </si>
  <si>
    <t>62_</t>
  </si>
  <si>
    <t>h</t>
  </si>
  <si>
    <t>SO-03</t>
  </si>
  <si>
    <t>Zpevněné plochy, přípojky, sjezd</t>
  </si>
  <si>
    <t>Potrubí HT připojovací, D 50 x 1,8 mm</t>
  </si>
  <si>
    <t>59245308</t>
  </si>
  <si>
    <t>vnitřní průměr 20 mm</t>
  </si>
  <si>
    <t>F</t>
  </si>
  <si>
    <t>komín 500 x 500 mm (pro Schiedel 1průduch., plášť)</t>
  </si>
  <si>
    <t>23</t>
  </si>
  <si>
    <t>733190106R00</t>
  </si>
  <si>
    <t>597091131R00</t>
  </si>
  <si>
    <t>725_</t>
  </si>
  <si>
    <t>781_</t>
  </si>
  <si>
    <t>262</t>
  </si>
  <si>
    <t>Přesun hmot pro zámečnické konstr., výšky do 12 m</t>
  </si>
  <si>
    <t>767</t>
  </si>
  <si>
    <t>mezideponie</t>
  </si>
  <si>
    <t>128</t>
  </si>
  <si>
    <t>721176213R00</t>
  </si>
  <si>
    <t>59</t>
  </si>
  <si>
    <t>Překlad POROTHERM 7 vysoký 70 x 238 x 1500 mm pro orientované uložení</t>
  </si>
  <si>
    <t>250</t>
  </si>
  <si>
    <t>28_</t>
  </si>
  <si>
    <t>342264098RT2</t>
  </si>
  <si>
    <t>282</t>
  </si>
  <si>
    <t>lože štěrkopís.,obsyp kamenivem,světlost trub 13cm</t>
  </si>
  <si>
    <t>54914631</t>
  </si>
  <si>
    <t>339361115R00</t>
  </si>
  <si>
    <t>109</t>
  </si>
  <si>
    <t>t</t>
  </si>
  <si>
    <t>732_</t>
  </si>
  <si>
    <t>722181212RT8</t>
  </si>
  <si>
    <t>117</t>
  </si>
  <si>
    <t>Novostavba rodinného domu</t>
  </si>
  <si>
    <t>SO-03_2_</t>
  </si>
  <si>
    <t> </t>
  </si>
  <si>
    <t>728415112R00</t>
  </si>
  <si>
    <t>53</t>
  </si>
  <si>
    <t>246</t>
  </si>
  <si>
    <t>Přesun hmot pro podlahové vytápění, výšky do 12 m</t>
  </si>
  <si>
    <t>Konstrukce truhlářské</t>
  </si>
  <si>
    <t>295</t>
  </si>
  <si>
    <t>99</t>
  </si>
  <si>
    <t>161</t>
  </si>
  <si>
    <t>417351116R00</t>
  </si>
  <si>
    <t>Montáž mřížky větrací nebo ventilační do 0,10 m2</t>
  </si>
  <si>
    <t>591050020RAA</t>
  </si>
  <si>
    <t>107</t>
  </si>
  <si>
    <t>243</t>
  </si>
  <si>
    <t>Montáž kontralatí na vruty, s těsnicí páskou</t>
  </si>
  <si>
    <t>311238144R00</t>
  </si>
  <si>
    <t>125</t>
  </si>
  <si>
    <t>včetně dodávky zárubně Sapeli  197 x 80/7 - 19 buk</t>
  </si>
  <si>
    <t>JKSO:</t>
  </si>
  <si>
    <t>132201119R00</t>
  </si>
  <si>
    <t>85</t>
  </si>
  <si>
    <t>564851111RT2</t>
  </si>
  <si>
    <t>zalití tvárnic betonem C 25/30 - u vikýřů</t>
  </si>
  <si>
    <t>Zdivo POROTHERM 24 Profi P10, tl. 240 mm</t>
  </si>
  <si>
    <t>64</t>
  </si>
  <si>
    <t>274272160RT4</t>
  </si>
  <si>
    <t>Lišta hliníková ukončovacích k obkladům</t>
  </si>
  <si>
    <t>18_</t>
  </si>
  <si>
    <t>Zateplovací systém Baumit, fasáda, EPS F tl.140 mm</t>
  </si>
  <si>
    <t>642952110RT3</t>
  </si>
  <si>
    <t>255</t>
  </si>
  <si>
    <t>2 vrstvy - materiál ve specifikaci</t>
  </si>
  <si>
    <t>311238311R00</t>
  </si>
  <si>
    <t>Náklady (Kč) - dodávka</t>
  </si>
  <si>
    <t>197</t>
  </si>
  <si>
    <t>Přípl.za lepivost,hloubení rýh 60 cm,hor.3,STROJNĚ</t>
  </si>
  <si>
    <t>Potrubí plastové PP-R Ekoplastik, včetně zednických výpomocí, D 20 x 2,8 mm, PN 16</t>
  </si>
  <si>
    <t>329</t>
  </si>
  <si>
    <t>stěny</t>
  </si>
  <si>
    <t>Trativody z drenážních trubek</t>
  </si>
  <si>
    <t>998735102R00</t>
  </si>
  <si>
    <t>Izolace návleková  MIRELON PRO tl. stěny 25 mm</t>
  </si>
  <si>
    <t>12_</t>
  </si>
  <si>
    <t>Kryty pozemních komunikací, letišť a ploch z kameniva nebo živičné</t>
  </si>
  <si>
    <t>728614612R00</t>
  </si>
  <si>
    <t>Impregnace tesařských konstrukcí</t>
  </si>
  <si>
    <t>77</t>
  </si>
  <si>
    <t>Přesun hmot pro otopná tělesa, výšky do 12 m</t>
  </si>
  <si>
    <t>233</t>
  </si>
  <si>
    <t>Varianta:</t>
  </si>
  <si>
    <t>DN celkem</t>
  </si>
  <si>
    <t>hranoly 16 x 22 cm, včetně dodávky-T2</t>
  </si>
  <si>
    <t>348924133R00</t>
  </si>
  <si>
    <t>61196003</t>
  </si>
  <si>
    <t>283502835</t>
  </si>
  <si>
    <t>286</t>
  </si>
  <si>
    <t>dovoz písku ze vzdálenosti 5 km-nádrže</t>
  </si>
  <si>
    <t>116</t>
  </si>
  <si>
    <t>GROUPCODE</t>
  </si>
  <si>
    <t>146</t>
  </si>
  <si>
    <t>0</t>
  </si>
  <si>
    <t>182</t>
  </si>
  <si>
    <t>mřížový MW 30x20, pozink. ocel</t>
  </si>
  <si>
    <t>SO-03_76_</t>
  </si>
  <si>
    <t>Provozní vlivy</t>
  </si>
  <si>
    <t>5</t>
  </si>
  <si>
    <t>Izolace podlah tepelná EPS dvouvrstvá</t>
  </si>
  <si>
    <t>v-4,2m</t>
  </si>
  <si>
    <t>620991121R00</t>
  </si>
  <si>
    <t>203</t>
  </si>
  <si>
    <t>Dodávka+montáž</t>
  </si>
  <si>
    <t>štěrkodrť frakce 0-32 mm</t>
  </si>
  <si>
    <t>Sloupy a pilíře, stožáry a rámové stojky</t>
  </si>
  <si>
    <t>248</t>
  </si>
  <si>
    <t>784195412R00</t>
  </si>
  <si>
    <t>D06-Dveře vnitřní CPL 0,2 KLASIK plné 1-křídlé 600 x 2100 mm</t>
  </si>
  <si>
    <t>144</t>
  </si>
  <si>
    <t>Omítka sádrová schodišťových konstrukcí</t>
  </si>
  <si>
    <t>SO-01_77_</t>
  </si>
  <si>
    <t>264</t>
  </si>
  <si>
    <t>Druh stavby:</t>
  </si>
  <si>
    <t>Přípravné a přidružené práce</t>
  </si>
  <si>
    <t>Penetrace podkladu pod obklady</t>
  </si>
  <si>
    <t>Tlaková zkouška potrubí  DN 32</t>
  </si>
  <si>
    <t>Sloupek plotový průběžný komaxit 2000 x 38 x 1,5 mm</t>
  </si>
  <si>
    <t>622311134RV1</t>
  </si>
  <si>
    <t>Zpevňování hornin a konstrukcí</t>
  </si>
  <si>
    <t>212750010RAB</t>
  </si>
  <si>
    <t>162</t>
  </si>
  <si>
    <t>460270027RT2</t>
  </si>
  <si>
    <t>784</t>
  </si>
  <si>
    <t>D-03-Dveře vstupní plastové, 1křídlové 90x225 cm - cena předběžná</t>
  </si>
  <si>
    <t>238</t>
  </si>
  <si>
    <t>96</t>
  </si>
  <si>
    <t>316</t>
  </si>
  <si>
    <t>333</t>
  </si>
  <si>
    <t>Hromosvod</t>
  </si>
  <si>
    <t>Zpracováno dne:</t>
  </si>
  <si>
    <t>735_</t>
  </si>
  <si>
    <t>597091142RS3</t>
  </si>
  <si>
    <t>728</t>
  </si>
  <si>
    <t>302</t>
  </si>
  <si>
    <t>273361921RT5</t>
  </si>
  <si>
    <t>59248124</t>
  </si>
  <si>
    <t>299</t>
  </si>
  <si>
    <t>Hlavice sloupová z beronových tvarovek SH-50G, tl. 45 mm, bílé barvy KB-BLOK</t>
  </si>
  <si>
    <t>HZS - ostatní práce v rozpočtu nespecifikované</t>
  </si>
  <si>
    <t>hloubka 0,8 m</t>
  </si>
  <si>
    <t>Stříška plot.zeď tl.200mm z tvar.hlad.bílé,KB-BLOK</t>
  </si>
  <si>
    <t>953941312R00</t>
  </si>
  <si>
    <t>62852251</t>
  </si>
  <si>
    <t>202</t>
  </si>
  <si>
    <t>Branka plotová výplň Tahokov h = 1800 mm, š = 900 mm,  2 sloupky</t>
  </si>
  <si>
    <t>194</t>
  </si>
  <si>
    <t>783</t>
  </si>
  <si>
    <t>904      R02</t>
  </si>
  <si>
    <t>611601203</t>
  </si>
  <si>
    <t>273321321R00</t>
  </si>
  <si>
    <t>430320100RAB</t>
  </si>
  <si>
    <t>210999VD</t>
  </si>
  <si>
    <t>Přesun hmot pro podlahy z dlaždic, výšky do 12 m</t>
  </si>
  <si>
    <t>Omítka stropů vnitřní 1vrstvá sádrová filc.,stroj.</t>
  </si>
  <si>
    <t>10</t>
  </si>
  <si>
    <t>212</t>
  </si>
  <si>
    <t>149</t>
  </si>
  <si>
    <t>713120042RAC</t>
  </si>
  <si>
    <t>Ztužující pásy a věnce z betonu železového C 25/30</t>
  </si>
  <si>
    <t>58</t>
  </si>
  <si>
    <t>284</t>
  </si>
  <si>
    <t>Žlab odvodňovací ACO N 100, dl. 1000 mm, A15, B125</t>
  </si>
  <si>
    <t>36</t>
  </si>
  <si>
    <t>317168113R00</t>
  </si>
  <si>
    <t>Úprava podkroví sádrokarton. na ocel. rošt vodor.</t>
  </si>
  <si>
    <t>14</t>
  </si>
  <si>
    <t>O09-Okno plastové jednokřídlé 137,5 x 185 cm OS 1x+1xfix  bílé</t>
  </si>
  <si>
    <t>31</t>
  </si>
  <si>
    <t>Zařizovací předměty</t>
  </si>
  <si>
    <t>84</t>
  </si>
  <si>
    <t>38_</t>
  </si>
  <si>
    <t>305</t>
  </si>
  <si>
    <t>Malba Primalex Plus, bílá, bez penetrace, 2 x</t>
  </si>
  <si>
    <t>28375460</t>
  </si>
  <si>
    <t>Staveništní přesuny hmot</t>
  </si>
  <si>
    <t>Přípl.za spárovací hmotu-plošně,keram.vnitř.obklad</t>
  </si>
  <si>
    <t>Množství</t>
  </si>
  <si>
    <t>38</t>
  </si>
  <si>
    <t>Separační fólie PE</t>
  </si>
  <si>
    <t>1 vrstva - včetně dodávky polystyrenu tl. 80 mm-P2</t>
  </si>
  <si>
    <t>Umývátko, baterie, zápachová uzávěrka</t>
  </si>
  <si>
    <t>desky protipožární tl. 12,5 mm, bez izolace-vikýře</t>
  </si>
  <si>
    <t>Hzs-zkousky v ramci montaz.praci</t>
  </si>
  <si>
    <t>Podklad ze štěrkodrti po zhutnění tloušťky 25 cm</t>
  </si>
  <si>
    <t>O05-Okno plastové trojkřídlé 350 x 130 cm OS+2fix+OS bílé</t>
  </si>
  <si>
    <t>Montáž vstupních dveří plastových</t>
  </si>
  <si>
    <t>174</t>
  </si>
  <si>
    <t>Bednění ztužujících pásů a věnců - zřízení</t>
  </si>
  <si>
    <t>766660032RA0</t>
  </si>
  <si>
    <t>95_</t>
  </si>
  <si>
    <t>721100011RAA</t>
  </si>
  <si>
    <t>722290226R00</t>
  </si>
  <si>
    <t>Úprava pláně v zářezech v hor. 1-4, se zhutněním</t>
  </si>
  <si>
    <t>21_</t>
  </si>
  <si>
    <t>Vnitřní vodovod</t>
  </si>
  <si>
    <t>Montáž ventilátoru axiálního nízkotlakového nástěnného do d 200 mm</t>
  </si>
  <si>
    <t>Typ skupiny</t>
  </si>
  <si>
    <t>73</t>
  </si>
  <si>
    <t>Topná zkouška</t>
  </si>
  <si>
    <t>Potrubí plastové PP-R Ekoplastik, včetně zednických výpomocí, D 25 x 3,5 mm, PN 16</t>
  </si>
  <si>
    <t>Stěna z tvárnic ztraceného bednění, tl. 300 mm</t>
  </si>
  <si>
    <t>210100010RA0</t>
  </si>
  <si>
    <t>762</t>
  </si>
  <si>
    <t>256</t>
  </si>
  <si>
    <t>346244381RT2</t>
  </si>
  <si>
    <t>429727831</t>
  </si>
  <si>
    <t>762_</t>
  </si>
  <si>
    <t>83_</t>
  </si>
  <si>
    <t>61_</t>
  </si>
  <si>
    <t>188</t>
  </si>
  <si>
    <t>56</t>
  </si>
  <si>
    <t>591100020RAA</t>
  </si>
  <si>
    <t>SO-01_6_</t>
  </si>
  <si>
    <t>722_</t>
  </si>
  <si>
    <t>19</t>
  </si>
  <si>
    <t>289970111R00</t>
  </si>
  <si>
    <t>naložení, odvoz 10 km, uložení</t>
  </si>
  <si>
    <t>PREFA PP sněhový hák pro falcované šablony</t>
  </si>
  <si>
    <t>C</t>
  </si>
  <si>
    <t>Žlaby Ti Zn plech, podokapní půlkruhové, rš 250 mm</t>
  </si>
  <si>
    <t>783220010RAB</t>
  </si>
  <si>
    <t>Náklady (Kč)</t>
  </si>
  <si>
    <t>721</t>
  </si>
  <si>
    <t>110</t>
  </si>
  <si>
    <t>417361821R00</t>
  </si>
  <si>
    <t>39</t>
  </si>
  <si>
    <t>30</t>
  </si>
  <si>
    <t>241</t>
  </si>
  <si>
    <t>včetně dodávky plastové parapetní desky š. 350 mm</t>
  </si>
  <si>
    <t>D-01-Dveře vchodové plastové sklo, 1křídlové 100x225 cm-cena předběžná</t>
  </si>
  <si>
    <t>Železobeton základových desek C 20/25</t>
  </si>
  <si>
    <t>IČO/DIČ:</t>
  </si>
  <si>
    <t>H01</t>
  </si>
  <si>
    <t>Ostatní</t>
  </si>
  <si>
    <t>766601211R00</t>
  </si>
  <si>
    <t>Izolace mezi překlady z polystyrenu tl. 50 mm</t>
  </si>
  <si>
    <t>montáž, demontáž, doprava, pronájem 4 měsíce</t>
  </si>
  <si>
    <t>Přesun hmot pro zámečnické konstr., výšky do 6 m</t>
  </si>
  <si>
    <t>86</t>
  </si>
  <si>
    <t>štěrkodrť frakce 16-32 mm-P3</t>
  </si>
  <si>
    <t>278</t>
  </si>
  <si>
    <t>222</t>
  </si>
  <si>
    <t>Pás modifikovaný asfalt Elastek 40 special mineral</t>
  </si>
  <si>
    <t>Přípojka elektro v zemi pro rodinné domy</t>
  </si>
  <si>
    <t>55</t>
  </si>
  <si>
    <t>767920110R00</t>
  </si>
  <si>
    <t>764554402R00</t>
  </si>
  <si>
    <t>Zpracoval:</t>
  </si>
  <si>
    <t>732</t>
  </si>
  <si>
    <t>348922213R00</t>
  </si>
  <si>
    <t>kategorie 32, tl. 8 mm</t>
  </si>
  <si>
    <t>564231111R00</t>
  </si>
  <si>
    <t>76</t>
  </si>
  <si>
    <t>Podkladní vrstvy komunikací, letišť a ploch</t>
  </si>
  <si>
    <t>736110003RT2</t>
  </si>
  <si>
    <t>290</t>
  </si>
  <si>
    <t>Příplatek za plochu podlah keram. do 5 m2 jednotl.</t>
  </si>
  <si>
    <t>346</t>
  </si>
  <si>
    <t>315</t>
  </si>
  <si>
    <t>Dle výběrového řízení</t>
  </si>
  <si>
    <t>Čelo žlabu ACO DRAIN N 100 výtokové DN 100</t>
  </si>
  <si>
    <t>721176222R00</t>
  </si>
  <si>
    <t>998781102R00</t>
  </si>
  <si>
    <t>64_</t>
  </si>
  <si>
    <t>597091132R00</t>
  </si>
  <si>
    <t>hranoly 14 x 14 cm, včetně dodávky-T1</t>
  </si>
  <si>
    <t>Překlad POROTHERM plochý 115 x 71 x 1000 mm</t>
  </si>
  <si>
    <t>Různé kompletní konstrukce nedělitelné do stav. dílů</t>
  </si>
  <si>
    <t>767911130RT1</t>
  </si>
  <si>
    <t>207</t>
  </si>
  <si>
    <t>Přesun hmot, trubní vedení plastová, otevř. výkop</t>
  </si>
  <si>
    <t>Zhotovitel</t>
  </si>
  <si>
    <t>199000002R00</t>
  </si>
  <si>
    <t>RTS I / 2023</t>
  </si>
  <si>
    <t>610991111R00</t>
  </si>
  <si>
    <t>190</t>
  </si>
  <si>
    <t>831230110RAA</t>
  </si>
  <si>
    <t>722224212R00</t>
  </si>
  <si>
    <t>339924283R00</t>
  </si>
  <si>
    <t>27_</t>
  </si>
  <si>
    <t>2</t>
  </si>
  <si>
    <t>Projektant:</t>
  </si>
  <si>
    <t>rýha šířky 0,8 m, hloubky 1,2 m</t>
  </si>
  <si>
    <t>ORN celkem</t>
  </si>
  <si>
    <t>571902211R00</t>
  </si>
  <si>
    <t>Zkrácený popis / Varianta</t>
  </si>
  <si>
    <t/>
  </si>
  <si>
    <t>309</t>
  </si>
  <si>
    <t>152</t>
  </si>
  <si>
    <t>Ing.Luboš Vondráček</t>
  </si>
  <si>
    <t>766629303R00</t>
  </si>
  <si>
    <t>17</t>
  </si>
  <si>
    <t>722172412R00</t>
  </si>
  <si>
    <t>Ventil mrazuvzdorný KEMPER FROSTI plus, DN 20 mm</t>
  </si>
  <si>
    <t>Osazení požárního hasicího přístroje na stěnu</t>
  </si>
  <si>
    <t>721176224R00</t>
  </si>
  <si>
    <t>Lapač jisker komínu Schiedel UNI ADVANCED, DN 180 mm</t>
  </si>
  <si>
    <t>98</t>
  </si>
  <si>
    <t>112</t>
  </si>
  <si>
    <t>Lešení a stavební výtahy</t>
  </si>
  <si>
    <t>722999VD</t>
  </si>
  <si>
    <t>21</t>
  </si>
  <si>
    <t>SO-02_2_</t>
  </si>
  <si>
    <t>34_</t>
  </si>
  <si>
    <t>Potrubí KG ochranné (ležaté) v zemi, D 160 x 4,0 mm</t>
  </si>
  <si>
    <t>766629310R00</t>
  </si>
  <si>
    <t>SO-01_78_</t>
  </si>
  <si>
    <t>351</t>
  </si>
  <si>
    <t>Strop montovaný z panelů Spiroll, tl. 20 cm</t>
  </si>
  <si>
    <t>Úprava povrchů vnitřní</t>
  </si>
  <si>
    <t>Práce přesčas</t>
  </si>
  <si>
    <t>Montáž dveří a obložkové zárubně šířky 80 cm</t>
  </si>
  <si>
    <t>31_</t>
  </si>
  <si>
    <t>342248152R00</t>
  </si>
  <si>
    <t>Bednění stěn základových desek - odstranění</t>
  </si>
  <si>
    <t>317168112R00</t>
  </si>
  <si>
    <t>41_</t>
  </si>
  <si>
    <t>61</t>
  </si>
  <si>
    <t>345</t>
  </si>
  <si>
    <t>313</t>
  </si>
  <si>
    <t>betonem třídy C 16/20- u komínů</t>
  </si>
  <si>
    <t>Izolace tepelná stěn</t>
  </si>
  <si>
    <t>132201219R00</t>
  </si>
  <si>
    <t>P3</t>
  </si>
  <si>
    <t>Proplach a dezinfekce vodovodního potrubí DN 80 mm</t>
  </si>
  <si>
    <t>fasáda</t>
  </si>
  <si>
    <t>126</t>
  </si>
  <si>
    <t>124</t>
  </si>
  <si>
    <t>771101210RT1</t>
  </si>
  <si>
    <t>611445145R00</t>
  </si>
  <si>
    <t>Přesun hmot pro izolace proti vodě, výšky do 12 m</t>
  </si>
  <si>
    <t>H00</t>
  </si>
  <si>
    <t>158</t>
  </si>
  <si>
    <t>12</t>
  </si>
  <si>
    <t>Kanalizace vnitřní, PVC, D 125 mm, zemní práce</t>
  </si>
  <si>
    <t>713111111RU4</t>
  </si>
  <si>
    <t>234</t>
  </si>
  <si>
    <t>317168131R00</t>
  </si>
  <si>
    <t>Kulturní památka</t>
  </si>
  <si>
    <t>Objekt</t>
  </si>
  <si>
    <t>Různé dokončovací konstrukce a práce na pozemních stavbách</t>
  </si>
  <si>
    <t>168</t>
  </si>
  <si>
    <t>Stropy a stropní konstrukce (pro pozemní stavby)</t>
  </si>
  <si>
    <t>kompl</t>
  </si>
  <si>
    <t>61143802</t>
  </si>
  <si>
    <t>Posyp krytu kamenivem drceným do 10 kg/m2</t>
  </si>
  <si>
    <t>Izolace návleková MIRELON PRO tl. stěny 9 mm</t>
  </si>
  <si>
    <t>Otopná tělesa</t>
  </si>
  <si>
    <t>306</t>
  </si>
  <si>
    <t>61143819</t>
  </si>
  <si>
    <t>DPH 21%</t>
  </si>
  <si>
    <t>298</t>
  </si>
  <si>
    <t>Chodník z dlažby zámkové, podklad štěrkodrť</t>
  </si>
  <si>
    <t>184</t>
  </si>
  <si>
    <t>249</t>
  </si>
  <si>
    <t>181101102R00</t>
  </si>
  <si>
    <t>134</t>
  </si>
  <si>
    <t>211</t>
  </si>
  <si>
    <t>766629301R00</t>
  </si>
  <si>
    <t>Krycí rošt ACO DRAIN N100 zatížení B 125 dl.1000mm</t>
  </si>
  <si>
    <t>196</t>
  </si>
  <si>
    <t>318</t>
  </si>
  <si>
    <t>základní a jednonásobný krycí-ocelové rámy</t>
  </si>
  <si>
    <t>Elektromontáže</t>
  </si>
  <si>
    <t>Topná tělesa elektrická s regulátorem Z-KT7R-0400-10</t>
  </si>
  <si>
    <t>733163104R00</t>
  </si>
  <si>
    <t>342270044RA0</t>
  </si>
  <si>
    <t>611601202</t>
  </si>
  <si>
    <t>Tyč ocelová IPE 180, S235JR</t>
  </si>
  <si>
    <t>Vytýčení stavby</t>
  </si>
  <si>
    <t>998762102R00</t>
  </si>
  <si>
    <t>rýha 30 x 40 cm, vč.zemních prací</t>
  </si>
  <si>
    <t>187</t>
  </si>
  <si>
    <t>622311134RT6</t>
  </si>
  <si>
    <t>Přesun hmot pro vnitřní kanalizaci, výšky do 12 m</t>
  </si>
  <si>
    <t>kpl</t>
  </si>
  <si>
    <t>ORN celkem z obj.</t>
  </si>
  <si>
    <t>317</t>
  </si>
  <si>
    <t>602011141RU3</t>
  </si>
  <si>
    <t>191</t>
  </si>
  <si>
    <t>Montáž tepelné izolace krovů spodem, vložená mezi krokve</t>
  </si>
  <si>
    <t>Montáž dveří a obložkové zárubně šířky 70 cm</t>
  </si>
  <si>
    <t>dlažba přírodní tloušťka 8 cm, vč.zemních prací</t>
  </si>
  <si>
    <t>49</t>
  </si>
  <si>
    <t>72</t>
  </si>
  <si>
    <t>713_</t>
  </si>
  <si>
    <t>275</t>
  </si>
  <si>
    <t>Šachta vodoměrná plast.kruhová samonosná v.1500 mm</t>
  </si>
  <si>
    <t>Přesuny</t>
  </si>
  <si>
    <t>MAT</t>
  </si>
  <si>
    <t>346244315R00</t>
  </si>
  <si>
    <t>775_</t>
  </si>
  <si>
    <t>267</t>
  </si>
  <si>
    <t>Tyč ocelová IPE 200, S235JR</t>
  </si>
  <si>
    <t>998725102R00</t>
  </si>
  <si>
    <t>70</t>
  </si>
  <si>
    <t>766670021R00</t>
  </si>
  <si>
    <t>277</t>
  </si>
  <si>
    <t>8</t>
  </si>
  <si>
    <t>Celkem:</t>
  </si>
  <si>
    <t>767990010RAC</t>
  </si>
  <si>
    <t>59244411</t>
  </si>
  <si>
    <t>Mimostav. doprava</t>
  </si>
  <si>
    <t>Nátěry</t>
  </si>
  <si>
    <t>266</t>
  </si>
  <si>
    <t>zápachová klapka, koš na listí, DN 100 mm</t>
  </si>
  <si>
    <t>Malba Primalex Polar, bílá, bez penetrace, 2 x</t>
  </si>
  <si>
    <t>18</t>
  </si>
  <si>
    <t>DN celkem z obj.</t>
  </si>
  <si>
    <t>včetně obrubníku ABO 2 - 15 100/15/25</t>
  </si>
  <si>
    <t>314252106R00</t>
  </si>
  <si>
    <t>46</t>
  </si>
  <si>
    <t>764_</t>
  </si>
  <si>
    <t>781</t>
  </si>
  <si>
    <t>728_</t>
  </si>
  <si>
    <t>713</t>
  </si>
  <si>
    <t>181</t>
  </si>
  <si>
    <t>762321911R00</t>
  </si>
  <si>
    <t>O02-Dveře balkonové plastové 2křídlové 150x225 cm OS/O</t>
  </si>
  <si>
    <t>214</t>
  </si>
  <si>
    <t>O07-Okno plastové jednokřídlé 137,5 x 130 cm OS 1x+1xfix bílé</t>
  </si>
  <si>
    <t>713130090RA0</t>
  </si>
  <si>
    <t>612445921R00</t>
  </si>
  <si>
    <t>176</t>
  </si>
  <si>
    <t>Úprava povrchů vnější</t>
  </si>
  <si>
    <t>28350203</t>
  </si>
  <si>
    <t>Vnitřní vodovod - armatury</t>
  </si>
  <si>
    <t>100</t>
  </si>
  <si>
    <t>108</t>
  </si>
  <si>
    <t>44984124</t>
  </si>
  <si>
    <t>50</t>
  </si>
  <si>
    <t>Základy</t>
  </si>
  <si>
    <t>340</t>
  </si>
  <si>
    <t>Osazení válcovaných nosníků ve stropech č. 14 - 22</t>
  </si>
  <si>
    <t>1.NP</t>
  </si>
  <si>
    <t>Zdivo základové z bednicích tvárnic, tl. 300 mm</t>
  </si>
  <si>
    <t>Montáž oken plastových plochy do 1,50 m2</t>
  </si>
  <si>
    <t>314</t>
  </si>
  <si>
    <t>317941123R00</t>
  </si>
  <si>
    <t>766660030RA0</t>
  </si>
  <si>
    <t>Konstrukce krovu z řeziva plochy 450 cm2, impregn.</t>
  </si>
  <si>
    <t>m</t>
  </si>
  <si>
    <t>Oplocení</t>
  </si>
  <si>
    <t>Montáž vrat na zděné sloupky, plochy do 2 m2</t>
  </si>
  <si>
    <t>Slepý stavební rozpočet - rekapitulace</t>
  </si>
  <si>
    <t>Lemování komínů z Pz plechu, v ploše</t>
  </si>
  <si>
    <t>SO-02_9_</t>
  </si>
  <si>
    <t>217</t>
  </si>
  <si>
    <t>225</t>
  </si>
  <si>
    <t>Přemístění výkopku</t>
  </si>
  <si>
    <t>317168111R00</t>
  </si>
  <si>
    <t>11</t>
  </si>
  <si>
    <t>162201102R00</t>
  </si>
  <si>
    <t>Montáž plastových stěn prosklených</t>
  </si>
  <si>
    <t>240</t>
  </si>
  <si>
    <t>32</t>
  </si>
  <si>
    <t>Rozvod potrubí</t>
  </si>
  <si>
    <t>721290111R00</t>
  </si>
  <si>
    <t>na beton</t>
  </si>
  <si>
    <t>429148045</t>
  </si>
  <si>
    <t>Objednatel:</t>
  </si>
  <si>
    <t>204</t>
  </si>
  <si>
    <t>61143810</t>
  </si>
  <si>
    <t>desky protipožární tl. 12,5 mm-kanalizace</t>
  </si>
  <si>
    <t>725100005RA0</t>
  </si>
  <si>
    <t>Podklad ze štěrkodrti po zhutnění tloušťky 5 cm</t>
  </si>
  <si>
    <t>998722102R00</t>
  </si>
  <si>
    <t>prostupy strop, komíny</t>
  </si>
  <si>
    <t>722181214RZ6</t>
  </si>
  <si>
    <t>štěrkodrť frakce 0-63 mm</t>
  </si>
  <si>
    <t>Zakrývání výplní vnitřních otvorů</t>
  </si>
  <si>
    <t>61143818</t>
  </si>
  <si>
    <t>762330116RAC</t>
  </si>
  <si>
    <t>PSV mat</t>
  </si>
  <si>
    <t>300</t>
  </si>
  <si>
    <t>722181213RT5</t>
  </si>
  <si>
    <t>280</t>
  </si>
  <si>
    <t>Odpadní trouby z Ti Zn plechu, kruhové, D 75 mm</t>
  </si>
  <si>
    <t>Potrubí KG ochranné (ležaté) v zemi, DN 250 x 6,2 mm</t>
  </si>
  <si>
    <t>Stupeň betonový 30 x 15 cm, včetně bednění</t>
  </si>
  <si>
    <t>Izolace tepelné</t>
  </si>
  <si>
    <t>Umyvadlo, baterie, zápachová uzávěrka</t>
  </si>
  <si>
    <t>Fólie hydroizolační JUTADACH-135</t>
  </si>
  <si>
    <t>273</t>
  </si>
  <si>
    <t>Krytina tvrdá</t>
  </si>
  <si>
    <t>3</t>
  </si>
  <si>
    <t>597091111RS1</t>
  </si>
  <si>
    <t>711111001RZ1</t>
  </si>
  <si>
    <t>Podhled sádrokartonový na zavěšenou ocel. konstr.</t>
  </si>
  <si>
    <t>Bednění stěn základových desek - zřízení</t>
  </si>
  <si>
    <t>711_</t>
  </si>
  <si>
    <t>308</t>
  </si>
  <si>
    <t>998276101R00</t>
  </si>
  <si>
    <t>764510450RT2</t>
  </si>
  <si>
    <t>766629304R00</t>
  </si>
  <si>
    <t>102</t>
  </si>
  <si>
    <t>Čelo žlabu ACO DRAIN N 100 plné</t>
  </si>
  <si>
    <t>Podezdívka z desek Ytong hladkých, tloušťka 15 cm</t>
  </si>
  <si>
    <t>Zhotovitel:</t>
  </si>
  <si>
    <t>hranoly 14 x 16 cm, včetně dodávky-T2</t>
  </si>
  <si>
    <t>Dlažba BEST KLASIKO přírodní  20 x10 x 6</t>
  </si>
  <si>
    <t>SO-02_8_</t>
  </si>
  <si>
    <t>Podlahy z dlaždic</t>
  </si>
  <si>
    <t>Přesun hmot pro strojovny, výšky do 12 m</t>
  </si>
  <si>
    <t>952901111R00</t>
  </si>
  <si>
    <t>Podlahové vytápění Rehau</t>
  </si>
  <si>
    <t>rýha šířky 0,8 m, hloubky 1,0 m</t>
  </si>
  <si>
    <t>784_</t>
  </si>
  <si>
    <t>296</t>
  </si>
  <si>
    <t>35</t>
  </si>
  <si>
    <t>Sifon dřezový HL100, 6/4", s přípojkou pro myčku, pračku</t>
  </si>
  <si>
    <t>dlažba přírodní tloušťka 6 cm</t>
  </si>
  <si>
    <t>Začátek výstavby:</t>
  </si>
  <si>
    <t>210200020RAA</t>
  </si>
  <si>
    <t>Příplatek k obkladu stěn keram.,za plochu do 10 m2</t>
  </si>
  <si>
    <t>Obklad sádrokartonem dvoustranný do 0,5/0,5m</t>
  </si>
  <si>
    <t>764259411R00</t>
  </si>
  <si>
    <t>SDK</t>
  </si>
  <si>
    <t>781111116R00</t>
  </si>
  <si>
    <t>Zakování dveří 1křídlých kompletizovaných</t>
  </si>
  <si>
    <t>A</t>
  </si>
  <si>
    <t>Vysávání podlah prům.vysavačem,podlahy</t>
  </si>
  <si>
    <t>287</t>
  </si>
  <si>
    <t>208</t>
  </si>
  <si>
    <t>Osazení sloupků plot.ocelových do 2 m,zabet.C25/30</t>
  </si>
  <si>
    <t>Izolace návleková MIRELON PRO tl. stěny 20 mm</t>
  </si>
  <si>
    <t>nalepení Enkolitem</t>
  </si>
  <si>
    <t>Mont mat</t>
  </si>
  <si>
    <t>Obkládačka keramická - dle výběru</t>
  </si>
  <si>
    <t>163</t>
  </si>
  <si>
    <t>13_</t>
  </si>
  <si>
    <t>722</t>
  </si>
  <si>
    <t>121101100R00</t>
  </si>
  <si>
    <t>274</t>
  </si>
  <si>
    <t>Slepý stavební rozpočet</t>
  </si>
  <si>
    <t>93</t>
  </si>
  <si>
    <t>311238143R00</t>
  </si>
  <si>
    <t>285</t>
  </si>
  <si>
    <t>279</t>
  </si>
  <si>
    <t>273351215R00</t>
  </si>
  <si>
    <t>Vložky do dilatačních spár, polystyren, tl 50 mm</t>
  </si>
  <si>
    <t>173</t>
  </si>
  <si>
    <t>63_</t>
  </si>
  <si>
    <t>SO-02_1_</t>
  </si>
  <si>
    <t>157</t>
  </si>
  <si>
    <t>311</t>
  </si>
  <si>
    <t>122100010RAC</t>
  </si>
  <si>
    <t>101</t>
  </si>
  <si>
    <t>75</t>
  </si>
  <si>
    <t>54</t>
  </si>
  <si>
    <t>205</t>
  </si>
  <si>
    <t>Zakrývání výplní vnějších otvorů z lešení</t>
  </si>
  <si>
    <t xml:space="preserve"> </t>
  </si>
  <si>
    <t>16_</t>
  </si>
  <si>
    <t>Montáž obložení stěn dřevoplastem</t>
  </si>
  <si>
    <t>136</t>
  </si>
  <si>
    <t>764554401R00</t>
  </si>
  <si>
    <t>Sprchová kabina, baterie, zápachová uzávěrka</t>
  </si>
  <si>
    <t>762431230R00</t>
  </si>
  <si>
    <t>153</t>
  </si>
  <si>
    <t>SO-02_4_</t>
  </si>
  <si>
    <t>Přesun hmot pro zařizovací předměty, výšky do 12 m</t>
  </si>
  <si>
    <t>Kladení zámkové dlažby tl. 6 cm do drtě tl. 3 cm</t>
  </si>
  <si>
    <t>Výplň oplocení z Tahokovu</t>
  </si>
  <si>
    <t>hranoly 10 x 16 cm, včetně dodávky-T5</t>
  </si>
  <si>
    <t>334</t>
  </si>
  <si>
    <t>123</t>
  </si>
  <si>
    <t>Příplatek za spárovací hmotu - plošně,keram.dlažba</t>
  </si>
  <si>
    <t>159</t>
  </si>
  <si>
    <t>Kryty pozemních komunikací, letišť a ploch dlážděných (předlažby)</t>
  </si>
  <si>
    <t>Potrubí HT připojovací, D 40 x 1,8 mm</t>
  </si>
  <si>
    <t>O04-Okno plastové jednokřídlé 75 x 100 cm OS bílé</t>
  </si>
  <si>
    <t>kg</t>
  </si>
  <si>
    <t>komory</t>
  </si>
  <si>
    <t>Objednatel</t>
  </si>
  <si>
    <t>O06-Okno plastové jednokřídlé 188,5 x 130 cm OS 1x+2xfix bílé</t>
  </si>
  <si>
    <t>57</t>
  </si>
  <si>
    <t>257</t>
  </si>
  <si>
    <t>m DVČ</t>
  </si>
  <si>
    <t>Montáž cihelných pásků 210x65x23 mm, do tmele</t>
  </si>
  <si>
    <t>SO-01_9_</t>
  </si>
  <si>
    <t>SO-03_9_</t>
  </si>
  <si>
    <t>Pouzdro pro posuvné dveře protilehlé, do zdiva</t>
  </si>
  <si>
    <t>Podklad ze štěrkopísku po zhutnění tloušťky 10 cm</t>
  </si>
  <si>
    <t>(Kč)</t>
  </si>
  <si>
    <t>Zdivo POROTHERM 30 Profi P10, tl. 300 mm</t>
  </si>
  <si>
    <t>Venkovní jednotka TČ AIR X70</t>
  </si>
  <si>
    <t>Podklad ze štěrkodrti po zhutnění tloušťky 15 cm</t>
  </si>
  <si>
    <t>339941417R00</t>
  </si>
  <si>
    <t>Komín Schiedel UNI ADV 1 průduchový, DN 180 mm dl.9,1m</t>
  </si>
  <si>
    <t>Držák plotového pole průběžný lakovaný pro sloupek 400 x 400 mm KB-BLOK</t>
  </si>
  <si>
    <t>22</t>
  </si>
  <si>
    <t>pro rodinné domy</t>
  </si>
  <si>
    <t>Obklad soklíků hutných, rovných,tmel,v.do 100 mm</t>
  </si>
  <si>
    <t>Hloubení nezapažených jam v hornině1-4</t>
  </si>
  <si>
    <t>115</t>
  </si>
  <si>
    <t>Územní vlivy</t>
  </si>
  <si>
    <t>SO-01_</t>
  </si>
  <si>
    <t>Zdi podpěrné a volné</t>
  </si>
  <si>
    <t>Dobetonování otvorů ve stropu do 1 m2</t>
  </si>
  <si>
    <t>Spára podlaha - stěna, silikonem</t>
  </si>
  <si>
    <t>721100012RAA</t>
  </si>
  <si>
    <t>Elektroinstalace - cena předběžná</t>
  </si>
  <si>
    <t>Izolace proti vodě a vlhkosti, hydroizolační povlak - nátěr</t>
  </si>
  <si>
    <t>Montáž oken plastových plochy do 4,50 m2</t>
  </si>
  <si>
    <t>Polystyren extrudovaný XPS</t>
  </si>
  <si>
    <t>Montáž bedn.střech rovn. z aglomer.desek šroubováním</t>
  </si>
  <si>
    <t>m3</t>
  </si>
  <si>
    <t>725</t>
  </si>
  <si>
    <t>721273200RT3</t>
  </si>
  <si>
    <t>265</t>
  </si>
  <si>
    <t>Osazení parapet.desek plast. a lamin. š.nad 20cm</t>
  </si>
  <si>
    <t>T</t>
  </si>
  <si>
    <t>722181214RT5</t>
  </si>
  <si>
    <t>259</t>
  </si>
  <si>
    <t>766665921R00</t>
  </si>
  <si>
    <t>Datum:</t>
  </si>
  <si>
    <t>91_</t>
  </si>
  <si>
    <t>tvárnice</t>
  </si>
  <si>
    <t>Kotlík kónický z pl.Ti-Zn pro trouby D do 150 mm</t>
  </si>
  <si>
    <t>Bednění prostupu základem do 0,10 m2, dl. 1,0 m</t>
  </si>
  <si>
    <t>215</t>
  </si>
  <si>
    <t>Odpadní trouby z Ti Zn plechu, kruhové, D 100 mm</t>
  </si>
  <si>
    <t>781415015R00</t>
  </si>
  <si>
    <t>27</t>
  </si>
  <si>
    <t>781479705RT2</t>
  </si>
  <si>
    <t>O03-Okno plastové posuvné balkonové 250x225 cm (HS portál)-3ks</t>
  </si>
  <si>
    <t>775101101R00</t>
  </si>
  <si>
    <t>z cihel pálených plných 29/14/6,5</t>
  </si>
  <si>
    <t>37</t>
  </si>
  <si>
    <t>80</t>
  </si>
  <si>
    <t>m2</t>
  </si>
  <si>
    <t>Kanalizace vnitřní, PVC, D 110 mm, zemní práce</t>
  </si>
  <si>
    <t>41</t>
  </si>
  <si>
    <t>337</t>
  </si>
  <si>
    <t>Dobetonování prefabrikovaných konstrukcí</t>
  </si>
  <si>
    <t>59_</t>
  </si>
  <si>
    <t>186</t>
  </si>
  <si>
    <t>Přesun hmot a sutí</t>
  </si>
  <si>
    <t>NUS z rozpočtu</t>
  </si>
  <si>
    <t>Penetrace podkladu univerzální Primalex 1x</t>
  </si>
  <si>
    <t>251</t>
  </si>
  <si>
    <t>722181215RT8</t>
  </si>
  <si>
    <t>338171112R00</t>
  </si>
  <si>
    <t>711112001RZ1</t>
  </si>
  <si>
    <t>Vana, baterie, zápachová uzávěrka, obezdění</t>
  </si>
  <si>
    <t>5924619110</t>
  </si>
  <si>
    <t>1</t>
  </si>
  <si>
    <t>O011-Okno střešní Velux 78 x 98 cm - dle výběru</t>
  </si>
  <si>
    <t>rýha 30 x 40 cm vč.zemních prací</t>
  </si>
  <si>
    <t>pod nádrže</t>
  </si>
  <si>
    <t>206</t>
  </si>
  <si>
    <t>zakončený stěrkou s výztužnou tkaninou</t>
  </si>
  <si>
    <t>Zdivo základové z bednicích tvárnic, tl. 500 mm</t>
  </si>
  <si>
    <t>SO-01_2_</t>
  </si>
  <si>
    <t>Strojovny</t>
  </si>
  <si>
    <t>762330112RAA</t>
  </si>
  <si>
    <t>7</t>
  </si>
  <si>
    <t>Izolace návleková MIRELON PRO tl. stěny 13 mm</t>
  </si>
  <si>
    <t>236</t>
  </si>
  <si>
    <t>Rozměry</t>
  </si>
  <si>
    <t>321</t>
  </si>
  <si>
    <t>771575109R00</t>
  </si>
  <si>
    <t>783780010RAC</t>
  </si>
  <si>
    <t>na přímém schodišti-venkovní schodiště</t>
  </si>
  <si>
    <t>350</t>
  </si>
  <si>
    <t>74</t>
  </si>
  <si>
    <t>Položek:</t>
  </si>
  <si>
    <t>767200002RA0</t>
  </si>
  <si>
    <t>NUS celkem</t>
  </si>
  <si>
    <t>Podlahy a podlahové konstrukce</t>
  </si>
  <si>
    <t>WORK</t>
  </si>
  <si>
    <t>Povrchové úpravy terénu</t>
  </si>
  <si>
    <t>164</t>
  </si>
  <si>
    <t>131</t>
  </si>
  <si>
    <t>Sjezd z dlažby zámkové, podklad štěrkopísek</t>
  </si>
  <si>
    <t>H01_</t>
  </si>
  <si>
    <t>Dveřní kování - posuvné dveře</t>
  </si>
  <si>
    <t>83</t>
  </si>
  <si>
    <t>Pilíř zděný pro 3 skříně SR 5 s koncovým dílem</t>
  </si>
  <si>
    <t>Výztuž základových pasů z betonářské oceli  B500B (10 505)</t>
  </si>
  <si>
    <t>317168133R00</t>
  </si>
  <si>
    <t>771_</t>
  </si>
  <si>
    <t>Výplně otvorů</t>
  </si>
  <si>
    <t>213</t>
  </si>
  <si>
    <t>93_</t>
  </si>
  <si>
    <t>Vystavení revizní zprávy-požární hasicí přístroj</t>
  </si>
  <si>
    <t>733</t>
  </si>
  <si>
    <t>114</t>
  </si>
  <si>
    <t>274361921RT4</t>
  </si>
  <si>
    <t>213150010RA0</t>
  </si>
  <si>
    <t>D04-Dveře vnitřní CPL 0,2 KLASIK plné 1-křídlé 800 x 2100 mm</t>
  </si>
  <si>
    <t>Žlaby Ti Zn plech, podokapní půlkruhové, rš 330 mm</t>
  </si>
  <si>
    <t>47</t>
  </si>
  <si>
    <t>735</t>
  </si>
  <si>
    <t>HSV mat</t>
  </si>
  <si>
    <t>Oplechování parapetů včetně rohů Ti Zn, rš 330 mm</t>
  </si>
  <si>
    <t>O08-Okno plastové trojkřídlé 350 x 185 cm OS+2xfix+OS bílé</t>
  </si>
  <si>
    <t>294</t>
  </si>
  <si>
    <t xml:space="preserve"> Vnitřní jednotka k TČ AIR X70 AIRMODUL E9</t>
  </si>
  <si>
    <t>Souprava ventilační střešní HL</t>
  </si>
  <si>
    <t>Montáž výztužné lišty okenní a podparapetní</t>
  </si>
  <si>
    <t>M21_</t>
  </si>
  <si>
    <t>Příčky POROTHERM 11,5 Profi DRYFIX, tl. 115 mm</t>
  </si>
  <si>
    <t>348</t>
  </si>
  <si>
    <t>177</t>
  </si>
  <si>
    <t>66</t>
  </si>
  <si>
    <t>Potrubí z měděných trubek vytápění D 15 x 1,0 mm</t>
  </si>
  <si>
    <t>O01-Okno plastové dvoukřídlé 250 x 125 cm O+OS bílé</t>
  </si>
  <si>
    <t>Ateliér Civilista s.r.o</t>
  </si>
  <si>
    <t>56_</t>
  </si>
  <si>
    <t>Mapegum WPS (fa Mapei)-koupelny</t>
  </si>
  <si>
    <t>722181212RT5</t>
  </si>
  <si>
    <t>771445014R00</t>
  </si>
  <si>
    <t>24.03.2023</t>
  </si>
  <si>
    <t>631310022RA0</t>
  </si>
  <si>
    <t>311112130RT3</t>
  </si>
  <si>
    <t>288</t>
  </si>
  <si>
    <t>732295218R00</t>
  </si>
  <si>
    <t>Vzduchotechnika</t>
  </si>
  <si>
    <t>917862111RT7</t>
  </si>
  <si>
    <t>Těsnění okenní spáry, ostění, PT fólie+ PP páska</t>
  </si>
  <si>
    <t>201</t>
  </si>
  <si>
    <t>Konstrukce tesařské</t>
  </si>
  <si>
    <t>P2</t>
  </si>
  <si>
    <t>347</t>
  </si>
  <si>
    <t>155</t>
  </si>
  <si>
    <t>247</t>
  </si>
  <si>
    <t>Mazanina z betonu C 12/15, tloušťka 10 cm</t>
  </si>
  <si>
    <t>Potrubí KG ochranné (ležaté) v zemi, D 110 x 3,2 mm</t>
  </si>
  <si>
    <t>90</t>
  </si>
  <si>
    <t>210</t>
  </si>
  <si>
    <t>89</t>
  </si>
  <si>
    <t>736_</t>
  </si>
  <si>
    <t>953941391R00</t>
  </si>
  <si>
    <t>711212001RT2</t>
  </si>
  <si>
    <t>245</t>
  </si>
  <si>
    <t>762330112RAC</t>
  </si>
  <si>
    <t>Přístroj hasicí práškový NEURUPPIN PG 6 PDC</t>
  </si>
  <si>
    <t>179</t>
  </si>
  <si>
    <t>rýha 40 x 50 cm,vč.zemních prací</t>
  </si>
  <si>
    <t>Přesun hmot pro tesařské konstrukce, výšky do 12 m</t>
  </si>
  <si>
    <t>185</t>
  </si>
  <si>
    <t>88</t>
  </si>
  <si>
    <t>711142559RT2</t>
  </si>
  <si>
    <t>61143260</t>
  </si>
  <si>
    <t>odvoz do 15 km, uložení na skládku-nádrže na vodu</t>
  </si>
  <si>
    <t>Poplatek za skládku horniny 1- 4, č. dle katal. odpadů 17 05 04</t>
  </si>
  <si>
    <t>148</t>
  </si>
  <si>
    <t>Montáž oken plastových plochy do 2,70 m2</t>
  </si>
  <si>
    <t>212750010RAC</t>
  </si>
  <si>
    <t>344</t>
  </si>
  <si>
    <t>326</t>
  </si>
  <si>
    <t>303</t>
  </si>
  <si>
    <t>Zkrácený popis</t>
  </si>
  <si>
    <t>SO-01_3_</t>
  </si>
  <si>
    <t>28</t>
  </si>
  <si>
    <t>111</t>
  </si>
  <si>
    <t>Osazení ocelových válcovaných nosníků  č. 14 - 22</t>
  </si>
  <si>
    <t>SO-01_4_</t>
  </si>
  <si>
    <t>Revize požárního hasicího přístroje do 5 ks</t>
  </si>
  <si>
    <t>312</t>
  </si>
  <si>
    <t>včetně dodávky zárubně Sapeli  197 x 60/7 - 19 buk</t>
  </si>
  <si>
    <t>239</t>
  </si>
  <si>
    <t>33_</t>
  </si>
  <si>
    <t>764773311R00</t>
  </si>
  <si>
    <t>771</t>
  </si>
  <si>
    <t>CELK</t>
  </si>
  <si>
    <t>Podlahové vytápění</t>
  </si>
  <si>
    <t>113</t>
  </si>
  <si>
    <t>106</t>
  </si>
  <si>
    <t>94_</t>
  </si>
  <si>
    <t>784195212R00</t>
  </si>
  <si>
    <t>65</t>
  </si>
  <si>
    <t>339</t>
  </si>
  <si>
    <t>Prorážení otvorů a ostatní bourací práce</t>
  </si>
  <si>
    <t>Zábrana parotěsná střech</t>
  </si>
  <si>
    <t>611601201</t>
  </si>
  <si>
    <t>244</t>
  </si>
  <si>
    <t>413941123R00</t>
  </si>
  <si>
    <t>301</t>
  </si>
  <si>
    <t>169</t>
  </si>
  <si>
    <t>Kladení bet.veget. dlaždic,lože 30 mm,pl.do 100 m2</t>
  </si>
  <si>
    <t>34</t>
  </si>
  <si>
    <t>43_</t>
  </si>
  <si>
    <t>62</t>
  </si>
  <si>
    <t>193</t>
  </si>
  <si>
    <t>Spojovací a ochranné prostředky pro střechy</t>
  </si>
  <si>
    <t>Deska dřevoštěpková OSB ECO 3 N tl. 22 mm</t>
  </si>
  <si>
    <t>Montáž výztužné sítě(perlinky)do stěrky-vnit.stěny</t>
  </si>
  <si>
    <t>pasy - Účko</t>
  </si>
  <si>
    <t>335</t>
  </si>
  <si>
    <t>Izolace proti vodě</t>
  </si>
  <si>
    <t>Izolace proti vodě vodorovná přitavená, 2x</t>
  </si>
  <si>
    <t>218</t>
  </si>
  <si>
    <t>Potrubí HT odpadní svislé, D 75 x 1,9 mm</t>
  </si>
  <si>
    <t>417351115R00</t>
  </si>
  <si>
    <t>Classic D povrchová úprava PURAL MATT</t>
  </si>
  <si>
    <t>341</t>
  </si>
  <si>
    <t>571902111R00</t>
  </si>
  <si>
    <t>766660034RA0</t>
  </si>
  <si>
    <t>Zkouška těsnosti kanalizace vodou DN 200 mm</t>
  </si>
  <si>
    <t>tloušťka celkem 180 mm</t>
  </si>
  <si>
    <t>Náklady (Kč) - Montáž</t>
  </si>
  <si>
    <t>Plentování ocelových nosníků výšky do 20 cm</t>
  </si>
  <si>
    <t>Pás modifikovaný asfalt Glastek AL 40 mineral</t>
  </si>
  <si>
    <t>726211322R00</t>
  </si>
  <si>
    <t>293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</si>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</sst>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i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sz val="12"/>
      <color rgb="FF000000"/>
      <name val="Arial"/>
      <family val="0"/>
    </font>
    <font>
      <i/>
      <sz val="10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/>
      <right style="thin">
        <color rgb="FF000000"/>
      </right>
      <top/>
      <bottom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1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4" fontId="48" fillId="33" borderId="12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18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33" borderId="14" xfId="0" applyNumberFormat="1" applyFont="1" applyFill="1" applyBorder="1" applyAlignment="1" applyProtection="1">
      <alignment horizontal="righ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50" fillId="0" borderId="22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right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4" fontId="50" fillId="0" borderId="14" xfId="0" applyNumberFormat="1" applyFont="1" applyFill="1" applyBorder="1" applyAlignment="1" applyProtection="1">
      <alignment horizontal="right" vertical="center"/>
      <protection/>
    </xf>
    <xf numFmtId="4" fontId="50" fillId="0" borderId="1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4" fontId="50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6" fillId="33" borderId="14" xfId="0" applyNumberFormat="1" applyFont="1" applyFill="1" applyBorder="1" applyAlignment="1" applyProtection="1">
      <alignment horizontal="right" vertical="center"/>
      <protection/>
    </xf>
    <xf numFmtId="0" fontId="52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26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4" fontId="48" fillId="33" borderId="22" xfId="0" applyNumberFormat="1" applyFont="1" applyFill="1" applyBorder="1" applyAlignment="1" applyProtection="1">
      <alignment horizontal="right" vertical="center"/>
      <protection/>
    </xf>
    <xf numFmtId="0" fontId="46" fillId="0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center" vertical="center"/>
      <protection/>
    </xf>
    <xf numFmtId="0" fontId="50" fillId="0" borderId="14" xfId="0" applyNumberFormat="1" applyFont="1" applyFill="1" applyBorder="1" applyAlignment="1" applyProtection="1">
      <alignment horizontal="right" vertical="center"/>
      <protection/>
    </xf>
    <xf numFmtId="4" fontId="50" fillId="0" borderId="22" xfId="0" applyNumberFormat="1" applyFont="1" applyFill="1" applyBorder="1" applyAlignment="1" applyProtection="1">
      <alignment horizontal="right" vertical="center"/>
      <protection/>
    </xf>
    <xf numFmtId="0" fontId="47" fillId="33" borderId="18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50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46" fillId="0" borderId="29" xfId="0" applyNumberFormat="1" applyFont="1" applyFill="1" applyBorder="1" applyAlignment="1" applyProtection="1">
      <alignment horizontal="center" vertical="center"/>
      <protection/>
    </xf>
    <xf numFmtId="0" fontId="46" fillId="0" borderId="3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31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center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36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 wrapText="1"/>
      <protection/>
    </xf>
    <xf numFmtId="0" fontId="47" fillId="0" borderId="14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1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7" xfId="0" applyNumberFormat="1" applyFont="1" applyFill="1" applyBorder="1" applyAlignment="1" applyProtection="1">
      <alignment horizontal="left" vertical="center"/>
      <protection/>
    </xf>
    <xf numFmtId="0" fontId="55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50" fillId="0" borderId="22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33" borderId="38" xfId="0" applyNumberFormat="1" applyFont="1" applyFill="1" applyBorder="1" applyAlignment="1" applyProtection="1">
      <alignment horizontal="left" vertical="center"/>
      <protection/>
    </xf>
    <xf numFmtId="0" fontId="48" fillId="33" borderId="37" xfId="0" applyNumberFormat="1" applyFont="1" applyFill="1" applyBorder="1" applyAlignment="1" applyProtection="1">
      <alignment horizontal="left" vertical="center"/>
      <protection/>
    </xf>
    <xf numFmtId="0" fontId="48" fillId="33" borderId="11" xfId="0" applyNumberFormat="1" applyFont="1" applyFill="1" applyBorder="1" applyAlignment="1" applyProtection="1">
      <alignment horizontal="left" vertical="center"/>
      <protection/>
    </xf>
    <xf numFmtId="0" fontId="48" fillId="33" borderId="15" xfId="0" applyNumberFormat="1" applyFont="1" applyFill="1" applyBorder="1" applyAlignment="1" applyProtection="1">
      <alignment horizontal="left" vertical="center"/>
      <protection/>
    </xf>
    <xf numFmtId="0" fontId="50" fillId="0" borderId="39" xfId="0" applyNumberFormat="1" applyFont="1" applyFill="1" applyBorder="1" applyAlignment="1" applyProtection="1">
      <alignment horizontal="left" vertical="center"/>
      <protection/>
    </xf>
    <xf numFmtId="0" fontId="50" fillId="0" borderId="23" xfId="0" applyNumberFormat="1" applyFont="1" applyFill="1" applyBorder="1" applyAlignment="1" applyProtection="1">
      <alignment horizontal="left" vertical="center"/>
      <protection/>
    </xf>
    <xf numFmtId="0" fontId="50" fillId="0" borderId="40" xfId="0" applyNumberFormat="1" applyFont="1" applyFill="1" applyBorder="1" applyAlignment="1" applyProtection="1">
      <alignment horizontal="left" vertical="center"/>
      <protection/>
    </xf>
    <xf numFmtId="0" fontId="50" fillId="0" borderId="41" xfId="0" applyNumberFormat="1" applyFont="1" applyFill="1" applyBorder="1" applyAlignment="1" applyProtection="1">
      <alignment horizontal="left" vertical="center"/>
      <protection/>
    </xf>
    <xf numFmtId="0" fontId="50" fillId="0" borderId="42" xfId="0" applyNumberFormat="1" applyFont="1" applyFill="1" applyBorder="1" applyAlignment="1" applyProtection="1">
      <alignment horizontal="left" vertical="center"/>
      <protection/>
    </xf>
    <xf numFmtId="0" fontId="50" fillId="0" borderId="43" xfId="0" applyNumberFormat="1" applyFont="1" applyFill="1" applyBorder="1" applyAlignment="1" applyProtection="1">
      <alignment horizontal="left" vertical="center"/>
      <protection/>
    </xf>
    <xf numFmtId="0" fontId="50" fillId="0" borderId="27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2"/>
  <sheetViews>
    <sheetView tabSelected="1" showOutlineSymbols="0" zoomScalePageLayoutView="0" workbookViewId="0" topLeftCell="A1">
      <pane ySplit="11" topLeftCell="A12" activePane="bottomLeft" state="frozen"/>
      <selection pane="topLeft" activeCell="A572" sqref="A572:M572"/>
      <selection pane="bottomLeft" activeCell="A1" sqref="A1:M1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83.16015625" style="0" customWidth="1"/>
    <col min="5" max="6" width="14.16015625" style="0" customWidth="1"/>
    <col min="7" max="7" width="8" style="0" customWidth="1"/>
    <col min="8" max="8" width="15" style="0" customWidth="1"/>
    <col min="9" max="9" width="14" style="0" customWidth="1"/>
    <col min="10" max="12" width="18.33203125" style="0" customWidth="1"/>
    <col min="13" max="13" width="15.66015625" style="0" customWidth="1"/>
    <col min="14" max="24" width="14.16015625" style="0" customWidth="1"/>
    <col min="25" max="74" width="14.16015625" style="0" hidden="1" customWidth="1"/>
  </cols>
  <sheetData>
    <row r="1" spans="1:47" ht="54.75" customHeight="1">
      <c r="A1" s="54" t="s">
        <v>1092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AS1" s="23">
        <f>SUM(AJ1:AJ2)</f>
        <v>0</v>
      </c>
      <c r="AT1" s="23">
        <f>SUM(AK1:AK2)</f>
        <v>0</v>
      </c>
      <c r="AU1" s="23">
        <f>SUM(AL1:AL2)</f>
        <v>0</v>
      </c>
    </row>
    <row r="2" spans="1:13" ht="15" customHeight="1">
      <c r="A2" s="55" t="s">
        <v>84</v>
      </c>
      <c r="B2" s="56"/>
      <c r="C2" s="62" t="s">
        <v>588</v>
      </c>
      <c r="D2" s="63"/>
      <c r="E2" s="56" t="s">
        <v>8</v>
      </c>
      <c r="F2" s="56"/>
      <c r="G2" s="56" t="s">
        <v>1110</v>
      </c>
      <c r="H2" s="56"/>
      <c r="I2" s="60" t="s">
        <v>1018</v>
      </c>
      <c r="J2" s="60" t="s">
        <v>847</v>
      </c>
      <c r="K2" s="56"/>
      <c r="L2" s="56"/>
      <c r="M2" s="65"/>
    </row>
    <row r="3" spans="1:13" ht="15" customHeight="1">
      <c r="A3" s="57"/>
      <c r="B3" s="58"/>
      <c r="C3" s="64"/>
      <c r="D3" s="64"/>
      <c r="E3" s="58"/>
      <c r="F3" s="58"/>
      <c r="G3" s="58"/>
      <c r="H3" s="58"/>
      <c r="I3" s="58"/>
      <c r="J3" s="58"/>
      <c r="K3" s="58"/>
      <c r="L3" s="58"/>
      <c r="M3" s="66"/>
    </row>
    <row r="4" spans="1:13" ht="15" customHeight="1">
      <c r="A4" s="59" t="s">
        <v>670</v>
      </c>
      <c r="B4" s="58"/>
      <c r="C4" s="61" t="s">
        <v>1110</v>
      </c>
      <c r="D4" s="58"/>
      <c r="E4" s="58" t="s">
        <v>1070</v>
      </c>
      <c r="F4" s="58"/>
      <c r="G4" s="58" t="s">
        <v>1110</v>
      </c>
      <c r="H4" s="58"/>
      <c r="I4" s="61" t="s">
        <v>839</v>
      </c>
      <c r="J4" s="61" t="s">
        <v>1267</v>
      </c>
      <c r="K4" s="58"/>
      <c r="L4" s="58"/>
      <c r="M4" s="66"/>
    </row>
    <row r="5" spans="1:13" ht="1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66"/>
    </row>
    <row r="6" spans="1:13" ht="15" customHeight="1">
      <c r="A6" s="59" t="s">
        <v>106</v>
      </c>
      <c r="B6" s="58"/>
      <c r="C6" s="61" t="s">
        <v>365</v>
      </c>
      <c r="D6" s="58"/>
      <c r="E6" s="58" t="s">
        <v>416</v>
      </c>
      <c r="F6" s="58"/>
      <c r="G6" s="58" t="s">
        <v>1110</v>
      </c>
      <c r="H6" s="58"/>
      <c r="I6" s="61" t="s">
        <v>1056</v>
      </c>
      <c r="J6" s="61" t="s">
        <v>817</v>
      </c>
      <c r="K6" s="58"/>
      <c r="L6" s="58"/>
      <c r="M6" s="66"/>
    </row>
    <row r="7" spans="1:13" ht="1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66"/>
    </row>
    <row r="8" spans="1:13" ht="15" customHeight="1">
      <c r="A8" s="59" t="s">
        <v>608</v>
      </c>
      <c r="B8" s="58"/>
      <c r="C8" s="61" t="s">
        <v>1110</v>
      </c>
      <c r="D8" s="58"/>
      <c r="E8" s="58" t="s">
        <v>687</v>
      </c>
      <c r="F8" s="58"/>
      <c r="G8" s="58" t="s">
        <v>1272</v>
      </c>
      <c r="H8" s="58"/>
      <c r="I8" s="61" t="s">
        <v>805</v>
      </c>
      <c r="J8" s="58" t="s">
        <v>590</v>
      </c>
      <c r="K8" s="58"/>
      <c r="L8" s="58"/>
      <c r="M8" s="66"/>
    </row>
    <row r="9" spans="1:13" ht="15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6"/>
    </row>
    <row r="10" spans="1:64" ht="15" customHeight="1">
      <c r="A10" s="33" t="s">
        <v>92</v>
      </c>
      <c r="B10" s="1" t="s">
        <v>424</v>
      </c>
      <c r="C10" s="67" t="s">
        <v>843</v>
      </c>
      <c r="D10" s="67"/>
      <c r="E10" s="67"/>
      <c r="F10" s="68"/>
      <c r="G10" s="1" t="s">
        <v>450</v>
      </c>
      <c r="H10" s="9" t="s">
        <v>734</v>
      </c>
      <c r="I10" s="29" t="s">
        <v>414</v>
      </c>
      <c r="J10" s="71" t="s">
        <v>779</v>
      </c>
      <c r="K10" s="72"/>
      <c r="L10" s="73"/>
      <c r="M10" s="9" t="s">
        <v>350</v>
      </c>
      <c r="BK10" s="19" t="s">
        <v>508</v>
      </c>
      <c r="BL10" s="8" t="s">
        <v>648</v>
      </c>
    </row>
    <row r="11" spans="1:62" ht="15" customHeight="1">
      <c r="A11" s="25" t="s">
        <v>1110</v>
      </c>
      <c r="B11" s="12" t="s">
        <v>1110</v>
      </c>
      <c r="C11" s="69" t="s">
        <v>1218</v>
      </c>
      <c r="D11" s="69"/>
      <c r="E11" s="69"/>
      <c r="F11" s="70"/>
      <c r="G11" s="12" t="s">
        <v>1110</v>
      </c>
      <c r="H11" s="12" t="s">
        <v>1110</v>
      </c>
      <c r="I11" s="42" t="s">
        <v>1142</v>
      </c>
      <c r="J11" s="52" t="s">
        <v>60</v>
      </c>
      <c r="K11" s="35" t="s">
        <v>252</v>
      </c>
      <c r="L11" s="5" t="s">
        <v>125</v>
      </c>
      <c r="M11" s="35" t="s">
        <v>328</v>
      </c>
      <c r="Z11" s="19" t="s">
        <v>946</v>
      </c>
      <c r="AA11" s="19" t="s">
        <v>754</v>
      </c>
      <c r="AB11" s="19" t="s">
        <v>1253</v>
      </c>
      <c r="AC11" s="19" t="s">
        <v>375</v>
      </c>
      <c r="AD11" s="19" t="s">
        <v>1031</v>
      </c>
      <c r="AE11" s="19" t="s">
        <v>477</v>
      </c>
      <c r="AF11" s="19" t="s">
        <v>1085</v>
      </c>
      <c r="AG11" s="19" t="s">
        <v>544</v>
      </c>
      <c r="AH11" s="19" t="s">
        <v>337</v>
      </c>
      <c r="BH11" s="19" t="s">
        <v>947</v>
      </c>
      <c r="BI11" s="19" t="s">
        <v>1229</v>
      </c>
      <c r="BJ11" s="19" t="s">
        <v>1325</v>
      </c>
    </row>
    <row r="12" spans="1:13" ht="15" customHeight="1">
      <c r="A12" s="18" t="s">
        <v>844</v>
      </c>
      <c r="B12" s="27" t="s">
        <v>844</v>
      </c>
      <c r="C12" s="74" t="s">
        <v>95</v>
      </c>
      <c r="D12" s="74"/>
      <c r="E12" s="74"/>
      <c r="F12" s="74"/>
      <c r="G12" s="24" t="s">
        <v>1110</v>
      </c>
      <c r="H12" s="24" t="s">
        <v>1110</v>
      </c>
      <c r="I12" s="24" t="s">
        <v>1110</v>
      </c>
      <c r="J12" s="6">
        <f>J13+J15+J17+J22+J25+J27+J29+J34+J54+J56+J79+J99+J103+J128+J131+J134+J137+J141+J153+J162+J167+J180+J182+J186+J192+J195+J197+J212+J227+J250+J289+J300+J306+J316+J319+J328+J331+J334+J359+J377+J381+J418+J424+J435+J440+J455+J460+J468+J470</f>
        <v>0</v>
      </c>
      <c r="K12" s="6">
        <f>K13+K15+K17+K22+K25+K27+K29+K34+K54+K56+K79+K99+K103+K128+K131+K134+K137+K141+K153+K162+K167+K180+K182+K186+K192+K195+K197+K212+K227+K250+K289+K300+K306+K316+K319+K328+K331+K334+K359+K377+K381+K418+K424+K435+K440+K455+K460+K468+K470</f>
        <v>0</v>
      </c>
      <c r="L12" s="6">
        <f>L13+L15+L17+L22+L25+L27+L29+L34+L54+L56+L79+L99+L103+L128+L131+L134+L137+L141+L153+L162+L167+L180+L182+L186+L192+L195+L197+L212+L227+L250+L289+L300+L306+L316+L319+L328+L331+L334+L359+L377+L381+L418+L424+L435+L440+L455+L460+L468+L470</f>
        <v>0</v>
      </c>
      <c r="M12" s="20" t="s">
        <v>844</v>
      </c>
    </row>
    <row r="13" spans="1:47" ht="15" customHeight="1">
      <c r="A13" s="48" t="s">
        <v>844</v>
      </c>
      <c r="B13" s="17" t="s">
        <v>1009</v>
      </c>
      <c r="C13" s="74" t="s">
        <v>671</v>
      </c>
      <c r="D13" s="74"/>
      <c r="E13" s="74"/>
      <c r="F13" s="74"/>
      <c r="G13" s="40" t="s">
        <v>1110</v>
      </c>
      <c r="H13" s="40" t="s">
        <v>1110</v>
      </c>
      <c r="I13" s="40" t="s">
        <v>1110</v>
      </c>
      <c r="J13" s="23">
        <f>SUM(J14:J14)</f>
        <v>0</v>
      </c>
      <c r="K13" s="23">
        <f>SUM(K14:K14)</f>
        <v>0</v>
      </c>
      <c r="L13" s="23">
        <f>SUM(L14:L14)</f>
        <v>0</v>
      </c>
      <c r="M13" s="37" t="s">
        <v>844</v>
      </c>
      <c r="AI13" s="19" t="s">
        <v>255</v>
      </c>
      <c r="AS13" s="23">
        <f>SUM(AJ14:AJ14)</f>
        <v>0</v>
      </c>
      <c r="AT13" s="23">
        <f>SUM(AK14:AK14)</f>
        <v>0</v>
      </c>
      <c r="AU13" s="23">
        <f>SUM(AL14:AL14)</f>
        <v>0</v>
      </c>
    </row>
    <row r="14" spans="1:64" ht="15" customHeight="1">
      <c r="A14" s="15" t="s">
        <v>1205</v>
      </c>
      <c r="B14" s="14" t="s">
        <v>479</v>
      </c>
      <c r="C14" s="58" t="s">
        <v>927</v>
      </c>
      <c r="D14" s="58"/>
      <c r="E14" s="58"/>
      <c r="F14" s="58"/>
      <c r="G14" s="14" t="s">
        <v>933</v>
      </c>
      <c r="H14" s="2">
        <v>1</v>
      </c>
      <c r="I14" s="2">
        <v>0</v>
      </c>
      <c r="J14" s="2">
        <f>H14*AO14</f>
        <v>0</v>
      </c>
      <c r="K14" s="2">
        <f>H14*AP14</f>
        <v>0</v>
      </c>
      <c r="L14" s="2">
        <f>H14*I14</f>
        <v>0</v>
      </c>
      <c r="M14" s="7" t="s">
        <v>844</v>
      </c>
      <c r="Z14" s="2">
        <f>IF(AQ14="5",BJ14,0)</f>
        <v>0</v>
      </c>
      <c r="AB14" s="2">
        <f>IF(AQ14="1",BH14,0)</f>
        <v>0</v>
      </c>
      <c r="AC14" s="2">
        <f>IF(AQ14="1",BI14,0)</f>
        <v>0</v>
      </c>
      <c r="AD14" s="2">
        <f>IF(AQ14="7",BH14,0)</f>
        <v>0</v>
      </c>
      <c r="AE14" s="2">
        <f>IF(AQ14="7",BI14,0)</f>
        <v>0</v>
      </c>
      <c r="AF14" s="2">
        <f>IF(AQ14="2",BH14,0)</f>
        <v>0</v>
      </c>
      <c r="AG14" s="2">
        <f>IF(AQ14="2",BI14,0)</f>
        <v>0</v>
      </c>
      <c r="AH14" s="2">
        <f>IF(AQ14="0",BJ14,0)</f>
        <v>0</v>
      </c>
      <c r="AI14" s="19" t="s">
        <v>255</v>
      </c>
      <c r="AJ14" s="2">
        <f>IF(AN14=0,L14,0)</f>
        <v>0</v>
      </c>
      <c r="AK14" s="2">
        <f>IF(AN14=15,L14,0)</f>
        <v>0</v>
      </c>
      <c r="AL14" s="2">
        <f>IF(AN14=21,L14,0)</f>
        <v>0</v>
      </c>
      <c r="AN14" s="2">
        <v>15</v>
      </c>
      <c r="AO14" s="2">
        <f>I14*0</f>
        <v>0</v>
      </c>
      <c r="AP14" s="2">
        <f>I14*(1-0)</f>
        <v>0</v>
      </c>
      <c r="AQ14" s="43" t="s">
        <v>1205</v>
      </c>
      <c r="AV14" s="2">
        <f>AW14+AX14</f>
        <v>0</v>
      </c>
      <c r="AW14" s="2">
        <f>H14*AO14</f>
        <v>0</v>
      </c>
      <c r="AX14" s="2">
        <f>H14*AP14</f>
        <v>0</v>
      </c>
      <c r="AY14" s="43" t="s">
        <v>141</v>
      </c>
      <c r="AZ14" s="43" t="s">
        <v>480</v>
      </c>
      <c r="BA14" s="19" t="s">
        <v>1155</v>
      </c>
      <c r="BC14" s="2">
        <f>AW14+AX14</f>
        <v>0</v>
      </c>
      <c r="BD14" s="2">
        <f>I14/(100-BE14)*100</f>
        <v>0</v>
      </c>
      <c r="BE14" s="2">
        <v>0</v>
      </c>
      <c r="BF14" s="2">
        <f>14</f>
        <v>14</v>
      </c>
      <c r="BH14" s="2">
        <f>H14*AO14</f>
        <v>0</v>
      </c>
      <c r="BI14" s="2">
        <f>H14*AP14</f>
        <v>0</v>
      </c>
      <c r="BJ14" s="2">
        <f>H14*I14</f>
        <v>0</v>
      </c>
      <c r="BK14" s="2"/>
      <c r="BL14" s="2">
        <v>11</v>
      </c>
    </row>
    <row r="15" spans="1:47" ht="15" customHeight="1">
      <c r="A15" s="48" t="s">
        <v>844</v>
      </c>
      <c r="B15" s="17" t="s">
        <v>891</v>
      </c>
      <c r="C15" s="74" t="s">
        <v>321</v>
      </c>
      <c r="D15" s="74"/>
      <c r="E15" s="74"/>
      <c r="F15" s="74"/>
      <c r="G15" s="40" t="s">
        <v>1110</v>
      </c>
      <c r="H15" s="40" t="s">
        <v>1110</v>
      </c>
      <c r="I15" s="40" t="s">
        <v>1110</v>
      </c>
      <c r="J15" s="23">
        <f>SUM(J16:J16)</f>
        <v>0</v>
      </c>
      <c r="K15" s="23">
        <f>SUM(K16:K16)</f>
        <v>0</v>
      </c>
      <c r="L15" s="23">
        <f>SUM(L16:L16)</f>
        <v>0</v>
      </c>
      <c r="M15" s="37" t="s">
        <v>844</v>
      </c>
      <c r="AI15" s="19" t="s">
        <v>255</v>
      </c>
      <c r="AS15" s="23">
        <f>SUM(AJ16:AJ16)</f>
        <v>0</v>
      </c>
      <c r="AT15" s="23">
        <f>SUM(AK16:AK16)</f>
        <v>0</v>
      </c>
      <c r="AU15" s="23">
        <f>SUM(AL16:AL16)</f>
        <v>0</v>
      </c>
    </row>
    <row r="16" spans="1:64" ht="15" customHeight="1">
      <c r="A16" s="15" t="s">
        <v>838</v>
      </c>
      <c r="B16" s="14" t="s">
        <v>1090</v>
      </c>
      <c r="C16" s="58" t="s">
        <v>331</v>
      </c>
      <c r="D16" s="58"/>
      <c r="E16" s="58"/>
      <c r="F16" s="58"/>
      <c r="G16" s="14" t="s">
        <v>1165</v>
      </c>
      <c r="H16" s="2">
        <v>58.087</v>
      </c>
      <c r="I16" s="2">
        <v>0</v>
      </c>
      <c r="J16" s="2">
        <f>H16*AO16</f>
        <v>0</v>
      </c>
      <c r="K16" s="2">
        <f>H16*AP16</f>
        <v>0</v>
      </c>
      <c r="L16" s="2">
        <f>H16*I16</f>
        <v>0</v>
      </c>
      <c r="M16" s="7" t="s">
        <v>831</v>
      </c>
      <c r="Z16" s="2">
        <f>IF(AQ16="5",BJ16,0)</f>
        <v>0</v>
      </c>
      <c r="AB16" s="2">
        <f>IF(AQ16="1",BH16,0)</f>
        <v>0</v>
      </c>
      <c r="AC16" s="2">
        <f>IF(AQ16="1",BI16,0)</f>
        <v>0</v>
      </c>
      <c r="AD16" s="2">
        <f>IF(AQ16="7",BH16,0)</f>
        <v>0</v>
      </c>
      <c r="AE16" s="2">
        <f>IF(AQ16="7",BI16,0)</f>
        <v>0</v>
      </c>
      <c r="AF16" s="2">
        <f>IF(AQ16="2",BH16,0)</f>
        <v>0</v>
      </c>
      <c r="AG16" s="2">
        <f>IF(AQ16="2",BI16,0)</f>
        <v>0</v>
      </c>
      <c r="AH16" s="2">
        <f>IF(AQ16="0",BJ16,0)</f>
        <v>0</v>
      </c>
      <c r="AI16" s="19" t="s">
        <v>255</v>
      </c>
      <c r="AJ16" s="2">
        <f>IF(AN16=0,L16,0)</f>
        <v>0</v>
      </c>
      <c r="AK16" s="2">
        <f>IF(AN16=15,L16,0)</f>
        <v>0</v>
      </c>
      <c r="AL16" s="2">
        <f>IF(AN16=21,L16,0)</f>
        <v>0</v>
      </c>
      <c r="AN16" s="2">
        <v>15</v>
      </c>
      <c r="AO16" s="2">
        <f>I16*0</f>
        <v>0</v>
      </c>
      <c r="AP16" s="2">
        <f>I16*(1-0)</f>
        <v>0</v>
      </c>
      <c r="AQ16" s="43" t="s">
        <v>1205</v>
      </c>
      <c r="AV16" s="2">
        <f>AW16+AX16</f>
        <v>0</v>
      </c>
      <c r="AW16" s="2">
        <f>H16*AO16</f>
        <v>0</v>
      </c>
      <c r="AX16" s="2">
        <f>H16*AP16</f>
        <v>0</v>
      </c>
      <c r="AY16" s="43" t="s">
        <v>632</v>
      </c>
      <c r="AZ16" s="43" t="s">
        <v>480</v>
      </c>
      <c r="BA16" s="19" t="s">
        <v>1155</v>
      </c>
      <c r="BC16" s="2">
        <f>AW16+AX16</f>
        <v>0</v>
      </c>
      <c r="BD16" s="2">
        <f>I16/(100-BE16)*100</f>
        <v>0</v>
      </c>
      <c r="BE16" s="2">
        <v>0</v>
      </c>
      <c r="BF16" s="2">
        <f>16</f>
        <v>16</v>
      </c>
      <c r="BH16" s="2">
        <f>H16*AO16</f>
        <v>0</v>
      </c>
      <c r="BI16" s="2">
        <f>H16*AP16</f>
        <v>0</v>
      </c>
      <c r="BJ16" s="2">
        <f>H16*I16</f>
        <v>0</v>
      </c>
      <c r="BK16" s="2"/>
      <c r="BL16" s="2">
        <v>12</v>
      </c>
    </row>
    <row r="17" spans="1:47" ht="15" customHeight="1">
      <c r="A17" s="48" t="s">
        <v>844</v>
      </c>
      <c r="B17" s="17" t="s">
        <v>388</v>
      </c>
      <c r="C17" s="74" t="s">
        <v>9</v>
      </c>
      <c r="D17" s="74"/>
      <c r="E17" s="74"/>
      <c r="F17" s="74"/>
      <c r="G17" s="40" t="s">
        <v>1110</v>
      </c>
      <c r="H17" s="40" t="s">
        <v>1110</v>
      </c>
      <c r="I17" s="40" t="s">
        <v>1110</v>
      </c>
      <c r="J17" s="23">
        <f>SUM(J18:J21)</f>
        <v>0</v>
      </c>
      <c r="K17" s="23">
        <f>SUM(K18:K21)</f>
        <v>0</v>
      </c>
      <c r="L17" s="23">
        <f>SUM(L18:L21)</f>
        <v>0</v>
      </c>
      <c r="M17" s="37" t="s">
        <v>844</v>
      </c>
      <c r="AI17" s="19" t="s">
        <v>255</v>
      </c>
      <c r="AS17" s="23">
        <f>SUM(AJ18:AJ21)</f>
        <v>0</v>
      </c>
      <c r="AT17" s="23">
        <f>SUM(AK18:AK21)</f>
        <v>0</v>
      </c>
      <c r="AU17" s="23">
        <f>SUM(AL18:AL21)</f>
        <v>0</v>
      </c>
    </row>
    <row r="18" spans="1:64" ht="15" customHeight="1">
      <c r="A18" s="15" t="s">
        <v>1043</v>
      </c>
      <c r="B18" s="14" t="s">
        <v>115</v>
      </c>
      <c r="C18" s="58" t="s">
        <v>359</v>
      </c>
      <c r="D18" s="58"/>
      <c r="E18" s="58"/>
      <c r="F18" s="58"/>
      <c r="G18" s="14" t="s">
        <v>1165</v>
      </c>
      <c r="H18" s="2">
        <v>26.687</v>
      </c>
      <c r="I18" s="2">
        <v>0</v>
      </c>
      <c r="J18" s="2">
        <f>H18*AO18</f>
        <v>0</v>
      </c>
      <c r="K18" s="2">
        <f>H18*AP18</f>
        <v>0</v>
      </c>
      <c r="L18" s="2">
        <f>H18*I18</f>
        <v>0</v>
      </c>
      <c r="M18" s="7" t="s">
        <v>831</v>
      </c>
      <c r="Z18" s="2">
        <f>IF(AQ18="5",BJ18,0)</f>
        <v>0</v>
      </c>
      <c r="AB18" s="2">
        <f>IF(AQ18="1",BH18,0)</f>
        <v>0</v>
      </c>
      <c r="AC18" s="2">
        <f>IF(AQ18="1",BI18,0)</f>
        <v>0</v>
      </c>
      <c r="AD18" s="2">
        <f>IF(AQ18="7",BH18,0)</f>
        <v>0</v>
      </c>
      <c r="AE18" s="2">
        <f>IF(AQ18="7",BI18,0)</f>
        <v>0</v>
      </c>
      <c r="AF18" s="2">
        <f>IF(AQ18="2",BH18,0)</f>
        <v>0</v>
      </c>
      <c r="AG18" s="2">
        <f>IF(AQ18="2",BI18,0)</f>
        <v>0</v>
      </c>
      <c r="AH18" s="2">
        <f>IF(AQ18="0",BJ18,0)</f>
        <v>0</v>
      </c>
      <c r="AI18" s="19" t="s">
        <v>255</v>
      </c>
      <c r="AJ18" s="2">
        <f>IF(AN18=0,L18,0)</f>
        <v>0</v>
      </c>
      <c r="AK18" s="2">
        <f>IF(AN18=15,L18,0)</f>
        <v>0</v>
      </c>
      <c r="AL18" s="2">
        <f>IF(AN18=21,L18,0)</f>
        <v>0</v>
      </c>
      <c r="AN18" s="2">
        <v>15</v>
      </c>
      <c r="AO18" s="2">
        <f>I18*0</f>
        <v>0</v>
      </c>
      <c r="AP18" s="2">
        <f>I18*(1-0)</f>
        <v>0</v>
      </c>
      <c r="AQ18" s="43" t="s">
        <v>1205</v>
      </c>
      <c r="AV18" s="2">
        <f>AW18+AX18</f>
        <v>0</v>
      </c>
      <c r="AW18" s="2">
        <f>H18*AO18</f>
        <v>0</v>
      </c>
      <c r="AX18" s="2">
        <f>H18*AP18</f>
        <v>0</v>
      </c>
      <c r="AY18" s="43" t="s">
        <v>1088</v>
      </c>
      <c r="AZ18" s="43" t="s">
        <v>480</v>
      </c>
      <c r="BA18" s="19" t="s">
        <v>1155</v>
      </c>
      <c r="BC18" s="2">
        <f>AW18+AX18</f>
        <v>0</v>
      </c>
      <c r="BD18" s="2">
        <f>I18/(100-BE18)*100</f>
        <v>0</v>
      </c>
      <c r="BE18" s="2">
        <v>0</v>
      </c>
      <c r="BF18" s="2">
        <f>18</f>
        <v>18</v>
      </c>
      <c r="BH18" s="2">
        <f>H18*AO18</f>
        <v>0</v>
      </c>
      <c r="BI18" s="2">
        <f>H18*AP18</f>
        <v>0</v>
      </c>
      <c r="BJ18" s="2">
        <f>H18*I18</f>
        <v>0</v>
      </c>
      <c r="BK18" s="2"/>
      <c r="BL18" s="2">
        <v>13</v>
      </c>
    </row>
    <row r="19" spans="1:64" ht="15" customHeight="1">
      <c r="A19" s="15" t="s">
        <v>145</v>
      </c>
      <c r="B19" s="14" t="s">
        <v>609</v>
      </c>
      <c r="C19" s="58" t="s">
        <v>625</v>
      </c>
      <c r="D19" s="58"/>
      <c r="E19" s="58"/>
      <c r="F19" s="58"/>
      <c r="G19" s="14" t="s">
        <v>1165</v>
      </c>
      <c r="H19" s="2">
        <v>26.687</v>
      </c>
      <c r="I19" s="2">
        <v>0</v>
      </c>
      <c r="J19" s="2">
        <f>H19*AO19</f>
        <v>0</v>
      </c>
      <c r="K19" s="2">
        <f>H19*AP19</f>
        <v>0</v>
      </c>
      <c r="L19" s="2">
        <f>H19*I19</f>
        <v>0</v>
      </c>
      <c r="M19" s="7" t="s">
        <v>831</v>
      </c>
      <c r="Z19" s="2">
        <f>IF(AQ19="5",BJ19,0)</f>
        <v>0</v>
      </c>
      <c r="AB19" s="2">
        <f>IF(AQ19="1",BH19,0)</f>
        <v>0</v>
      </c>
      <c r="AC19" s="2">
        <f>IF(AQ19="1",BI19,0)</f>
        <v>0</v>
      </c>
      <c r="AD19" s="2">
        <f>IF(AQ19="7",BH19,0)</f>
        <v>0</v>
      </c>
      <c r="AE19" s="2">
        <f>IF(AQ19="7",BI19,0)</f>
        <v>0</v>
      </c>
      <c r="AF19" s="2">
        <f>IF(AQ19="2",BH19,0)</f>
        <v>0</v>
      </c>
      <c r="AG19" s="2">
        <f>IF(AQ19="2",BI19,0)</f>
        <v>0</v>
      </c>
      <c r="AH19" s="2">
        <f>IF(AQ19="0",BJ19,0)</f>
        <v>0</v>
      </c>
      <c r="AI19" s="19" t="s">
        <v>255</v>
      </c>
      <c r="AJ19" s="2">
        <f>IF(AN19=0,L19,0)</f>
        <v>0</v>
      </c>
      <c r="AK19" s="2">
        <f>IF(AN19=15,L19,0)</f>
        <v>0</v>
      </c>
      <c r="AL19" s="2">
        <f>IF(AN19=21,L19,0)</f>
        <v>0</v>
      </c>
      <c r="AN19" s="2">
        <v>15</v>
      </c>
      <c r="AO19" s="2">
        <f>I19*0</f>
        <v>0</v>
      </c>
      <c r="AP19" s="2">
        <f>I19*(1-0)</f>
        <v>0</v>
      </c>
      <c r="AQ19" s="43" t="s">
        <v>1205</v>
      </c>
      <c r="AV19" s="2">
        <f>AW19+AX19</f>
        <v>0</v>
      </c>
      <c r="AW19" s="2">
        <f>H19*AO19</f>
        <v>0</v>
      </c>
      <c r="AX19" s="2">
        <f>H19*AP19</f>
        <v>0</v>
      </c>
      <c r="AY19" s="43" t="s">
        <v>1088</v>
      </c>
      <c r="AZ19" s="43" t="s">
        <v>480</v>
      </c>
      <c r="BA19" s="19" t="s">
        <v>1155</v>
      </c>
      <c r="BC19" s="2">
        <f>AW19+AX19</f>
        <v>0</v>
      </c>
      <c r="BD19" s="2">
        <f>I19/(100-BE19)*100</f>
        <v>0</v>
      </c>
      <c r="BE19" s="2">
        <v>0</v>
      </c>
      <c r="BF19" s="2">
        <f>19</f>
        <v>19</v>
      </c>
      <c r="BH19" s="2">
        <f>H19*AO19</f>
        <v>0</v>
      </c>
      <c r="BI19" s="2">
        <f>H19*AP19</f>
        <v>0</v>
      </c>
      <c r="BJ19" s="2">
        <f>H19*I19</f>
        <v>0</v>
      </c>
      <c r="BK19" s="2"/>
      <c r="BL19" s="2">
        <v>13</v>
      </c>
    </row>
    <row r="20" spans="1:64" ht="15" customHeight="1">
      <c r="A20" s="15" t="s">
        <v>655</v>
      </c>
      <c r="B20" s="14" t="s">
        <v>308</v>
      </c>
      <c r="C20" s="58" t="s">
        <v>128</v>
      </c>
      <c r="D20" s="58"/>
      <c r="E20" s="58"/>
      <c r="F20" s="58"/>
      <c r="G20" s="14" t="s">
        <v>1165</v>
      </c>
      <c r="H20" s="2">
        <v>5.918</v>
      </c>
      <c r="I20" s="2">
        <v>0</v>
      </c>
      <c r="J20" s="2">
        <f>H20*AO20</f>
        <v>0</v>
      </c>
      <c r="K20" s="2">
        <f>H20*AP20</f>
        <v>0</v>
      </c>
      <c r="L20" s="2">
        <f>H20*I20</f>
        <v>0</v>
      </c>
      <c r="M20" s="7" t="s">
        <v>831</v>
      </c>
      <c r="Z20" s="2">
        <f>IF(AQ20="5",BJ20,0)</f>
        <v>0</v>
      </c>
      <c r="AB20" s="2">
        <f>IF(AQ20="1",BH20,0)</f>
        <v>0</v>
      </c>
      <c r="AC20" s="2">
        <f>IF(AQ20="1",BI20,0)</f>
        <v>0</v>
      </c>
      <c r="AD20" s="2">
        <f>IF(AQ20="7",BH20,0)</f>
        <v>0</v>
      </c>
      <c r="AE20" s="2">
        <f>IF(AQ20="7",BI20,0)</f>
        <v>0</v>
      </c>
      <c r="AF20" s="2">
        <f>IF(AQ20="2",BH20,0)</f>
        <v>0</v>
      </c>
      <c r="AG20" s="2">
        <f>IF(AQ20="2",BI20,0)</f>
        <v>0</v>
      </c>
      <c r="AH20" s="2">
        <f>IF(AQ20="0",BJ20,0)</f>
        <v>0</v>
      </c>
      <c r="AI20" s="19" t="s">
        <v>255</v>
      </c>
      <c r="AJ20" s="2">
        <f>IF(AN20=0,L20,0)</f>
        <v>0</v>
      </c>
      <c r="AK20" s="2">
        <f>IF(AN20=15,L20,0)</f>
        <v>0</v>
      </c>
      <c r="AL20" s="2">
        <f>IF(AN20=21,L20,0)</f>
        <v>0</v>
      </c>
      <c r="AN20" s="2">
        <v>15</v>
      </c>
      <c r="AO20" s="2">
        <f>I20*0</f>
        <v>0</v>
      </c>
      <c r="AP20" s="2">
        <f>I20*(1-0)</f>
        <v>0</v>
      </c>
      <c r="AQ20" s="43" t="s">
        <v>1205</v>
      </c>
      <c r="AV20" s="2">
        <f>AW20+AX20</f>
        <v>0</v>
      </c>
      <c r="AW20" s="2">
        <f>H20*AO20</f>
        <v>0</v>
      </c>
      <c r="AX20" s="2">
        <f>H20*AP20</f>
        <v>0</v>
      </c>
      <c r="AY20" s="43" t="s">
        <v>1088</v>
      </c>
      <c r="AZ20" s="43" t="s">
        <v>480</v>
      </c>
      <c r="BA20" s="19" t="s">
        <v>1155</v>
      </c>
      <c r="BC20" s="2">
        <f>AW20+AX20</f>
        <v>0</v>
      </c>
      <c r="BD20" s="2">
        <f>I20/(100-BE20)*100</f>
        <v>0</v>
      </c>
      <c r="BE20" s="2">
        <v>0</v>
      </c>
      <c r="BF20" s="2">
        <f>20</f>
        <v>20</v>
      </c>
      <c r="BH20" s="2">
        <f>H20*AO20</f>
        <v>0</v>
      </c>
      <c r="BI20" s="2">
        <f>H20*AP20</f>
        <v>0</v>
      </c>
      <c r="BJ20" s="2">
        <f>H20*I20</f>
        <v>0</v>
      </c>
      <c r="BK20" s="2"/>
      <c r="BL20" s="2">
        <v>13</v>
      </c>
    </row>
    <row r="21" spans="1:64" ht="15" customHeight="1">
      <c r="A21" s="15" t="s">
        <v>218</v>
      </c>
      <c r="B21" s="14" t="s">
        <v>880</v>
      </c>
      <c r="C21" s="58" t="s">
        <v>97</v>
      </c>
      <c r="D21" s="58"/>
      <c r="E21" s="58"/>
      <c r="F21" s="58"/>
      <c r="G21" s="14" t="s">
        <v>1165</v>
      </c>
      <c r="H21" s="2">
        <v>5.918</v>
      </c>
      <c r="I21" s="2">
        <v>0</v>
      </c>
      <c r="J21" s="2">
        <f>H21*AO21</f>
        <v>0</v>
      </c>
      <c r="K21" s="2">
        <f>H21*AP21</f>
        <v>0</v>
      </c>
      <c r="L21" s="2">
        <f>H21*I21</f>
        <v>0</v>
      </c>
      <c r="M21" s="7" t="s">
        <v>831</v>
      </c>
      <c r="Z21" s="2">
        <f>IF(AQ21="5",BJ21,0)</f>
        <v>0</v>
      </c>
      <c r="AB21" s="2">
        <f>IF(AQ21="1",BH21,0)</f>
        <v>0</v>
      </c>
      <c r="AC21" s="2">
        <f>IF(AQ21="1",BI21,0)</f>
        <v>0</v>
      </c>
      <c r="AD21" s="2">
        <f>IF(AQ21="7",BH21,0)</f>
        <v>0</v>
      </c>
      <c r="AE21" s="2">
        <f>IF(AQ21="7",BI21,0)</f>
        <v>0</v>
      </c>
      <c r="AF21" s="2">
        <f>IF(AQ21="2",BH21,0)</f>
        <v>0</v>
      </c>
      <c r="AG21" s="2">
        <f>IF(AQ21="2",BI21,0)</f>
        <v>0</v>
      </c>
      <c r="AH21" s="2">
        <f>IF(AQ21="0",BJ21,0)</f>
        <v>0</v>
      </c>
      <c r="AI21" s="19" t="s">
        <v>255</v>
      </c>
      <c r="AJ21" s="2">
        <f>IF(AN21=0,L21,0)</f>
        <v>0</v>
      </c>
      <c r="AK21" s="2">
        <f>IF(AN21=15,L21,0)</f>
        <v>0</v>
      </c>
      <c r="AL21" s="2">
        <f>IF(AN21=21,L21,0)</f>
        <v>0</v>
      </c>
      <c r="AN21" s="2">
        <v>15</v>
      </c>
      <c r="AO21" s="2">
        <f>I21*0</f>
        <v>0</v>
      </c>
      <c r="AP21" s="2">
        <f>I21*(1-0)</f>
        <v>0</v>
      </c>
      <c r="AQ21" s="43" t="s">
        <v>1205</v>
      </c>
      <c r="AV21" s="2">
        <f>AW21+AX21</f>
        <v>0</v>
      </c>
      <c r="AW21" s="2">
        <f>H21*AO21</f>
        <v>0</v>
      </c>
      <c r="AX21" s="2">
        <f>H21*AP21</f>
        <v>0</v>
      </c>
      <c r="AY21" s="43" t="s">
        <v>1088</v>
      </c>
      <c r="AZ21" s="43" t="s">
        <v>480</v>
      </c>
      <c r="BA21" s="19" t="s">
        <v>1155</v>
      </c>
      <c r="BC21" s="2">
        <f>AW21+AX21</f>
        <v>0</v>
      </c>
      <c r="BD21" s="2">
        <f>I21/(100-BE21)*100</f>
        <v>0</v>
      </c>
      <c r="BE21" s="2">
        <v>0</v>
      </c>
      <c r="BF21" s="2">
        <f>21</f>
        <v>21</v>
      </c>
      <c r="BH21" s="2">
        <f>H21*AO21</f>
        <v>0</v>
      </c>
      <c r="BI21" s="2">
        <f>H21*AP21</f>
        <v>0</v>
      </c>
      <c r="BJ21" s="2">
        <f>H21*I21</f>
        <v>0</v>
      </c>
      <c r="BK21" s="2"/>
      <c r="BL21" s="2">
        <v>13</v>
      </c>
    </row>
    <row r="22" spans="1:47" ht="15" customHeight="1">
      <c r="A22" s="48" t="s">
        <v>844</v>
      </c>
      <c r="B22" s="17" t="s">
        <v>111</v>
      </c>
      <c r="C22" s="74" t="s">
        <v>1007</v>
      </c>
      <c r="D22" s="74"/>
      <c r="E22" s="74"/>
      <c r="F22" s="74"/>
      <c r="G22" s="40" t="s">
        <v>1110</v>
      </c>
      <c r="H22" s="40" t="s">
        <v>1110</v>
      </c>
      <c r="I22" s="40" t="s">
        <v>1110</v>
      </c>
      <c r="J22" s="23">
        <f>SUM(J23:J23)</f>
        <v>0</v>
      </c>
      <c r="K22" s="23">
        <f>SUM(K23:K23)</f>
        <v>0</v>
      </c>
      <c r="L22" s="23">
        <f>SUM(L23:L23)</f>
        <v>0</v>
      </c>
      <c r="M22" s="37" t="s">
        <v>844</v>
      </c>
      <c r="AI22" s="19" t="s">
        <v>255</v>
      </c>
      <c r="AS22" s="23">
        <f>SUM(AJ23:AJ23)</f>
        <v>0</v>
      </c>
      <c r="AT22" s="23">
        <f>SUM(AK23:AK23)</f>
        <v>0</v>
      </c>
      <c r="AU22" s="23">
        <f>SUM(AL23:AL23)</f>
        <v>0</v>
      </c>
    </row>
    <row r="23" spans="1:64" ht="15" customHeight="1">
      <c r="A23" s="15" t="s">
        <v>1215</v>
      </c>
      <c r="B23" s="14" t="s">
        <v>1010</v>
      </c>
      <c r="C23" s="58" t="s">
        <v>309</v>
      </c>
      <c r="D23" s="58"/>
      <c r="E23" s="58"/>
      <c r="F23" s="58"/>
      <c r="G23" s="14" t="s">
        <v>1165</v>
      </c>
      <c r="H23" s="2">
        <v>32.605</v>
      </c>
      <c r="I23" s="2">
        <v>0</v>
      </c>
      <c r="J23" s="2">
        <f>H23*AO23</f>
        <v>0</v>
      </c>
      <c r="K23" s="2">
        <f>H23*AP23</f>
        <v>0</v>
      </c>
      <c r="L23" s="2">
        <f>H23*I23</f>
        <v>0</v>
      </c>
      <c r="M23" s="7" t="s">
        <v>831</v>
      </c>
      <c r="Z23" s="2">
        <f>IF(AQ23="5",BJ23,0)</f>
        <v>0</v>
      </c>
      <c r="AB23" s="2">
        <f>IF(AQ23="1",BH23,0)</f>
        <v>0</v>
      </c>
      <c r="AC23" s="2">
        <f>IF(AQ23="1",BI23,0)</f>
        <v>0</v>
      </c>
      <c r="AD23" s="2">
        <f>IF(AQ23="7",BH23,0)</f>
        <v>0</v>
      </c>
      <c r="AE23" s="2">
        <f>IF(AQ23="7",BI23,0)</f>
        <v>0</v>
      </c>
      <c r="AF23" s="2">
        <f>IF(AQ23="2",BH23,0)</f>
        <v>0</v>
      </c>
      <c r="AG23" s="2">
        <f>IF(AQ23="2",BI23,0)</f>
        <v>0</v>
      </c>
      <c r="AH23" s="2">
        <f>IF(AQ23="0",BJ23,0)</f>
        <v>0</v>
      </c>
      <c r="AI23" s="19" t="s">
        <v>255</v>
      </c>
      <c r="AJ23" s="2">
        <f>IF(AN23=0,L23,0)</f>
        <v>0</v>
      </c>
      <c r="AK23" s="2">
        <f>IF(AN23=15,L23,0)</f>
        <v>0</v>
      </c>
      <c r="AL23" s="2">
        <f>IF(AN23=21,L23,0)</f>
        <v>0</v>
      </c>
      <c r="AN23" s="2">
        <v>15</v>
      </c>
      <c r="AO23" s="2">
        <f>I23*0</f>
        <v>0</v>
      </c>
      <c r="AP23" s="2">
        <f>I23*(1-0)</f>
        <v>0</v>
      </c>
      <c r="AQ23" s="43" t="s">
        <v>1205</v>
      </c>
      <c r="AV23" s="2">
        <f>AW23+AX23</f>
        <v>0</v>
      </c>
      <c r="AW23" s="2">
        <f>H23*AO23</f>
        <v>0</v>
      </c>
      <c r="AX23" s="2">
        <f>H23*AP23</f>
        <v>0</v>
      </c>
      <c r="AY23" s="43" t="s">
        <v>1111</v>
      </c>
      <c r="AZ23" s="43" t="s">
        <v>480</v>
      </c>
      <c r="BA23" s="19" t="s">
        <v>1155</v>
      </c>
      <c r="BC23" s="2">
        <f>AW23+AX23</f>
        <v>0</v>
      </c>
      <c r="BD23" s="2">
        <f>I23/(100-BE23)*100</f>
        <v>0</v>
      </c>
      <c r="BE23" s="2">
        <v>0</v>
      </c>
      <c r="BF23" s="2">
        <f>23</f>
        <v>23</v>
      </c>
      <c r="BH23" s="2">
        <f>H23*AO23</f>
        <v>0</v>
      </c>
      <c r="BI23" s="2">
        <f>H23*AP23</f>
        <v>0</v>
      </c>
      <c r="BJ23" s="2">
        <f>H23*I23</f>
        <v>0</v>
      </c>
      <c r="BK23" s="2"/>
      <c r="BL23" s="2">
        <v>16</v>
      </c>
    </row>
    <row r="24" spans="1:13" ht="13.5" customHeight="1">
      <c r="A24" s="51"/>
      <c r="B24" s="32" t="s">
        <v>639</v>
      </c>
      <c r="C24" s="75" t="s">
        <v>571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</row>
    <row r="25" spans="1:47" ht="15" customHeight="1">
      <c r="A25" s="48" t="s">
        <v>844</v>
      </c>
      <c r="B25" s="17" t="s">
        <v>849</v>
      </c>
      <c r="C25" s="74" t="s">
        <v>182</v>
      </c>
      <c r="D25" s="74"/>
      <c r="E25" s="74"/>
      <c r="F25" s="74"/>
      <c r="G25" s="40" t="s">
        <v>1110</v>
      </c>
      <c r="H25" s="40" t="s">
        <v>1110</v>
      </c>
      <c r="I25" s="40" t="s">
        <v>1110</v>
      </c>
      <c r="J25" s="23">
        <f>SUM(J26:J26)</f>
        <v>0</v>
      </c>
      <c r="K25" s="23">
        <f>SUM(K26:K26)</f>
        <v>0</v>
      </c>
      <c r="L25" s="23">
        <f>SUM(L26:L26)</f>
        <v>0</v>
      </c>
      <c r="M25" s="37" t="s">
        <v>844</v>
      </c>
      <c r="AI25" s="19" t="s">
        <v>255</v>
      </c>
      <c r="AS25" s="23">
        <f>SUM(AJ26:AJ26)</f>
        <v>0</v>
      </c>
      <c r="AT25" s="23">
        <f>SUM(AK26:AK26)</f>
        <v>0</v>
      </c>
      <c r="AU25" s="23">
        <f>SUM(AL26:AL26)</f>
        <v>0</v>
      </c>
    </row>
    <row r="26" spans="1:64" ht="15" customHeight="1">
      <c r="A26" s="15" t="s">
        <v>956</v>
      </c>
      <c r="B26" s="14" t="s">
        <v>413</v>
      </c>
      <c r="C26" s="58" t="s">
        <v>121</v>
      </c>
      <c r="D26" s="58"/>
      <c r="E26" s="58"/>
      <c r="F26" s="58"/>
      <c r="G26" s="14" t="s">
        <v>1165</v>
      </c>
      <c r="H26" s="2">
        <v>32.605</v>
      </c>
      <c r="I26" s="2">
        <v>0</v>
      </c>
      <c r="J26" s="2">
        <f>H26*AO26</f>
        <v>0</v>
      </c>
      <c r="K26" s="2">
        <f>H26*AP26</f>
        <v>0</v>
      </c>
      <c r="L26" s="2">
        <f>H26*I26</f>
        <v>0</v>
      </c>
      <c r="M26" s="7" t="s">
        <v>831</v>
      </c>
      <c r="Z26" s="2">
        <f>IF(AQ26="5",BJ26,0)</f>
        <v>0</v>
      </c>
      <c r="AB26" s="2">
        <f>IF(AQ26="1",BH26,0)</f>
        <v>0</v>
      </c>
      <c r="AC26" s="2">
        <f>IF(AQ26="1",BI26,0)</f>
        <v>0</v>
      </c>
      <c r="AD26" s="2">
        <f>IF(AQ26="7",BH26,0)</f>
        <v>0</v>
      </c>
      <c r="AE26" s="2">
        <f>IF(AQ26="7",BI26,0)</f>
        <v>0</v>
      </c>
      <c r="AF26" s="2">
        <f>IF(AQ26="2",BH26,0)</f>
        <v>0</v>
      </c>
      <c r="AG26" s="2">
        <f>IF(AQ26="2",BI26,0)</f>
        <v>0</v>
      </c>
      <c r="AH26" s="2">
        <f>IF(AQ26="0",BJ26,0)</f>
        <v>0</v>
      </c>
      <c r="AI26" s="19" t="s">
        <v>255</v>
      </c>
      <c r="AJ26" s="2">
        <f>IF(AN26=0,L26,0)</f>
        <v>0</v>
      </c>
      <c r="AK26" s="2">
        <f>IF(AN26=15,L26,0)</f>
        <v>0</v>
      </c>
      <c r="AL26" s="2">
        <f>IF(AN26=21,L26,0)</f>
        <v>0</v>
      </c>
      <c r="AN26" s="2">
        <v>15</v>
      </c>
      <c r="AO26" s="2">
        <f>I26*0</f>
        <v>0</v>
      </c>
      <c r="AP26" s="2">
        <f>I26*(1-0)</f>
        <v>0</v>
      </c>
      <c r="AQ26" s="43" t="s">
        <v>1205</v>
      </c>
      <c r="AV26" s="2">
        <f>AW26+AX26</f>
        <v>0</v>
      </c>
      <c r="AW26" s="2">
        <f>H26*AO26</f>
        <v>0</v>
      </c>
      <c r="AX26" s="2">
        <f>H26*AP26</f>
        <v>0</v>
      </c>
      <c r="AY26" s="43" t="s">
        <v>266</v>
      </c>
      <c r="AZ26" s="43" t="s">
        <v>480</v>
      </c>
      <c r="BA26" s="19" t="s">
        <v>1155</v>
      </c>
      <c r="BC26" s="2">
        <f>AW26+AX26</f>
        <v>0</v>
      </c>
      <c r="BD26" s="2">
        <f>I26/(100-BE26)*100</f>
        <v>0</v>
      </c>
      <c r="BE26" s="2">
        <v>0</v>
      </c>
      <c r="BF26" s="2">
        <f>26</f>
        <v>26</v>
      </c>
      <c r="BH26" s="2">
        <f>H26*AO26</f>
        <v>0</v>
      </c>
      <c r="BI26" s="2">
        <f>H26*AP26</f>
        <v>0</v>
      </c>
      <c r="BJ26" s="2">
        <f>H26*I26</f>
        <v>0</v>
      </c>
      <c r="BK26" s="2"/>
      <c r="BL26" s="2">
        <v>17</v>
      </c>
    </row>
    <row r="27" spans="1:47" ht="15" customHeight="1">
      <c r="A27" s="48" t="s">
        <v>844</v>
      </c>
      <c r="B27" s="17" t="s">
        <v>965</v>
      </c>
      <c r="C27" s="74" t="s">
        <v>1230</v>
      </c>
      <c r="D27" s="74"/>
      <c r="E27" s="74"/>
      <c r="F27" s="74"/>
      <c r="G27" s="40" t="s">
        <v>1110</v>
      </c>
      <c r="H27" s="40" t="s">
        <v>1110</v>
      </c>
      <c r="I27" s="40" t="s">
        <v>1110</v>
      </c>
      <c r="J27" s="23">
        <f>SUM(J28:J28)</f>
        <v>0</v>
      </c>
      <c r="K27" s="23">
        <f>SUM(K28:K28)</f>
        <v>0</v>
      </c>
      <c r="L27" s="23">
        <f>SUM(L28:L28)</f>
        <v>0</v>
      </c>
      <c r="M27" s="37" t="s">
        <v>844</v>
      </c>
      <c r="AI27" s="19" t="s">
        <v>255</v>
      </c>
      <c r="AS27" s="23">
        <f>SUM(AJ28:AJ28)</f>
        <v>0</v>
      </c>
      <c r="AT27" s="23">
        <f>SUM(AK28:AK28)</f>
        <v>0</v>
      </c>
      <c r="AU27" s="23">
        <f>SUM(AL28:AL28)</f>
        <v>0</v>
      </c>
    </row>
    <row r="28" spans="1:64" ht="15" customHeight="1">
      <c r="A28" s="15" t="s">
        <v>485</v>
      </c>
      <c r="B28" s="14" t="s">
        <v>913</v>
      </c>
      <c r="C28" s="58" t="s">
        <v>750</v>
      </c>
      <c r="D28" s="58"/>
      <c r="E28" s="58"/>
      <c r="F28" s="58"/>
      <c r="G28" s="14" t="s">
        <v>1189</v>
      </c>
      <c r="H28" s="2">
        <v>232.35</v>
      </c>
      <c r="I28" s="2">
        <v>0</v>
      </c>
      <c r="J28" s="2">
        <f>H28*AO28</f>
        <v>0</v>
      </c>
      <c r="K28" s="2">
        <f>H28*AP28</f>
        <v>0</v>
      </c>
      <c r="L28" s="2">
        <f>H28*I28</f>
        <v>0</v>
      </c>
      <c r="M28" s="7" t="s">
        <v>831</v>
      </c>
      <c r="Z28" s="2">
        <f>IF(AQ28="5",BJ28,0)</f>
        <v>0</v>
      </c>
      <c r="AB28" s="2">
        <f>IF(AQ28="1",BH28,0)</f>
        <v>0</v>
      </c>
      <c r="AC28" s="2">
        <f>IF(AQ28="1",BI28,0)</f>
        <v>0</v>
      </c>
      <c r="AD28" s="2">
        <f>IF(AQ28="7",BH28,0)</f>
        <v>0</v>
      </c>
      <c r="AE28" s="2">
        <f>IF(AQ28="7",BI28,0)</f>
        <v>0</v>
      </c>
      <c r="AF28" s="2">
        <f>IF(AQ28="2",BH28,0)</f>
        <v>0</v>
      </c>
      <c r="AG28" s="2">
        <f>IF(AQ28="2",BI28,0)</f>
        <v>0</v>
      </c>
      <c r="AH28" s="2">
        <f>IF(AQ28="0",BJ28,0)</f>
        <v>0</v>
      </c>
      <c r="AI28" s="19" t="s">
        <v>255</v>
      </c>
      <c r="AJ28" s="2">
        <f>IF(AN28=0,L28,0)</f>
        <v>0</v>
      </c>
      <c r="AK28" s="2">
        <f>IF(AN28=15,L28,0)</f>
        <v>0</v>
      </c>
      <c r="AL28" s="2">
        <f>IF(AN28=21,L28,0)</f>
        <v>0</v>
      </c>
      <c r="AN28" s="2">
        <v>15</v>
      </c>
      <c r="AO28" s="2">
        <f>I28*0</f>
        <v>0</v>
      </c>
      <c r="AP28" s="2">
        <f>I28*(1-0)</f>
        <v>0</v>
      </c>
      <c r="AQ28" s="43" t="s">
        <v>1205</v>
      </c>
      <c r="AV28" s="2">
        <f>AW28+AX28</f>
        <v>0</v>
      </c>
      <c r="AW28" s="2">
        <f>H28*AO28</f>
        <v>0</v>
      </c>
      <c r="AX28" s="2">
        <f>H28*AP28</f>
        <v>0</v>
      </c>
      <c r="AY28" s="43" t="s">
        <v>617</v>
      </c>
      <c r="AZ28" s="43" t="s">
        <v>480</v>
      </c>
      <c r="BA28" s="19" t="s">
        <v>1155</v>
      </c>
      <c r="BC28" s="2">
        <f>AW28+AX28</f>
        <v>0</v>
      </c>
      <c r="BD28" s="2">
        <f>I28/(100-BE28)*100</f>
        <v>0</v>
      </c>
      <c r="BE28" s="2">
        <v>0</v>
      </c>
      <c r="BF28" s="2">
        <f>28</f>
        <v>28</v>
      </c>
      <c r="BH28" s="2">
        <f>H28*AO28</f>
        <v>0</v>
      </c>
      <c r="BI28" s="2">
        <f>H28*AP28</f>
        <v>0</v>
      </c>
      <c r="BJ28" s="2">
        <f>H28*I28</f>
        <v>0</v>
      </c>
      <c r="BK28" s="2"/>
      <c r="BL28" s="2">
        <v>18</v>
      </c>
    </row>
    <row r="29" spans="1:47" ht="15" customHeight="1">
      <c r="A29" s="48" t="s">
        <v>844</v>
      </c>
      <c r="B29" s="17" t="s">
        <v>859</v>
      </c>
      <c r="C29" s="74" t="s">
        <v>445</v>
      </c>
      <c r="D29" s="74"/>
      <c r="E29" s="74"/>
      <c r="F29" s="74"/>
      <c r="G29" s="40" t="s">
        <v>1110</v>
      </c>
      <c r="H29" s="40" t="s">
        <v>1110</v>
      </c>
      <c r="I29" s="40" t="s">
        <v>1110</v>
      </c>
      <c r="J29" s="23">
        <f>SUM(J30:J32)</f>
        <v>0</v>
      </c>
      <c r="K29" s="23">
        <f>SUM(K30:K32)</f>
        <v>0</v>
      </c>
      <c r="L29" s="23">
        <f>SUM(L30:L32)</f>
        <v>0</v>
      </c>
      <c r="M29" s="37" t="s">
        <v>844</v>
      </c>
      <c r="AI29" s="19" t="s">
        <v>255</v>
      </c>
      <c r="AS29" s="23">
        <f>SUM(AJ30:AJ32)</f>
        <v>0</v>
      </c>
      <c r="AT29" s="23">
        <f>SUM(AK30:AK32)</f>
        <v>0</v>
      </c>
      <c r="AU29" s="23">
        <f>SUM(AL30:AL32)</f>
        <v>0</v>
      </c>
    </row>
    <row r="30" spans="1:64" ht="15" customHeight="1">
      <c r="A30" s="15" t="s">
        <v>712</v>
      </c>
      <c r="B30" s="14" t="s">
        <v>677</v>
      </c>
      <c r="C30" s="58" t="s">
        <v>629</v>
      </c>
      <c r="D30" s="58"/>
      <c r="E30" s="58"/>
      <c r="F30" s="58"/>
      <c r="G30" s="14" t="s">
        <v>999</v>
      </c>
      <c r="H30" s="2">
        <v>85.5</v>
      </c>
      <c r="I30" s="2">
        <v>0</v>
      </c>
      <c r="J30" s="2">
        <f>H30*AO30</f>
        <v>0</v>
      </c>
      <c r="K30" s="2">
        <f>H30*AP30</f>
        <v>0</v>
      </c>
      <c r="L30" s="2">
        <f>H30*I30</f>
        <v>0</v>
      </c>
      <c r="M30" s="7" t="s">
        <v>831</v>
      </c>
      <c r="Z30" s="2">
        <f>IF(AQ30="5",BJ30,0)</f>
        <v>0</v>
      </c>
      <c r="AB30" s="2">
        <f>IF(AQ30="1",BH30,0)</f>
        <v>0</v>
      </c>
      <c r="AC30" s="2">
        <f>IF(AQ30="1",BI30,0)</f>
        <v>0</v>
      </c>
      <c r="AD30" s="2">
        <f>IF(AQ30="7",BH30,0)</f>
        <v>0</v>
      </c>
      <c r="AE30" s="2">
        <f>IF(AQ30="7",BI30,0)</f>
        <v>0</v>
      </c>
      <c r="AF30" s="2">
        <f>IF(AQ30="2",BH30,0)</f>
        <v>0</v>
      </c>
      <c r="AG30" s="2">
        <f>IF(AQ30="2",BI30,0)</f>
        <v>0</v>
      </c>
      <c r="AH30" s="2">
        <f>IF(AQ30="0",BJ30,0)</f>
        <v>0</v>
      </c>
      <c r="AI30" s="19" t="s">
        <v>255</v>
      </c>
      <c r="AJ30" s="2">
        <f>IF(AN30=0,L30,0)</f>
        <v>0</v>
      </c>
      <c r="AK30" s="2">
        <f>IF(AN30=15,L30,0)</f>
        <v>0</v>
      </c>
      <c r="AL30" s="2">
        <f>IF(AN30=21,L30,0)</f>
        <v>0</v>
      </c>
      <c r="AN30" s="2">
        <v>15</v>
      </c>
      <c r="AO30" s="2">
        <f>I30*0.440385811575942</f>
        <v>0</v>
      </c>
      <c r="AP30" s="2">
        <f>I30*(1-0.440385811575942)</f>
        <v>0</v>
      </c>
      <c r="AQ30" s="43" t="s">
        <v>1205</v>
      </c>
      <c r="AV30" s="2">
        <f>AW30+AX30</f>
        <v>0</v>
      </c>
      <c r="AW30" s="2">
        <f>H30*AO30</f>
        <v>0</v>
      </c>
      <c r="AX30" s="2">
        <f>H30*AP30</f>
        <v>0</v>
      </c>
      <c r="AY30" s="43" t="s">
        <v>751</v>
      </c>
      <c r="AZ30" s="43" t="s">
        <v>1212</v>
      </c>
      <c r="BA30" s="19" t="s">
        <v>1155</v>
      </c>
      <c r="BC30" s="2">
        <f>AW30+AX30</f>
        <v>0</v>
      </c>
      <c r="BD30" s="2">
        <f>I30/(100-BE30)*100</f>
        <v>0</v>
      </c>
      <c r="BE30" s="2">
        <v>0</v>
      </c>
      <c r="BF30" s="2">
        <f>30</f>
        <v>30</v>
      </c>
      <c r="BH30" s="2">
        <f>H30*AO30</f>
        <v>0</v>
      </c>
      <c r="BI30" s="2">
        <f>H30*AP30</f>
        <v>0</v>
      </c>
      <c r="BJ30" s="2">
        <f>H30*I30</f>
        <v>0</v>
      </c>
      <c r="BK30" s="2"/>
      <c r="BL30" s="2">
        <v>21</v>
      </c>
    </row>
    <row r="31" spans="1:13" ht="13.5" customHeight="1">
      <c r="A31" s="51"/>
      <c r="B31" s="32" t="s">
        <v>639</v>
      </c>
      <c r="C31" s="75" t="s">
        <v>220</v>
      </c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64" ht="15" customHeight="1">
      <c r="A32" s="15" t="s">
        <v>1009</v>
      </c>
      <c r="B32" s="14" t="s">
        <v>1308</v>
      </c>
      <c r="C32" s="58" t="s">
        <v>629</v>
      </c>
      <c r="D32" s="58"/>
      <c r="E32" s="58"/>
      <c r="F32" s="58"/>
      <c r="G32" s="14" t="s">
        <v>999</v>
      </c>
      <c r="H32" s="2">
        <v>23.8</v>
      </c>
      <c r="I32" s="2">
        <v>0</v>
      </c>
      <c r="J32" s="2">
        <f>H32*AO32</f>
        <v>0</v>
      </c>
      <c r="K32" s="2">
        <f>H32*AP32</f>
        <v>0</v>
      </c>
      <c r="L32" s="2">
        <f>H32*I32</f>
        <v>0</v>
      </c>
      <c r="M32" s="7" t="s">
        <v>831</v>
      </c>
      <c r="Z32" s="2">
        <f>IF(AQ32="5",BJ32,0)</f>
        <v>0</v>
      </c>
      <c r="AB32" s="2">
        <f>IF(AQ32="1",BH32,0)</f>
        <v>0</v>
      </c>
      <c r="AC32" s="2">
        <f>IF(AQ32="1",BI32,0)</f>
        <v>0</v>
      </c>
      <c r="AD32" s="2">
        <f>IF(AQ32="7",BH32,0)</f>
        <v>0</v>
      </c>
      <c r="AE32" s="2">
        <f>IF(AQ32="7",BI32,0)</f>
        <v>0</v>
      </c>
      <c r="AF32" s="2">
        <f>IF(AQ32="2",BH32,0)</f>
        <v>0</v>
      </c>
      <c r="AG32" s="2">
        <f>IF(AQ32="2",BI32,0)</f>
        <v>0</v>
      </c>
      <c r="AH32" s="2">
        <f>IF(AQ32="0",BJ32,0)</f>
        <v>0</v>
      </c>
      <c r="AI32" s="19" t="s">
        <v>255</v>
      </c>
      <c r="AJ32" s="2">
        <f>IF(AN32=0,L32,0)</f>
        <v>0</v>
      </c>
      <c r="AK32" s="2">
        <f>IF(AN32=15,L32,0)</f>
        <v>0</v>
      </c>
      <c r="AL32" s="2">
        <f>IF(AN32=21,L32,0)</f>
        <v>0</v>
      </c>
      <c r="AN32" s="2">
        <v>15</v>
      </c>
      <c r="AO32" s="2">
        <f>I32*0.471387409171984</f>
        <v>0</v>
      </c>
      <c r="AP32" s="2">
        <f>I32*(1-0.471387409171984)</f>
        <v>0</v>
      </c>
      <c r="AQ32" s="43" t="s">
        <v>1205</v>
      </c>
      <c r="AV32" s="2">
        <f>AW32+AX32</f>
        <v>0</v>
      </c>
      <c r="AW32" s="2">
        <f>H32*AO32</f>
        <v>0</v>
      </c>
      <c r="AX32" s="2">
        <f>H32*AP32</f>
        <v>0</v>
      </c>
      <c r="AY32" s="43" t="s">
        <v>751</v>
      </c>
      <c r="AZ32" s="43" t="s">
        <v>1212</v>
      </c>
      <c r="BA32" s="19" t="s">
        <v>1155</v>
      </c>
      <c r="BC32" s="2">
        <f>AW32+AX32</f>
        <v>0</v>
      </c>
      <c r="BD32" s="2">
        <f>I32/(100-BE32)*100</f>
        <v>0</v>
      </c>
      <c r="BE32" s="2">
        <v>0</v>
      </c>
      <c r="BF32" s="2">
        <f>32</f>
        <v>32</v>
      </c>
      <c r="BH32" s="2">
        <f>H32*AO32</f>
        <v>0</v>
      </c>
      <c r="BI32" s="2">
        <f>H32*AP32</f>
        <v>0</v>
      </c>
      <c r="BJ32" s="2">
        <f>H32*I32</f>
        <v>0</v>
      </c>
      <c r="BK32" s="2"/>
      <c r="BL32" s="2">
        <v>21</v>
      </c>
    </row>
    <row r="33" spans="1:13" ht="13.5" customHeight="1">
      <c r="A33" s="51"/>
      <c r="B33" s="32" t="s">
        <v>639</v>
      </c>
      <c r="C33" s="75" t="s">
        <v>580</v>
      </c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1:47" ht="15" customHeight="1">
      <c r="A34" s="48" t="s">
        <v>844</v>
      </c>
      <c r="B34" s="17" t="s">
        <v>1182</v>
      </c>
      <c r="C34" s="74" t="s">
        <v>989</v>
      </c>
      <c r="D34" s="74"/>
      <c r="E34" s="74"/>
      <c r="F34" s="74"/>
      <c r="G34" s="40" t="s">
        <v>1110</v>
      </c>
      <c r="H34" s="40" t="s">
        <v>1110</v>
      </c>
      <c r="I34" s="40" t="s">
        <v>1110</v>
      </c>
      <c r="J34" s="23">
        <f>SUM(J35:J53)</f>
        <v>0</v>
      </c>
      <c r="K34" s="23">
        <f>SUM(K35:K53)</f>
        <v>0</v>
      </c>
      <c r="L34" s="23">
        <f>SUM(L35:L53)</f>
        <v>0</v>
      </c>
      <c r="M34" s="37" t="s">
        <v>844</v>
      </c>
      <c r="AI34" s="19" t="s">
        <v>255</v>
      </c>
      <c r="AS34" s="23">
        <f>SUM(AJ35:AJ53)</f>
        <v>0</v>
      </c>
      <c r="AT34" s="23">
        <f>SUM(AK35:AK53)</f>
        <v>0</v>
      </c>
      <c r="AU34" s="23">
        <f>SUM(AL35:AL53)</f>
        <v>0</v>
      </c>
    </row>
    <row r="35" spans="1:64" ht="15" customHeight="1">
      <c r="A35" s="15" t="s">
        <v>891</v>
      </c>
      <c r="B35" s="14" t="s">
        <v>78</v>
      </c>
      <c r="C35" s="58" t="s">
        <v>254</v>
      </c>
      <c r="D35" s="58"/>
      <c r="E35" s="58"/>
      <c r="F35" s="58"/>
      <c r="G35" s="14" t="s">
        <v>1189</v>
      </c>
      <c r="H35" s="2">
        <v>199.996</v>
      </c>
      <c r="I35" s="2">
        <v>0</v>
      </c>
      <c r="J35" s="2">
        <f>H35*AO35</f>
        <v>0</v>
      </c>
      <c r="K35" s="2">
        <f>H35*AP35</f>
        <v>0</v>
      </c>
      <c r="L35" s="2">
        <f>H35*I35</f>
        <v>0</v>
      </c>
      <c r="M35" s="7" t="s">
        <v>831</v>
      </c>
      <c r="Z35" s="2">
        <f>IF(AQ35="5",BJ35,0)</f>
        <v>0</v>
      </c>
      <c r="AB35" s="2">
        <f>IF(AQ35="1",BH35,0)</f>
        <v>0</v>
      </c>
      <c r="AC35" s="2">
        <f>IF(AQ35="1",BI35,0)</f>
        <v>0</v>
      </c>
      <c r="AD35" s="2">
        <f>IF(AQ35="7",BH35,0)</f>
        <v>0</v>
      </c>
      <c r="AE35" s="2">
        <f>IF(AQ35="7",BI35,0)</f>
        <v>0</v>
      </c>
      <c r="AF35" s="2">
        <f>IF(AQ35="2",BH35,0)</f>
        <v>0</v>
      </c>
      <c r="AG35" s="2">
        <f>IF(AQ35="2",BI35,0)</f>
        <v>0</v>
      </c>
      <c r="AH35" s="2">
        <f>IF(AQ35="0",BJ35,0)</f>
        <v>0</v>
      </c>
      <c r="AI35" s="19" t="s">
        <v>255</v>
      </c>
      <c r="AJ35" s="2">
        <f>IF(AN35=0,L35,0)</f>
        <v>0</v>
      </c>
      <c r="AK35" s="2">
        <f>IF(AN35=15,L35,0)</f>
        <v>0</v>
      </c>
      <c r="AL35" s="2">
        <f>IF(AN35=21,L35,0)</f>
        <v>0</v>
      </c>
      <c r="AN35" s="2">
        <v>15</v>
      </c>
      <c r="AO35" s="2">
        <f>I35*0.323746424582146</f>
        <v>0</v>
      </c>
      <c r="AP35" s="2">
        <f>I35*(1-0.323746424582146)</f>
        <v>0</v>
      </c>
      <c r="AQ35" s="43" t="s">
        <v>1205</v>
      </c>
      <c r="AV35" s="2">
        <f>AW35+AX35</f>
        <v>0</v>
      </c>
      <c r="AW35" s="2">
        <f>H35*AO35</f>
        <v>0</v>
      </c>
      <c r="AX35" s="2">
        <f>H35*AP35</f>
        <v>0</v>
      </c>
      <c r="AY35" s="43" t="s">
        <v>837</v>
      </c>
      <c r="AZ35" s="43" t="s">
        <v>1212</v>
      </c>
      <c r="BA35" s="19" t="s">
        <v>1155</v>
      </c>
      <c r="BC35" s="2">
        <f>AW35+AX35</f>
        <v>0</v>
      </c>
      <c r="BD35" s="2">
        <f>I35/(100-BE35)*100</f>
        <v>0</v>
      </c>
      <c r="BE35" s="2">
        <v>0</v>
      </c>
      <c r="BF35" s="2">
        <f>35</f>
        <v>35</v>
      </c>
      <c r="BH35" s="2">
        <f>H35*AO35</f>
        <v>0</v>
      </c>
      <c r="BI35" s="2">
        <f>H35*AP35</f>
        <v>0</v>
      </c>
      <c r="BJ35" s="2">
        <f>H35*I35</f>
        <v>0</v>
      </c>
      <c r="BK35" s="2"/>
      <c r="BL35" s="2">
        <v>27</v>
      </c>
    </row>
    <row r="36" spans="1:13" ht="13.5" customHeight="1">
      <c r="A36" s="51"/>
      <c r="B36" s="32" t="s">
        <v>639</v>
      </c>
      <c r="C36" s="75" t="s">
        <v>409</v>
      </c>
      <c r="D36" s="76"/>
      <c r="E36" s="76"/>
      <c r="F36" s="76"/>
      <c r="G36" s="76"/>
      <c r="H36" s="76"/>
      <c r="I36" s="76"/>
      <c r="J36" s="76"/>
      <c r="K36" s="76"/>
      <c r="L36" s="76"/>
      <c r="M36" s="77"/>
    </row>
    <row r="37" spans="1:64" ht="15" customHeight="1">
      <c r="A37" s="15" t="s">
        <v>388</v>
      </c>
      <c r="B37" s="14" t="s">
        <v>707</v>
      </c>
      <c r="C37" s="58" t="s">
        <v>788</v>
      </c>
      <c r="D37" s="58"/>
      <c r="E37" s="58"/>
      <c r="F37" s="58"/>
      <c r="G37" s="14" t="s">
        <v>1165</v>
      </c>
      <c r="H37" s="2">
        <v>35.303</v>
      </c>
      <c r="I37" s="2">
        <v>0</v>
      </c>
      <c r="J37" s="2">
        <f>H37*AO37</f>
        <v>0</v>
      </c>
      <c r="K37" s="2">
        <f>H37*AP37</f>
        <v>0</v>
      </c>
      <c r="L37" s="2">
        <f>H37*I37</f>
        <v>0</v>
      </c>
      <c r="M37" s="7" t="s">
        <v>831</v>
      </c>
      <c r="Z37" s="2">
        <f>IF(AQ37="5",BJ37,0)</f>
        <v>0</v>
      </c>
      <c r="AB37" s="2">
        <f>IF(AQ37="1",BH37,0)</f>
        <v>0</v>
      </c>
      <c r="AC37" s="2">
        <f>IF(AQ37="1",BI37,0)</f>
        <v>0</v>
      </c>
      <c r="AD37" s="2">
        <f>IF(AQ37="7",BH37,0)</f>
        <v>0</v>
      </c>
      <c r="AE37" s="2">
        <f>IF(AQ37="7",BI37,0)</f>
        <v>0</v>
      </c>
      <c r="AF37" s="2">
        <f>IF(AQ37="2",BH37,0)</f>
        <v>0</v>
      </c>
      <c r="AG37" s="2">
        <f>IF(AQ37="2",BI37,0)</f>
        <v>0</v>
      </c>
      <c r="AH37" s="2">
        <f>IF(AQ37="0",BJ37,0)</f>
        <v>0</v>
      </c>
      <c r="AI37" s="19" t="s">
        <v>255</v>
      </c>
      <c r="AJ37" s="2">
        <f>IF(AN37=0,L37,0)</f>
        <v>0</v>
      </c>
      <c r="AK37" s="2">
        <f>IF(AN37=15,L37,0)</f>
        <v>0</v>
      </c>
      <c r="AL37" s="2">
        <f>IF(AN37=21,L37,0)</f>
        <v>0</v>
      </c>
      <c r="AN37" s="2">
        <v>15</v>
      </c>
      <c r="AO37" s="2">
        <f>I37*0.902185012645779</f>
        <v>0</v>
      </c>
      <c r="AP37" s="2">
        <f>I37*(1-0.902185012645779)</f>
        <v>0</v>
      </c>
      <c r="AQ37" s="43" t="s">
        <v>1205</v>
      </c>
      <c r="AV37" s="2">
        <f>AW37+AX37</f>
        <v>0</v>
      </c>
      <c r="AW37" s="2">
        <f>H37*AO37</f>
        <v>0</v>
      </c>
      <c r="AX37" s="2">
        <f>H37*AP37</f>
        <v>0</v>
      </c>
      <c r="AY37" s="43" t="s">
        <v>837</v>
      </c>
      <c r="AZ37" s="43" t="s">
        <v>1212</v>
      </c>
      <c r="BA37" s="19" t="s">
        <v>1155</v>
      </c>
      <c r="BC37" s="2">
        <f>AW37+AX37</f>
        <v>0</v>
      </c>
      <c r="BD37" s="2">
        <f>I37/(100-BE37)*100</f>
        <v>0</v>
      </c>
      <c r="BE37" s="2">
        <v>0</v>
      </c>
      <c r="BF37" s="2">
        <f>37</f>
        <v>37</v>
      </c>
      <c r="BH37" s="2">
        <f>H37*AO37</f>
        <v>0</v>
      </c>
      <c r="BI37" s="2">
        <f>H37*AP37</f>
        <v>0</v>
      </c>
      <c r="BJ37" s="2">
        <f>H37*I37</f>
        <v>0</v>
      </c>
      <c r="BK37" s="2"/>
      <c r="BL37" s="2">
        <v>27</v>
      </c>
    </row>
    <row r="38" spans="1:64" ht="15" customHeight="1">
      <c r="A38" s="15" t="s">
        <v>723</v>
      </c>
      <c r="B38" s="14" t="s">
        <v>1097</v>
      </c>
      <c r="C38" s="58" t="s">
        <v>1047</v>
      </c>
      <c r="D38" s="58"/>
      <c r="E38" s="58"/>
      <c r="F38" s="58"/>
      <c r="G38" s="14" t="s">
        <v>1189</v>
      </c>
      <c r="H38" s="2">
        <v>10.68</v>
      </c>
      <c r="I38" s="2">
        <v>0</v>
      </c>
      <c r="J38" s="2">
        <f>H38*AO38</f>
        <v>0</v>
      </c>
      <c r="K38" s="2">
        <f>H38*AP38</f>
        <v>0</v>
      </c>
      <c r="L38" s="2">
        <f>H38*I38</f>
        <v>0</v>
      </c>
      <c r="M38" s="7" t="s">
        <v>831</v>
      </c>
      <c r="Z38" s="2">
        <f>IF(AQ38="5",BJ38,0)</f>
        <v>0</v>
      </c>
      <c r="AB38" s="2">
        <f>IF(AQ38="1",BH38,0)</f>
        <v>0</v>
      </c>
      <c r="AC38" s="2">
        <f>IF(AQ38="1",BI38,0)</f>
        <v>0</v>
      </c>
      <c r="AD38" s="2">
        <f>IF(AQ38="7",BH38,0)</f>
        <v>0</v>
      </c>
      <c r="AE38" s="2">
        <f>IF(AQ38="7",BI38,0)</f>
        <v>0</v>
      </c>
      <c r="AF38" s="2">
        <f>IF(AQ38="2",BH38,0)</f>
        <v>0</v>
      </c>
      <c r="AG38" s="2">
        <f>IF(AQ38="2",BI38,0)</f>
        <v>0</v>
      </c>
      <c r="AH38" s="2">
        <f>IF(AQ38="0",BJ38,0)</f>
        <v>0</v>
      </c>
      <c r="AI38" s="19" t="s">
        <v>255</v>
      </c>
      <c r="AJ38" s="2">
        <f>IF(AN38=0,L38,0)</f>
        <v>0</v>
      </c>
      <c r="AK38" s="2">
        <f>IF(AN38=15,L38,0)</f>
        <v>0</v>
      </c>
      <c r="AL38" s="2">
        <f>IF(AN38=21,L38,0)</f>
        <v>0</v>
      </c>
      <c r="AN38" s="2">
        <v>15</v>
      </c>
      <c r="AO38" s="2">
        <f>I38*0.256723341869148</f>
        <v>0</v>
      </c>
      <c r="AP38" s="2">
        <f>I38*(1-0.256723341869148)</f>
        <v>0</v>
      </c>
      <c r="AQ38" s="43" t="s">
        <v>1205</v>
      </c>
      <c r="AV38" s="2">
        <f>AW38+AX38</f>
        <v>0</v>
      </c>
      <c r="AW38" s="2">
        <f>H38*AO38</f>
        <v>0</v>
      </c>
      <c r="AX38" s="2">
        <f>H38*AP38</f>
        <v>0</v>
      </c>
      <c r="AY38" s="43" t="s">
        <v>837</v>
      </c>
      <c r="AZ38" s="43" t="s">
        <v>1212</v>
      </c>
      <c r="BA38" s="19" t="s">
        <v>1155</v>
      </c>
      <c r="BC38" s="2">
        <f>AW38+AX38</f>
        <v>0</v>
      </c>
      <c r="BD38" s="2">
        <f>I38/(100-BE38)*100</f>
        <v>0</v>
      </c>
      <c r="BE38" s="2">
        <v>0</v>
      </c>
      <c r="BF38" s="2">
        <f>38</f>
        <v>38</v>
      </c>
      <c r="BH38" s="2">
        <f>H38*AO38</f>
        <v>0</v>
      </c>
      <c r="BI38" s="2">
        <f>H38*AP38</f>
        <v>0</v>
      </c>
      <c r="BJ38" s="2">
        <f>H38*I38</f>
        <v>0</v>
      </c>
      <c r="BK38" s="2"/>
      <c r="BL38" s="2">
        <v>27</v>
      </c>
    </row>
    <row r="39" spans="1:64" ht="15" customHeight="1">
      <c r="A39" s="15" t="s">
        <v>501</v>
      </c>
      <c r="B39" s="14" t="s">
        <v>368</v>
      </c>
      <c r="C39" s="58" t="s">
        <v>872</v>
      </c>
      <c r="D39" s="58"/>
      <c r="E39" s="58"/>
      <c r="F39" s="58"/>
      <c r="G39" s="14" t="s">
        <v>1189</v>
      </c>
      <c r="H39" s="2">
        <v>10.68</v>
      </c>
      <c r="I39" s="2">
        <v>0</v>
      </c>
      <c r="J39" s="2">
        <f>H39*AO39</f>
        <v>0</v>
      </c>
      <c r="K39" s="2">
        <f>H39*AP39</f>
        <v>0</v>
      </c>
      <c r="L39" s="2">
        <f>H39*I39</f>
        <v>0</v>
      </c>
      <c r="M39" s="7" t="s">
        <v>831</v>
      </c>
      <c r="Z39" s="2">
        <f>IF(AQ39="5",BJ39,0)</f>
        <v>0</v>
      </c>
      <c r="AB39" s="2">
        <f>IF(AQ39="1",BH39,0)</f>
        <v>0</v>
      </c>
      <c r="AC39" s="2">
        <f>IF(AQ39="1",BI39,0)</f>
        <v>0</v>
      </c>
      <c r="AD39" s="2">
        <f>IF(AQ39="7",BH39,0)</f>
        <v>0</v>
      </c>
      <c r="AE39" s="2">
        <f>IF(AQ39="7",BI39,0)</f>
        <v>0</v>
      </c>
      <c r="AF39" s="2">
        <f>IF(AQ39="2",BH39,0)</f>
        <v>0</v>
      </c>
      <c r="AG39" s="2">
        <f>IF(AQ39="2",BI39,0)</f>
        <v>0</v>
      </c>
      <c r="AH39" s="2">
        <f>IF(AQ39="0",BJ39,0)</f>
        <v>0</v>
      </c>
      <c r="AI39" s="19" t="s">
        <v>255</v>
      </c>
      <c r="AJ39" s="2">
        <f>IF(AN39=0,L39,0)</f>
        <v>0</v>
      </c>
      <c r="AK39" s="2">
        <f>IF(AN39=15,L39,0)</f>
        <v>0</v>
      </c>
      <c r="AL39" s="2">
        <f>IF(AN39=21,L39,0)</f>
        <v>0</v>
      </c>
      <c r="AN39" s="2">
        <v>15</v>
      </c>
      <c r="AO39" s="2">
        <f>I39*0</f>
        <v>0</v>
      </c>
      <c r="AP39" s="2">
        <f>I39*(1-0)</f>
        <v>0</v>
      </c>
      <c r="AQ39" s="43" t="s">
        <v>1205</v>
      </c>
      <c r="AV39" s="2">
        <f>AW39+AX39</f>
        <v>0</v>
      </c>
      <c r="AW39" s="2">
        <f>H39*AO39</f>
        <v>0</v>
      </c>
      <c r="AX39" s="2">
        <f>H39*AP39</f>
        <v>0</v>
      </c>
      <c r="AY39" s="43" t="s">
        <v>837</v>
      </c>
      <c r="AZ39" s="43" t="s">
        <v>1212</v>
      </c>
      <c r="BA39" s="19" t="s">
        <v>1155</v>
      </c>
      <c r="BC39" s="2">
        <f>AW39+AX39</f>
        <v>0</v>
      </c>
      <c r="BD39" s="2">
        <f>I39/(100-BE39)*100</f>
        <v>0</v>
      </c>
      <c r="BE39" s="2">
        <v>0</v>
      </c>
      <c r="BF39" s="2">
        <f>39</f>
        <v>39</v>
      </c>
      <c r="BH39" s="2">
        <f>H39*AO39</f>
        <v>0</v>
      </c>
      <c r="BI39" s="2">
        <f>H39*AP39</f>
        <v>0</v>
      </c>
      <c r="BJ39" s="2">
        <f>H39*I39</f>
        <v>0</v>
      </c>
      <c r="BK39" s="2"/>
      <c r="BL39" s="2">
        <v>27</v>
      </c>
    </row>
    <row r="40" spans="1:64" ht="15" customHeight="1">
      <c r="A40" s="15" t="s">
        <v>111</v>
      </c>
      <c r="B40" s="14" t="s">
        <v>692</v>
      </c>
      <c r="C40" s="58" t="s">
        <v>526</v>
      </c>
      <c r="D40" s="58"/>
      <c r="E40" s="58"/>
      <c r="F40" s="58"/>
      <c r="G40" s="14" t="s">
        <v>584</v>
      </c>
      <c r="H40" s="2">
        <v>0.749</v>
      </c>
      <c r="I40" s="2">
        <v>0</v>
      </c>
      <c r="J40" s="2">
        <f>H40*AO40</f>
        <v>0</v>
      </c>
      <c r="K40" s="2">
        <f>H40*AP40</f>
        <v>0</v>
      </c>
      <c r="L40" s="2">
        <f>H40*I40</f>
        <v>0</v>
      </c>
      <c r="M40" s="7" t="s">
        <v>831</v>
      </c>
      <c r="Z40" s="2">
        <f>IF(AQ40="5",BJ40,0)</f>
        <v>0</v>
      </c>
      <c r="AB40" s="2">
        <f>IF(AQ40="1",BH40,0)</f>
        <v>0</v>
      </c>
      <c r="AC40" s="2">
        <f>IF(AQ40="1",BI40,0)</f>
        <v>0</v>
      </c>
      <c r="AD40" s="2">
        <f>IF(AQ40="7",BH40,0)</f>
        <v>0</v>
      </c>
      <c r="AE40" s="2">
        <f>IF(AQ40="7",BI40,0)</f>
        <v>0</v>
      </c>
      <c r="AF40" s="2">
        <f>IF(AQ40="2",BH40,0)</f>
        <v>0</v>
      </c>
      <c r="AG40" s="2">
        <f>IF(AQ40="2",BI40,0)</f>
        <v>0</v>
      </c>
      <c r="AH40" s="2">
        <f>IF(AQ40="0",BJ40,0)</f>
        <v>0</v>
      </c>
      <c r="AI40" s="19" t="s">
        <v>255</v>
      </c>
      <c r="AJ40" s="2">
        <f>IF(AN40=0,L40,0)</f>
        <v>0</v>
      </c>
      <c r="AK40" s="2">
        <f>IF(AN40=15,L40,0)</f>
        <v>0</v>
      </c>
      <c r="AL40" s="2">
        <f>IF(AN40=21,L40,0)</f>
        <v>0</v>
      </c>
      <c r="AN40" s="2">
        <v>15</v>
      </c>
      <c r="AO40" s="2">
        <f>I40*0.850056972361016</f>
        <v>0</v>
      </c>
      <c r="AP40" s="2">
        <f>I40*(1-0.850056972361016)</f>
        <v>0</v>
      </c>
      <c r="AQ40" s="43" t="s">
        <v>1205</v>
      </c>
      <c r="AV40" s="2">
        <f>AW40+AX40</f>
        <v>0</v>
      </c>
      <c r="AW40" s="2">
        <f>H40*AO40</f>
        <v>0</v>
      </c>
      <c r="AX40" s="2">
        <f>H40*AP40</f>
        <v>0</v>
      </c>
      <c r="AY40" s="43" t="s">
        <v>837</v>
      </c>
      <c r="AZ40" s="43" t="s">
        <v>1212</v>
      </c>
      <c r="BA40" s="19" t="s">
        <v>1155</v>
      </c>
      <c r="BC40" s="2">
        <f>AW40+AX40</f>
        <v>0</v>
      </c>
      <c r="BD40" s="2">
        <f>I40/(100-BE40)*100</f>
        <v>0</v>
      </c>
      <c r="BE40" s="2">
        <v>0</v>
      </c>
      <c r="BF40" s="2">
        <f>40</f>
        <v>40</v>
      </c>
      <c r="BH40" s="2">
        <f>H40*AO40</f>
        <v>0</v>
      </c>
      <c r="BI40" s="2">
        <f>H40*AP40</f>
        <v>0</v>
      </c>
      <c r="BJ40" s="2">
        <f>H40*I40</f>
        <v>0</v>
      </c>
      <c r="BK40" s="2"/>
      <c r="BL40" s="2">
        <v>27</v>
      </c>
    </row>
    <row r="41" spans="1:13" ht="13.5" customHeight="1">
      <c r="A41" s="51"/>
      <c r="B41" s="32" t="s">
        <v>639</v>
      </c>
      <c r="C41" s="75" t="s">
        <v>503</v>
      </c>
      <c r="D41" s="76"/>
      <c r="E41" s="76"/>
      <c r="F41" s="76"/>
      <c r="G41" s="76"/>
      <c r="H41" s="76"/>
      <c r="I41" s="76"/>
      <c r="J41" s="76"/>
      <c r="K41" s="76"/>
      <c r="L41" s="76"/>
      <c r="M41" s="77"/>
    </row>
    <row r="42" spans="1:64" ht="15" customHeight="1">
      <c r="A42" s="15" t="s">
        <v>849</v>
      </c>
      <c r="B42" s="14" t="s">
        <v>236</v>
      </c>
      <c r="C42" s="58" t="s">
        <v>327</v>
      </c>
      <c r="D42" s="58"/>
      <c r="E42" s="58"/>
      <c r="F42" s="58"/>
      <c r="G42" s="14" t="s">
        <v>1165</v>
      </c>
      <c r="H42" s="2">
        <v>32.605</v>
      </c>
      <c r="I42" s="2">
        <v>0</v>
      </c>
      <c r="J42" s="2">
        <f>H42*AO42</f>
        <v>0</v>
      </c>
      <c r="K42" s="2">
        <f>H42*AP42</f>
        <v>0</v>
      </c>
      <c r="L42" s="2">
        <f>H42*I42</f>
        <v>0</v>
      </c>
      <c r="M42" s="7" t="s">
        <v>831</v>
      </c>
      <c r="Z42" s="2">
        <f>IF(AQ42="5",BJ42,0)</f>
        <v>0</v>
      </c>
      <c r="AB42" s="2">
        <f>IF(AQ42="1",BH42,0)</f>
        <v>0</v>
      </c>
      <c r="AC42" s="2">
        <f>IF(AQ42="1",BI42,0)</f>
        <v>0</v>
      </c>
      <c r="AD42" s="2">
        <f>IF(AQ42="7",BH42,0)</f>
        <v>0</v>
      </c>
      <c r="AE42" s="2">
        <f>IF(AQ42="7",BI42,0)</f>
        <v>0</v>
      </c>
      <c r="AF42" s="2">
        <f>IF(AQ42="2",BH42,0)</f>
        <v>0</v>
      </c>
      <c r="AG42" s="2">
        <f>IF(AQ42="2",BI42,0)</f>
        <v>0</v>
      </c>
      <c r="AH42" s="2">
        <f>IF(AQ42="0",BJ42,0)</f>
        <v>0</v>
      </c>
      <c r="AI42" s="19" t="s">
        <v>255</v>
      </c>
      <c r="AJ42" s="2">
        <f>IF(AN42=0,L42,0)</f>
        <v>0</v>
      </c>
      <c r="AK42" s="2">
        <f>IF(AN42=15,L42,0)</f>
        <v>0</v>
      </c>
      <c r="AL42" s="2">
        <f>IF(AN42=21,L42,0)</f>
        <v>0</v>
      </c>
      <c r="AN42" s="2">
        <v>15</v>
      </c>
      <c r="AO42" s="2">
        <f>I42*0.896560286115317</f>
        <v>0</v>
      </c>
      <c r="AP42" s="2">
        <f>I42*(1-0.896560286115317)</f>
        <v>0</v>
      </c>
      <c r="AQ42" s="43" t="s">
        <v>1205</v>
      </c>
      <c r="AV42" s="2">
        <f>AW42+AX42</f>
        <v>0</v>
      </c>
      <c r="AW42" s="2">
        <f>H42*AO42</f>
        <v>0</v>
      </c>
      <c r="AX42" s="2">
        <f>H42*AP42</f>
        <v>0</v>
      </c>
      <c r="AY42" s="43" t="s">
        <v>837</v>
      </c>
      <c r="AZ42" s="43" t="s">
        <v>1212</v>
      </c>
      <c r="BA42" s="19" t="s">
        <v>1155</v>
      </c>
      <c r="BC42" s="2">
        <f>AW42+AX42</f>
        <v>0</v>
      </c>
      <c r="BD42" s="2">
        <f>I42/(100-BE42)*100</f>
        <v>0</v>
      </c>
      <c r="BE42" s="2">
        <v>0</v>
      </c>
      <c r="BF42" s="2">
        <f>42</f>
        <v>42</v>
      </c>
      <c r="BH42" s="2">
        <f>H42*AO42</f>
        <v>0</v>
      </c>
      <c r="BI42" s="2">
        <f>H42*AP42</f>
        <v>0</v>
      </c>
      <c r="BJ42" s="2">
        <f>H42*I42</f>
        <v>0</v>
      </c>
      <c r="BK42" s="2"/>
      <c r="BL42" s="2">
        <v>27</v>
      </c>
    </row>
    <row r="43" spans="1:64" ht="15" customHeight="1">
      <c r="A43" s="15" t="s">
        <v>965</v>
      </c>
      <c r="B43" s="14" t="s">
        <v>333</v>
      </c>
      <c r="C43" s="58" t="s">
        <v>993</v>
      </c>
      <c r="D43" s="58"/>
      <c r="E43" s="58"/>
      <c r="F43" s="58"/>
      <c r="G43" s="14" t="s">
        <v>1189</v>
      </c>
      <c r="H43" s="2">
        <v>33.35</v>
      </c>
      <c r="I43" s="2">
        <v>0</v>
      </c>
      <c r="J43" s="2">
        <f>H43*AO43</f>
        <v>0</v>
      </c>
      <c r="K43" s="2">
        <f>H43*AP43</f>
        <v>0</v>
      </c>
      <c r="L43" s="2">
        <f>H43*I43</f>
        <v>0</v>
      </c>
      <c r="M43" s="7" t="s">
        <v>831</v>
      </c>
      <c r="Z43" s="2">
        <f>IF(AQ43="5",BJ43,0)</f>
        <v>0</v>
      </c>
      <c r="AB43" s="2">
        <f>IF(AQ43="1",BH43,0)</f>
        <v>0</v>
      </c>
      <c r="AC43" s="2">
        <f>IF(AQ43="1",BI43,0)</f>
        <v>0</v>
      </c>
      <c r="AD43" s="2">
        <f>IF(AQ43="7",BH43,0)</f>
        <v>0</v>
      </c>
      <c r="AE43" s="2">
        <f>IF(AQ43="7",BI43,0)</f>
        <v>0</v>
      </c>
      <c r="AF43" s="2">
        <f>IF(AQ43="2",BH43,0)</f>
        <v>0</v>
      </c>
      <c r="AG43" s="2">
        <f>IF(AQ43="2",BI43,0)</f>
        <v>0</v>
      </c>
      <c r="AH43" s="2">
        <f>IF(AQ43="0",BJ43,0)</f>
        <v>0</v>
      </c>
      <c r="AI43" s="19" t="s">
        <v>255</v>
      </c>
      <c r="AJ43" s="2">
        <f>IF(AN43=0,L43,0)</f>
        <v>0</v>
      </c>
      <c r="AK43" s="2">
        <f>IF(AN43=15,L43,0)</f>
        <v>0</v>
      </c>
      <c r="AL43" s="2">
        <f>IF(AN43=21,L43,0)</f>
        <v>0</v>
      </c>
      <c r="AN43" s="2">
        <v>15</v>
      </c>
      <c r="AO43" s="2">
        <f>I43*0.700905317642463</f>
        <v>0</v>
      </c>
      <c r="AP43" s="2">
        <f>I43*(1-0.700905317642463)</f>
        <v>0</v>
      </c>
      <c r="AQ43" s="43" t="s">
        <v>1205</v>
      </c>
      <c r="AV43" s="2">
        <f>AW43+AX43</f>
        <v>0</v>
      </c>
      <c r="AW43" s="2">
        <f>H43*AO43</f>
        <v>0</v>
      </c>
      <c r="AX43" s="2">
        <f>H43*AP43</f>
        <v>0</v>
      </c>
      <c r="AY43" s="43" t="s">
        <v>837</v>
      </c>
      <c r="AZ43" s="43" t="s">
        <v>1212</v>
      </c>
      <c r="BA43" s="19" t="s">
        <v>1155</v>
      </c>
      <c r="BC43" s="2">
        <f>AW43+AX43</f>
        <v>0</v>
      </c>
      <c r="BD43" s="2">
        <f>I43/(100-BE43)*100</f>
        <v>0</v>
      </c>
      <c r="BE43" s="2">
        <v>0</v>
      </c>
      <c r="BF43" s="2">
        <f>43</f>
        <v>43</v>
      </c>
      <c r="BH43" s="2">
        <f>H43*AO43</f>
        <v>0</v>
      </c>
      <c r="BI43" s="2">
        <f>H43*AP43</f>
        <v>0</v>
      </c>
      <c r="BJ43" s="2">
        <f>H43*I43</f>
        <v>0</v>
      </c>
      <c r="BK43" s="2"/>
      <c r="BL43" s="2">
        <v>27</v>
      </c>
    </row>
    <row r="44" spans="1:13" ht="13.5" customHeight="1">
      <c r="A44" s="51"/>
      <c r="B44" s="32" t="s">
        <v>639</v>
      </c>
      <c r="C44" s="75" t="s">
        <v>379</v>
      </c>
      <c r="D44" s="76"/>
      <c r="E44" s="76"/>
      <c r="F44" s="76"/>
      <c r="G44" s="76"/>
      <c r="H44" s="76"/>
      <c r="I44" s="76"/>
      <c r="J44" s="76"/>
      <c r="K44" s="76"/>
      <c r="L44" s="76"/>
      <c r="M44" s="77"/>
    </row>
    <row r="45" spans="1:64" ht="15" customHeight="1">
      <c r="A45" s="15" t="s">
        <v>772</v>
      </c>
      <c r="B45" s="14" t="s">
        <v>615</v>
      </c>
      <c r="C45" s="58" t="s">
        <v>1211</v>
      </c>
      <c r="D45" s="58"/>
      <c r="E45" s="58"/>
      <c r="F45" s="58"/>
      <c r="G45" s="14" t="s">
        <v>1189</v>
      </c>
      <c r="H45" s="2">
        <v>5.225</v>
      </c>
      <c r="I45" s="2">
        <v>0</v>
      </c>
      <c r="J45" s="2">
        <f>H45*AO45</f>
        <v>0</v>
      </c>
      <c r="K45" s="2">
        <f>H45*AP45</f>
        <v>0</v>
      </c>
      <c r="L45" s="2">
        <f>H45*I45</f>
        <v>0</v>
      </c>
      <c r="M45" s="7" t="s">
        <v>831</v>
      </c>
      <c r="Z45" s="2">
        <f>IF(AQ45="5",BJ45,0)</f>
        <v>0</v>
      </c>
      <c r="AB45" s="2">
        <f>IF(AQ45="1",BH45,0)</f>
        <v>0</v>
      </c>
      <c r="AC45" s="2">
        <f>IF(AQ45="1",BI45,0)</f>
        <v>0</v>
      </c>
      <c r="AD45" s="2">
        <f>IF(AQ45="7",BH45,0)</f>
        <v>0</v>
      </c>
      <c r="AE45" s="2">
        <f>IF(AQ45="7",BI45,0)</f>
        <v>0</v>
      </c>
      <c r="AF45" s="2">
        <f>IF(AQ45="2",BH45,0)</f>
        <v>0</v>
      </c>
      <c r="AG45" s="2">
        <f>IF(AQ45="2",BI45,0)</f>
        <v>0</v>
      </c>
      <c r="AH45" s="2">
        <f>IF(AQ45="0",BJ45,0)</f>
        <v>0</v>
      </c>
      <c r="AI45" s="19" t="s">
        <v>255</v>
      </c>
      <c r="AJ45" s="2">
        <f>IF(AN45=0,L45,0)</f>
        <v>0</v>
      </c>
      <c r="AK45" s="2">
        <f>IF(AN45=15,L45,0)</f>
        <v>0</v>
      </c>
      <c r="AL45" s="2">
        <f>IF(AN45=21,L45,0)</f>
        <v>0</v>
      </c>
      <c r="AN45" s="2">
        <v>15</v>
      </c>
      <c r="AO45" s="2">
        <f>I45*0.759537976543694</f>
        <v>0</v>
      </c>
      <c r="AP45" s="2">
        <f>I45*(1-0.759537976543694)</f>
        <v>0</v>
      </c>
      <c r="AQ45" s="43" t="s">
        <v>1205</v>
      </c>
      <c r="AV45" s="2">
        <f>AW45+AX45</f>
        <v>0</v>
      </c>
      <c r="AW45" s="2">
        <f>H45*AO45</f>
        <v>0</v>
      </c>
      <c r="AX45" s="2">
        <f>H45*AP45</f>
        <v>0</v>
      </c>
      <c r="AY45" s="43" t="s">
        <v>837</v>
      </c>
      <c r="AZ45" s="43" t="s">
        <v>1212</v>
      </c>
      <c r="BA45" s="19" t="s">
        <v>1155</v>
      </c>
      <c r="BC45" s="2">
        <f>AW45+AX45</f>
        <v>0</v>
      </c>
      <c r="BD45" s="2">
        <f>I45/(100-BE45)*100</f>
        <v>0</v>
      </c>
      <c r="BE45" s="2">
        <v>0</v>
      </c>
      <c r="BF45" s="2">
        <f>45</f>
        <v>45</v>
      </c>
      <c r="BH45" s="2">
        <f>H45*AO45</f>
        <v>0</v>
      </c>
      <c r="BI45" s="2">
        <f>H45*AP45</f>
        <v>0</v>
      </c>
      <c r="BJ45" s="2">
        <f>H45*I45</f>
        <v>0</v>
      </c>
      <c r="BK45" s="2"/>
      <c r="BL45" s="2">
        <v>27</v>
      </c>
    </row>
    <row r="46" spans="1:13" ht="13.5" customHeight="1">
      <c r="A46" s="51"/>
      <c r="B46" s="32" t="s">
        <v>639</v>
      </c>
      <c r="C46" s="75" t="s">
        <v>379</v>
      </c>
      <c r="D46" s="76"/>
      <c r="E46" s="76"/>
      <c r="F46" s="76"/>
      <c r="G46" s="76"/>
      <c r="H46" s="76"/>
      <c r="I46" s="76"/>
      <c r="J46" s="76"/>
      <c r="K46" s="76"/>
      <c r="L46" s="76"/>
      <c r="M46" s="77"/>
    </row>
    <row r="47" spans="1:64" ht="15" customHeight="1">
      <c r="A47" s="15" t="s">
        <v>56</v>
      </c>
      <c r="B47" s="14" t="s">
        <v>212</v>
      </c>
      <c r="C47" s="58" t="s">
        <v>1238</v>
      </c>
      <c r="D47" s="58"/>
      <c r="E47" s="58"/>
      <c r="F47" s="58"/>
      <c r="G47" s="14" t="s">
        <v>584</v>
      </c>
      <c r="H47" s="2">
        <v>0.295</v>
      </c>
      <c r="I47" s="2">
        <v>0</v>
      </c>
      <c r="J47" s="2">
        <f>H47*AO47</f>
        <v>0</v>
      </c>
      <c r="K47" s="2">
        <f>H47*AP47</f>
        <v>0</v>
      </c>
      <c r="L47" s="2">
        <f>H47*I47</f>
        <v>0</v>
      </c>
      <c r="M47" s="7" t="s">
        <v>831</v>
      </c>
      <c r="Z47" s="2">
        <f>IF(AQ47="5",BJ47,0)</f>
        <v>0</v>
      </c>
      <c r="AB47" s="2">
        <f>IF(AQ47="1",BH47,0)</f>
        <v>0</v>
      </c>
      <c r="AC47" s="2">
        <f>IF(AQ47="1",BI47,0)</f>
        <v>0</v>
      </c>
      <c r="AD47" s="2">
        <f>IF(AQ47="7",BH47,0)</f>
        <v>0</v>
      </c>
      <c r="AE47" s="2">
        <f>IF(AQ47="7",BI47,0)</f>
        <v>0</v>
      </c>
      <c r="AF47" s="2">
        <f>IF(AQ47="2",BH47,0)</f>
        <v>0</v>
      </c>
      <c r="AG47" s="2">
        <f>IF(AQ47="2",BI47,0)</f>
        <v>0</v>
      </c>
      <c r="AH47" s="2">
        <f>IF(AQ47="0",BJ47,0)</f>
        <v>0</v>
      </c>
      <c r="AI47" s="19" t="s">
        <v>255</v>
      </c>
      <c r="AJ47" s="2">
        <f>IF(AN47=0,L47,0)</f>
        <v>0</v>
      </c>
      <c r="AK47" s="2">
        <f>IF(AN47=15,L47,0)</f>
        <v>0</v>
      </c>
      <c r="AL47" s="2">
        <f>IF(AN47=21,L47,0)</f>
        <v>0</v>
      </c>
      <c r="AN47" s="2">
        <v>15</v>
      </c>
      <c r="AO47" s="2">
        <f>I47*0.770342100240807</f>
        <v>0</v>
      </c>
      <c r="AP47" s="2">
        <f>I47*(1-0.770342100240807)</f>
        <v>0</v>
      </c>
      <c r="AQ47" s="43" t="s">
        <v>1205</v>
      </c>
      <c r="AV47" s="2">
        <f>AW47+AX47</f>
        <v>0</v>
      </c>
      <c r="AW47" s="2">
        <f>H47*AO47</f>
        <v>0</v>
      </c>
      <c r="AX47" s="2">
        <f>H47*AP47</f>
        <v>0</v>
      </c>
      <c r="AY47" s="43" t="s">
        <v>837</v>
      </c>
      <c r="AZ47" s="43" t="s">
        <v>1212</v>
      </c>
      <c r="BA47" s="19" t="s">
        <v>1155</v>
      </c>
      <c r="BC47" s="2">
        <f>AW47+AX47</f>
        <v>0</v>
      </c>
      <c r="BD47" s="2">
        <f>I47/(100-BE47)*100</f>
        <v>0</v>
      </c>
      <c r="BE47" s="2">
        <v>0</v>
      </c>
      <c r="BF47" s="2">
        <f>47</f>
        <v>47</v>
      </c>
      <c r="BH47" s="2">
        <f>H47*AO47</f>
        <v>0</v>
      </c>
      <c r="BI47" s="2">
        <f>H47*AP47</f>
        <v>0</v>
      </c>
      <c r="BJ47" s="2">
        <f>H47*I47</f>
        <v>0</v>
      </c>
      <c r="BK47" s="2"/>
      <c r="BL47" s="2">
        <v>27</v>
      </c>
    </row>
    <row r="48" spans="1:13" ht="13.5" customHeight="1">
      <c r="A48" s="51"/>
      <c r="B48" s="32" t="s">
        <v>639</v>
      </c>
      <c r="C48" s="75" t="s">
        <v>1176</v>
      </c>
      <c r="D48" s="76"/>
      <c r="E48" s="76"/>
      <c r="F48" s="76"/>
      <c r="G48" s="76"/>
      <c r="H48" s="76"/>
      <c r="I48" s="76"/>
      <c r="J48" s="76"/>
      <c r="K48" s="76"/>
      <c r="L48" s="76"/>
      <c r="M48" s="77"/>
    </row>
    <row r="49" spans="1:64" ht="15" customHeight="1">
      <c r="A49" s="15" t="s">
        <v>859</v>
      </c>
      <c r="B49" s="14" t="s">
        <v>212</v>
      </c>
      <c r="C49" s="58" t="s">
        <v>1238</v>
      </c>
      <c r="D49" s="58"/>
      <c r="E49" s="58"/>
      <c r="F49" s="58"/>
      <c r="G49" s="14" t="s">
        <v>584</v>
      </c>
      <c r="H49" s="2">
        <v>0.04</v>
      </c>
      <c r="I49" s="2">
        <v>0</v>
      </c>
      <c r="J49" s="2">
        <f>H49*AO49</f>
        <v>0</v>
      </c>
      <c r="K49" s="2">
        <f>H49*AP49</f>
        <v>0</v>
      </c>
      <c r="L49" s="2">
        <f>H49*I49</f>
        <v>0</v>
      </c>
      <c r="M49" s="7" t="s">
        <v>831</v>
      </c>
      <c r="Z49" s="2">
        <f>IF(AQ49="5",BJ49,0)</f>
        <v>0</v>
      </c>
      <c r="AB49" s="2">
        <f>IF(AQ49="1",BH49,0)</f>
        <v>0</v>
      </c>
      <c r="AC49" s="2">
        <f>IF(AQ49="1",BI49,0)</f>
        <v>0</v>
      </c>
      <c r="AD49" s="2">
        <f>IF(AQ49="7",BH49,0)</f>
        <v>0</v>
      </c>
      <c r="AE49" s="2">
        <f>IF(AQ49="7",BI49,0)</f>
        <v>0</v>
      </c>
      <c r="AF49" s="2">
        <f>IF(AQ49="2",BH49,0)</f>
        <v>0</v>
      </c>
      <c r="AG49" s="2">
        <f>IF(AQ49="2",BI49,0)</f>
        <v>0</v>
      </c>
      <c r="AH49" s="2">
        <f>IF(AQ49="0",BJ49,0)</f>
        <v>0</v>
      </c>
      <c r="AI49" s="19" t="s">
        <v>255</v>
      </c>
      <c r="AJ49" s="2">
        <f>IF(AN49=0,L49,0)</f>
        <v>0</v>
      </c>
      <c r="AK49" s="2">
        <f>IF(AN49=15,L49,0)</f>
        <v>0</v>
      </c>
      <c r="AL49" s="2">
        <f>IF(AN49=21,L49,0)</f>
        <v>0</v>
      </c>
      <c r="AN49" s="2">
        <v>15</v>
      </c>
      <c r="AO49" s="2">
        <f>I49*0.770344262295082</f>
        <v>0</v>
      </c>
      <c r="AP49" s="2">
        <f>I49*(1-0.770344262295082)</f>
        <v>0</v>
      </c>
      <c r="AQ49" s="43" t="s">
        <v>1205</v>
      </c>
      <c r="AV49" s="2">
        <f>AW49+AX49</f>
        <v>0</v>
      </c>
      <c r="AW49" s="2">
        <f>H49*AO49</f>
        <v>0</v>
      </c>
      <c r="AX49" s="2">
        <f>H49*AP49</f>
        <v>0</v>
      </c>
      <c r="AY49" s="43" t="s">
        <v>837</v>
      </c>
      <c r="AZ49" s="43" t="s">
        <v>1212</v>
      </c>
      <c r="BA49" s="19" t="s">
        <v>1155</v>
      </c>
      <c r="BC49" s="2">
        <f>AW49+AX49</f>
        <v>0</v>
      </c>
      <c r="BD49" s="2">
        <f>I49/(100-BE49)*100</f>
        <v>0</v>
      </c>
      <c r="BE49" s="2">
        <v>0</v>
      </c>
      <c r="BF49" s="2">
        <f>49</f>
        <v>49</v>
      </c>
      <c r="BH49" s="2">
        <f>H49*AO49</f>
        <v>0</v>
      </c>
      <c r="BI49" s="2">
        <f>H49*AP49</f>
        <v>0</v>
      </c>
      <c r="BJ49" s="2">
        <f>H49*I49</f>
        <v>0</v>
      </c>
      <c r="BK49" s="2"/>
      <c r="BL49" s="2">
        <v>27</v>
      </c>
    </row>
    <row r="50" spans="1:13" ht="13.5" customHeight="1">
      <c r="A50" s="51"/>
      <c r="B50" s="32" t="s">
        <v>639</v>
      </c>
      <c r="C50" s="75" t="s">
        <v>1348</v>
      </c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1:64" ht="15" customHeight="1">
      <c r="A51" s="15" t="s">
        <v>1149</v>
      </c>
      <c r="B51" s="14" t="s">
        <v>1247</v>
      </c>
      <c r="C51" s="58" t="s">
        <v>35</v>
      </c>
      <c r="D51" s="58"/>
      <c r="E51" s="58"/>
      <c r="F51" s="58"/>
      <c r="G51" s="14" t="s">
        <v>584</v>
      </c>
      <c r="H51" s="2">
        <v>0.135</v>
      </c>
      <c r="I51" s="2">
        <v>0</v>
      </c>
      <c r="J51" s="2">
        <f>H51*AO51</f>
        <v>0</v>
      </c>
      <c r="K51" s="2">
        <f>H51*AP51</f>
        <v>0</v>
      </c>
      <c r="L51" s="2">
        <f>H51*I51</f>
        <v>0</v>
      </c>
      <c r="M51" s="7" t="s">
        <v>831</v>
      </c>
      <c r="Z51" s="2">
        <f>IF(AQ51="5",BJ51,0)</f>
        <v>0</v>
      </c>
      <c r="AB51" s="2">
        <f>IF(AQ51="1",BH51,0)</f>
        <v>0</v>
      </c>
      <c r="AC51" s="2">
        <f>IF(AQ51="1",BI51,0)</f>
        <v>0</v>
      </c>
      <c r="AD51" s="2">
        <f>IF(AQ51="7",BH51,0)</f>
        <v>0</v>
      </c>
      <c r="AE51" s="2">
        <f>IF(AQ51="7",BI51,0)</f>
        <v>0</v>
      </c>
      <c r="AF51" s="2">
        <f>IF(AQ51="2",BH51,0)</f>
        <v>0</v>
      </c>
      <c r="AG51" s="2">
        <f>IF(AQ51="2",BI51,0)</f>
        <v>0</v>
      </c>
      <c r="AH51" s="2">
        <f>IF(AQ51="0",BJ51,0)</f>
        <v>0</v>
      </c>
      <c r="AI51" s="19" t="s">
        <v>255</v>
      </c>
      <c r="AJ51" s="2">
        <f>IF(AN51=0,L51,0)</f>
        <v>0</v>
      </c>
      <c r="AK51" s="2">
        <f>IF(AN51=15,L51,0)</f>
        <v>0</v>
      </c>
      <c r="AL51" s="2">
        <f>IF(AN51=21,L51,0)</f>
        <v>0</v>
      </c>
      <c r="AN51" s="2">
        <v>15</v>
      </c>
      <c r="AO51" s="2">
        <f>I51*0.845978826728827</f>
        <v>0</v>
      </c>
      <c r="AP51" s="2">
        <f>I51*(1-0.845978826728827)</f>
        <v>0</v>
      </c>
      <c r="AQ51" s="43" t="s">
        <v>1205</v>
      </c>
      <c r="AV51" s="2">
        <f>AW51+AX51</f>
        <v>0</v>
      </c>
      <c r="AW51" s="2">
        <f>H51*AO51</f>
        <v>0</v>
      </c>
      <c r="AX51" s="2">
        <f>H51*AP51</f>
        <v>0</v>
      </c>
      <c r="AY51" s="43" t="s">
        <v>837</v>
      </c>
      <c r="AZ51" s="43" t="s">
        <v>1212</v>
      </c>
      <c r="BA51" s="19" t="s">
        <v>1155</v>
      </c>
      <c r="BC51" s="2">
        <f>AW51+AX51</f>
        <v>0</v>
      </c>
      <c r="BD51" s="2">
        <f>I51/(100-BE51)*100</f>
        <v>0</v>
      </c>
      <c r="BE51" s="2">
        <v>0</v>
      </c>
      <c r="BF51" s="2">
        <f>51</f>
        <v>51</v>
      </c>
      <c r="BH51" s="2">
        <f>H51*AO51</f>
        <v>0</v>
      </c>
      <c r="BI51" s="2">
        <f>H51*AP51</f>
        <v>0</v>
      </c>
      <c r="BJ51" s="2">
        <f>H51*I51</f>
        <v>0</v>
      </c>
      <c r="BK51" s="2"/>
      <c r="BL51" s="2">
        <v>27</v>
      </c>
    </row>
    <row r="52" spans="1:13" ht="13.5" customHeight="1">
      <c r="A52" s="51"/>
      <c r="B52" s="32" t="s">
        <v>639</v>
      </c>
      <c r="C52" s="75" t="s">
        <v>214</v>
      </c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64" ht="15" customHeight="1">
      <c r="A53" s="15" t="s">
        <v>563</v>
      </c>
      <c r="B53" s="14" t="s">
        <v>402</v>
      </c>
      <c r="C53" s="58" t="s">
        <v>1178</v>
      </c>
      <c r="D53" s="58"/>
      <c r="E53" s="58"/>
      <c r="F53" s="58"/>
      <c r="G53" s="14" t="s">
        <v>319</v>
      </c>
      <c r="H53" s="2">
        <v>11</v>
      </c>
      <c r="I53" s="2">
        <v>0</v>
      </c>
      <c r="J53" s="2">
        <f>H53*AO53</f>
        <v>0</v>
      </c>
      <c r="K53" s="2">
        <f>H53*AP53</f>
        <v>0</v>
      </c>
      <c r="L53" s="2">
        <f>H53*I53</f>
        <v>0</v>
      </c>
      <c r="M53" s="7" t="s">
        <v>831</v>
      </c>
      <c r="Z53" s="2">
        <f>IF(AQ53="5",BJ53,0)</f>
        <v>0</v>
      </c>
      <c r="AB53" s="2">
        <f>IF(AQ53="1",BH53,0)</f>
        <v>0</v>
      </c>
      <c r="AC53" s="2">
        <f>IF(AQ53="1",BI53,0)</f>
        <v>0</v>
      </c>
      <c r="AD53" s="2">
        <f>IF(AQ53="7",BH53,0)</f>
        <v>0</v>
      </c>
      <c r="AE53" s="2">
        <f>IF(AQ53="7",BI53,0)</f>
        <v>0</v>
      </c>
      <c r="AF53" s="2">
        <f>IF(AQ53="2",BH53,0)</f>
        <v>0</v>
      </c>
      <c r="AG53" s="2">
        <f>IF(AQ53="2",BI53,0)</f>
        <v>0</v>
      </c>
      <c r="AH53" s="2">
        <f>IF(AQ53="0",BJ53,0)</f>
        <v>0</v>
      </c>
      <c r="AI53" s="19" t="s">
        <v>255</v>
      </c>
      <c r="AJ53" s="2">
        <f>IF(AN53=0,L53,0)</f>
        <v>0</v>
      </c>
      <c r="AK53" s="2">
        <f>IF(AN53=15,L53,0)</f>
        <v>0</v>
      </c>
      <c r="AL53" s="2">
        <f>IF(AN53=21,L53,0)</f>
        <v>0</v>
      </c>
      <c r="AN53" s="2">
        <v>15</v>
      </c>
      <c r="AO53" s="2">
        <f>I53*0.818274547187798</f>
        <v>0</v>
      </c>
      <c r="AP53" s="2">
        <f>I53*(1-0.818274547187798)</f>
        <v>0</v>
      </c>
      <c r="AQ53" s="43" t="s">
        <v>1205</v>
      </c>
      <c r="AV53" s="2">
        <f>AW53+AX53</f>
        <v>0</v>
      </c>
      <c r="AW53" s="2">
        <f>H53*AO53</f>
        <v>0</v>
      </c>
      <c r="AX53" s="2">
        <f>H53*AP53</f>
        <v>0</v>
      </c>
      <c r="AY53" s="43" t="s">
        <v>837</v>
      </c>
      <c r="AZ53" s="43" t="s">
        <v>1212</v>
      </c>
      <c r="BA53" s="19" t="s">
        <v>1155</v>
      </c>
      <c r="BC53" s="2">
        <f>AW53+AX53</f>
        <v>0</v>
      </c>
      <c r="BD53" s="2">
        <f>I53/(100-BE53)*100</f>
        <v>0</v>
      </c>
      <c r="BE53" s="2">
        <v>0</v>
      </c>
      <c r="BF53" s="2">
        <f>53</f>
        <v>53</v>
      </c>
      <c r="BH53" s="2">
        <f>H53*AO53</f>
        <v>0</v>
      </c>
      <c r="BI53" s="2">
        <f>H53*AP53</f>
        <v>0</v>
      </c>
      <c r="BJ53" s="2">
        <f>H53*I53</f>
        <v>0</v>
      </c>
      <c r="BK53" s="2"/>
      <c r="BL53" s="2">
        <v>27</v>
      </c>
    </row>
    <row r="54" spans="1:47" ht="15" customHeight="1">
      <c r="A54" s="48" t="s">
        <v>844</v>
      </c>
      <c r="B54" s="17" t="s">
        <v>1314</v>
      </c>
      <c r="C54" s="74" t="s">
        <v>676</v>
      </c>
      <c r="D54" s="74"/>
      <c r="E54" s="74"/>
      <c r="F54" s="74"/>
      <c r="G54" s="40" t="s">
        <v>1110</v>
      </c>
      <c r="H54" s="40" t="s">
        <v>1110</v>
      </c>
      <c r="I54" s="40" t="s">
        <v>1110</v>
      </c>
      <c r="J54" s="23">
        <f>SUM(J55:J55)</f>
        <v>0</v>
      </c>
      <c r="K54" s="23">
        <f>SUM(K55:K55)</f>
        <v>0</v>
      </c>
      <c r="L54" s="23">
        <f>SUM(L55:L55)</f>
        <v>0</v>
      </c>
      <c r="M54" s="37" t="s">
        <v>844</v>
      </c>
      <c r="AI54" s="19" t="s">
        <v>255</v>
      </c>
      <c r="AS54" s="23">
        <f>SUM(AJ55:AJ55)</f>
        <v>0</v>
      </c>
      <c r="AT54" s="23">
        <f>SUM(AK55:AK55)</f>
        <v>0</v>
      </c>
      <c r="AU54" s="23">
        <f>SUM(AL55:AL55)</f>
        <v>0</v>
      </c>
    </row>
    <row r="55" spans="1:64" ht="15" customHeight="1">
      <c r="A55" s="15" t="s">
        <v>117</v>
      </c>
      <c r="B55" s="14" t="s">
        <v>773</v>
      </c>
      <c r="C55" s="58" t="s">
        <v>475</v>
      </c>
      <c r="D55" s="58"/>
      <c r="E55" s="58"/>
      <c r="F55" s="58"/>
      <c r="G55" s="14" t="s">
        <v>1189</v>
      </c>
      <c r="H55" s="2">
        <v>218.9</v>
      </c>
      <c r="I55" s="2">
        <v>0</v>
      </c>
      <c r="J55" s="2">
        <f>H55*AO55</f>
        <v>0</v>
      </c>
      <c r="K55" s="2">
        <f>H55*AP55</f>
        <v>0</v>
      </c>
      <c r="L55" s="2">
        <f>H55*I55</f>
        <v>0</v>
      </c>
      <c r="M55" s="7" t="s">
        <v>831</v>
      </c>
      <c r="Z55" s="2">
        <f>IF(AQ55="5",BJ55,0)</f>
        <v>0</v>
      </c>
      <c r="AB55" s="2">
        <f>IF(AQ55="1",BH55,0)</f>
        <v>0</v>
      </c>
      <c r="AC55" s="2">
        <f>IF(AQ55="1",BI55,0)</f>
        <v>0</v>
      </c>
      <c r="AD55" s="2">
        <f>IF(AQ55="7",BH55,0)</f>
        <v>0</v>
      </c>
      <c r="AE55" s="2">
        <f>IF(AQ55="7",BI55,0)</f>
        <v>0</v>
      </c>
      <c r="AF55" s="2">
        <f>IF(AQ55="2",BH55,0)</f>
        <v>0</v>
      </c>
      <c r="AG55" s="2">
        <f>IF(AQ55="2",BI55,0)</f>
        <v>0</v>
      </c>
      <c r="AH55" s="2">
        <f>IF(AQ55="0",BJ55,0)</f>
        <v>0</v>
      </c>
      <c r="AI55" s="19" t="s">
        <v>255</v>
      </c>
      <c r="AJ55" s="2">
        <f>IF(AN55=0,L55,0)</f>
        <v>0</v>
      </c>
      <c r="AK55" s="2">
        <f>IF(AN55=15,L55,0)</f>
        <v>0</v>
      </c>
      <c r="AL55" s="2">
        <f>IF(AN55=21,L55,0)</f>
        <v>0</v>
      </c>
      <c r="AN55" s="2">
        <v>15</v>
      </c>
      <c r="AO55" s="2">
        <f>I55*0.292102828630188</f>
        <v>0</v>
      </c>
      <c r="AP55" s="2">
        <f>I55*(1-0.292102828630188)</f>
        <v>0</v>
      </c>
      <c r="AQ55" s="43" t="s">
        <v>1205</v>
      </c>
      <c r="AV55" s="2">
        <f>AW55+AX55</f>
        <v>0</v>
      </c>
      <c r="AW55" s="2">
        <f>H55*AO55</f>
        <v>0</v>
      </c>
      <c r="AX55" s="2">
        <f>H55*AP55</f>
        <v>0</v>
      </c>
      <c r="AY55" s="43" t="s">
        <v>577</v>
      </c>
      <c r="AZ55" s="43" t="s">
        <v>1212</v>
      </c>
      <c r="BA55" s="19" t="s">
        <v>1155</v>
      </c>
      <c r="BC55" s="2">
        <f>AW55+AX55</f>
        <v>0</v>
      </c>
      <c r="BD55" s="2">
        <f>I55/(100-BE55)*100</f>
        <v>0</v>
      </c>
      <c r="BE55" s="2">
        <v>0</v>
      </c>
      <c r="BF55" s="2">
        <f>55</f>
        <v>55</v>
      </c>
      <c r="BH55" s="2">
        <f>H55*AO55</f>
        <v>0</v>
      </c>
      <c r="BI55" s="2">
        <f>H55*AP55</f>
        <v>0</v>
      </c>
      <c r="BJ55" s="2">
        <f>H55*I55</f>
        <v>0</v>
      </c>
      <c r="BK55" s="2"/>
      <c r="BL55" s="2">
        <v>28</v>
      </c>
    </row>
    <row r="56" spans="1:47" ht="15" customHeight="1">
      <c r="A56" s="48" t="s">
        <v>844</v>
      </c>
      <c r="B56" s="17" t="s">
        <v>725</v>
      </c>
      <c r="C56" s="74" t="s">
        <v>1156</v>
      </c>
      <c r="D56" s="74"/>
      <c r="E56" s="74"/>
      <c r="F56" s="74"/>
      <c r="G56" s="40" t="s">
        <v>1110</v>
      </c>
      <c r="H56" s="40" t="s">
        <v>1110</v>
      </c>
      <c r="I56" s="40" t="s">
        <v>1110</v>
      </c>
      <c r="J56" s="23">
        <f>SUM(J57:J78)</f>
        <v>0</v>
      </c>
      <c r="K56" s="23">
        <f>SUM(K57:K78)</f>
        <v>0</v>
      </c>
      <c r="L56" s="23">
        <f>SUM(L57:L78)</f>
        <v>0</v>
      </c>
      <c r="M56" s="37" t="s">
        <v>844</v>
      </c>
      <c r="AI56" s="19" t="s">
        <v>255</v>
      </c>
      <c r="AS56" s="23">
        <f>SUM(AJ57:AJ78)</f>
        <v>0</v>
      </c>
      <c r="AT56" s="23">
        <f>SUM(AK57:AK78)</f>
        <v>0</v>
      </c>
      <c r="AU56" s="23">
        <f>SUM(AL57:AL78)</f>
        <v>0</v>
      </c>
    </row>
    <row r="57" spans="1:64" ht="15" customHeight="1">
      <c r="A57" s="15" t="s">
        <v>317</v>
      </c>
      <c r="B57" s="14" t="s">
        <v>622</v>
      </c>
      <c r="C57" s="58" t="s">
        <v>47</v>
      </c>
      <c r="D57" s="58"/>
      <c r="E57" s="58"/>
      <c r="F57" s="58"/>
      <c r="G57" s="14" t="s">
        <v>1189</v>
      </c>
      <c r="H57" s="2">
        <v>144.375</v>
      </c>
      <c r="I57" s="2">
        <v>0</v>
      </c>
      <c r="J57" s="2">
        <f aca="true" t="shared" si="0" ref="J57:J63">H57*AO57</f>
        <v>0</v>
      </c>
      <c r="K57" s="2">
        <f aca="true" t="shared" si="1" ref="K57:K63">H57*AP57</f>
        <v>0</v>
      </c>
      <c r="L57" s="2">
        <f aca="true" t="shared" si="2" ref="L57:L63">H57*I57</f>
        <v>0</v>
      </c>
      <c r="M57" s="7" t="s">
        <v>831</v>
      </c>
      <c r="Z57" s="2">
        <f aca="true" t="shared" si="3" ref="Z57:Z63">IF(AQ57="5",BJ57,0)</f>
        <v>0</v>
      </c>
      <c r="AB57" s="2">
        <f aca="true" t="shared" si="4" ref="AB57:AB63">IF(AQ57="1",BH57,0)</f>
        <v>0</v>
      </c>
      <c r="AC57" s="2">
        <f aca="true" t="shared" si="5" ref="AC57:AC63">IF(AQ57="1",BI57,0)</f>
        <v>0</v>
      </c>
      <c r="AD57" s="2">
        <f aca="true" t="shared" si="6" ref="AD57:AD63">IF(AQ57="7",BH57,0)</f>
        <v>0</v>
      </c>
      <c r="AE57" s="2">
        <f aca="true" t="shared" si="7" ref="AE57:AE63">IF(AQ57="7",BI57,0)</f>
        <v>0</v>
      </c>
      <c r="AF57" s="2">
        <f aca="true" t="shared" si="8" ref="AF57:AF63">IF(AQ57="2",BH57,0)</f>
        <v>0</v>
      </c>
      <c r="AG57" s="2">
        <f aca="true" t="shared" si="9" ref="AG57:AG63">IF(AQ57="2",BI57,0)</f>
        <v>0</v>
      </c>
      <c r="AH57" s="2">
        <f aca="true" t="shared" si="10" ref="AH57:AH63">IF(AQ57="0",BJ57,0)</f>
        <v>0</v>
      </c>
      <c r="AI57" s="19" t="s">
        <v>255</v>
      </c>
      <c r="AJ57" s="2">
        <f aca="true" t="shared" si="11" ref="AJ57:AJ63">IF(AN57=0,L57,0)</f>
        <v>0</v>
      </c>
      <c r="AK57" s="2">
        <f aca="true" t="shared" si="12" ref="AK57:AK63">IF(AN57=15,L57,0)</f>
        <v>0</v>
      </c>
      <c r="AL57" s="2">
        <f aca="true" t="shared" si="13" ref="AL57:AL63">IF(AN57=21,L57,0)</f>
        <v>0</v>
      </c>
      <c r="AN57" s="2">
        <v>15</v>
      </c>
      <c r="AO57" s="2">
        <f>I57*0.853786709382531</f>
        <v>0</v>
      </c>
      <c r="AP57" s="2">
        <f>I57*(1-0.853786709382531)</f>
        <v>0</v>
      </c>
      <c r="AQ57" s="43" t="s">
        <v>1205</v>
      </c>
      <c r="AV57" s="2">
        <f aca="true" t="shared" si="14" ref="AV57:AV63">AW57+AX57</f>
        <v>0</v>
      </c>
      <c r="AW57" s="2">
        <f aca="true" t="shared" si="15" ref="AW57:AW63">H57*AO57</f>
        <v>0</v>
      </c>
      <c r="AX57" s="2">
        <f aca="true" t="shared" si="16" ref="AX57:AX63">H57*AP57</f>
        <v>0</v>
      </c>
      <c r="AY57" s="43" t="s">
        <v>870</v>
      </c>
      <c r="AZ57" s="43" t="s">
        <v>1313</v>
      </c>
      <c r="BA57" s="19" t="s">
        <v>1155</v>
      </c>
      <c r="BC57" s="2">
        <f aca="true" t="shared" si="17" ref="BC57:BC63">AW57+AX57</f>
        <v>0</v>
      </c>
      <c r="BD57" s="2">
        <f aca="true" t="shared" si="18" ref="BD57:BD63">I57/(100-BE57)*100</f>
        <v>0</v>
      </c>
      <c r="BE57" s="2">
        <v>0</v>
      </c>
      <c r="BF57" s="2">
        <f>57</f>
        <v>57</v>
      </c>
      <c r="BH57" s="2">
        <f aca="true" t="shared" si="19" ref="BH57:BH63">H57*AO57</f>
        <v>0</v>
      </c>
      <c r="BI57" s="2">
        <f aca="true" t="shared" si="20" ref="BI57:BI63">H57*AP57</f>
        <v>0</v>
      </c>
      <c r="BJ57" s="2">
        <f aca="true" t="shared" si="21" ref="BJ57:BJ63">H57*I57</f>
        <v>0</v>
      </c>
      <c r="BK57" s="2"/>
      <c r="BL57" s="2">
        <v>31</v>
      </c>
    </row>
    <row r="58" spans="1:64" ht="15" customHeight="1">
      <c r="A58" s="15" t="s">
        <v>171</v>
      </c>
      <c r="B58" s="14" t="s">
        <v>1094</v>
      </c>
      <c r="C58" s="58" t="s">
        <v>613</v>
      </c>
      <c r="D58" s="58"/>
      <c r="E58" s="58"/>
      <c r="F58" s="58"/>
      <c r="G58" s="14" t="s">
        <v>1189</v>
      </c>
      <c r="H58" s="2">
        <v>202.98</v>
      </c>
      <c r="I58" s="2">
        <v>0</v>
      </c>
      <c r="J58" s="2">
        <f t="shared" si="0"/>
        <v>0</v>
      </c>
      <c r="K58" s="2">
        <f t="shared" si="1"/>
        <v>0</v>
      </c>
      <c r="L58" s="2">
        <f t="shared" si="2"/>
        <v>0</v>
      </c>
      <c r="M58" s="7" t="s">
        <v>831</v>
      </c>
      <c r="Z58" s="2">
        <f t="shared" si="3"/>
        <v>0</v>
      </c>
      <c r="AB58" s="2">
        <f t="shared" si="4"/>
        <v>0</v>
      </c>
      <c r="AC58" s="2">
        <f t="shared" si="5"/>
        <v>0</v>
      </c>
      <c r="AD58" s="2">
        <f t="shared" si="6"/>
        <v>0</v>
      </c>
      <c r="AE58" s="2">
        <f t="shared" si="7"/>
        <v>0</v>
      </c>
      <c r="AF58" s="2">
        <f t="shared" si="8"/>
        <v>0</v>
      </c>
      <c r="AG58" s="2">
        <f t="shared" si="9"/>
        <v>0</v>
      </c>
      <c r="AH58" s="2">
        <f t="shared" si="10"/>
        <v>0</v>
      </c>
      <c r="AI58" s="19" t="s">
        <v>255</v>
      </c>
      <c r="AJ58" s="2">
        <f t="shared" si="11"/>
        <v>0</v>
      </c>
      <c r="AK58" s="2">
        <f t="shared" si="12"/>
        <v>0</v>
      </c>
      <c r="AL58" s="2">
        <f t="shared" si="13"/>
        <v>0</v>
      </c>
      <c r="AN58" s="2">
        <v>15</v>
      </c>
      <c r="AO58" s="2">
        <f>I58*0.838361386138614</f>
        <v>0</v>
      </c>
      <c r="AP58" s="2">
        <f>I58*(1-0.838361386138614)</f>
        <v>0</v>
      </c>
      <c r="AQ58" s="43" t="s">
        <v>1205</v>
      </c>
      <c r="AV58" s="2">
        <f t="shared" si="14"/>
        <v>0</v>
      </c>
      <c r="AW58" s="2">
        <f t="shared" si="15"/>
        <v>0</v>
      </c>
      <c r="AX58" s="2">
        <f t="shared" si="16"/>
        <v>0</v>
      </c>
      <c r="AY58" s="43" t="s">
        <v>870</v>
      </c>
      <c r="AZ58" s="43" t="s">
        <v>1313</v>
      </c>
      <c r="BA58" s="19" t="s">
        <v>1155</v>
      </c>
      <c r="BC58" s="2">
        <f t="shared" si="17"/>
        <v>0</v>
      </c>
      <c r="BD58" s="2">
        <f t="shared" si="18"/>
        <v>0</v>
      </c>
      <c r="BE58" s="2">
        <v>0</v>
      </c>
      <c r="BF58" s="2">
        <f>58</f>
        <v>58</v>
      </c>
      <c r="BH58" s="2">
        <f t="shared" si="19"/>
        <v>0</v>
      </c>
      <c r="BI58" s="2">
        <f t="shared" si="20"/>
        <v>0</v>
      </c>
      <c r="BJ58" s="2">
        <f t="shared" si="21"/>
        <v>0</v>
      </c>
      <c r="BK58" s="2"/>
      <c r="BL58" s="2">
        <v>31</v>
      </c>
    </row>
    <row r="59" spans="1:64" ht="15" customHeight="1">
      <c r="A59" s="15" t="s">
        <v>1182</v>
      </c>
      <c r="B59" s="14" t="s">
        <v>605</v>
      </c>
      <c r="C59" s="58" t="s">
        <v>1143</v>
      </c>
      <c r="D59" s="58"/>
      <c r="E59" s="58"/>
      <c r="F59" s="58"/>
      <c r="G59" s="14" t="s">
        <v>1189</v>
      </c>
      <c r="H59" s="2">
        <v>261.463</v>
      </c>
      <c r="I59" s="2">
        <v>0</v>
      </c>
      <c r="J59" s="2">
        <f t="shared" si="0"/>
        <v>0</v>
      </c>
      <c r="K59" s="2">
        <f t="shared" si="1"/>
        <v>0</v>
      </c>
      <c r="L59" s="2">
        <f t="shared" si="2"/>
        <v>0</v>
      </c>
      <c r="M59" s="7" t="s">
        <v>831</v>
      </c>
      <c r="Z59" s="2">
        <f t="shared" si="3"/>
        <v>0</v>
      </c>
      <c r="AB59" s="2">
        <f t="shared" si="4"/>
        <v>0</v>
      </c>
      <c r="AC59" s="2">
        <f t="shared" si="5"/>
        <v>0</v>
      </c>
      <c r="AD59" s="2">
        <f t="shared" si="6"/>
        <v>0</v>
      </c>
      <c r="AE59" s="2">
        <f t="shared" si="7"/>
        <v>0</v>
      </c>
      <c r="AF59" s="2">
        <f t="shared" si="8"/>
        <v>0</v>
      </c>
      <c r="AG59" s="2">
        <f t="shared" si="9"/>
        <v>0</v>
      </c>
      <c r="AH59" s="2">
        <f t="shared" si="10"/>
        <v>0</v>
      </c>
      <c r="AI59" s="19" t="s">
        <v>255</v>
      </c>
      <c r="AJ59" s="2">
        <f t="shared" si="11"/>
        <v>0</v>
      </c>
      <c r="AK59" s="2">
        <f t="shared" si="12"/>
        <v>0</v>
      </c>
      <c r="AL59" s="2">
        <f t="shared" si="13"/>
        <v>0</v>
      </c>
      <c r="AN59" s="2">
        <v>15</v>
      </c>
      <c r="AO59" s="2">
        <f>I59*0.840233877855207</f>
        <v>0</v>
      </c>
      <c r="AP59" s="2">
        <f>I59*(1-0.840233877855207)</f>
        <v>0</v>
      </c>
      <c r="AQ59" s="43" t="s">
        <v>1205</v>
      </c>
      <c r="AV59" s="2">
        <f t="shared" si="14"/>
        <v>0</v>
      </c>
      <c r="AW59" s="2">
        <f t="shared" si="15"/>
        <v>0</v>
      </c>
      <c r="AX59" s="2">
        <f t="shared" si="16"/>
        <v>0</v>
      </c>
      <c r="AY59" s="43" t="s">
        <v>870</v>
      </c>
      <c r="AZ59" s="43" t="s">
        <v>1313</v>
      </c>
      <c r="BA59" s="19" t="s">
        <v>1155</v>
      </c>
      <c r="BC59" s="2">
        <f t="shared" si="17"/>
        <v>0</v>
      </c>
      <c r="BD59" s="2">
        <f t="shared" si="18"/>
        <v>0</v>
      </c>
      <c r="BE59" s="2">
        <v>0</v>
      </c>
      <c r="BF59" s="2">
        <f>59</f>
        <v>59</v>
      </c>
      <c r="BH59" s="2">
        <f t="shared" si="19"/>
        <v>0</v>
      </c>
      <c r="BI59" s="2">
        <f t="shared" si="20"/>
        <v>0</v>
      </c>
      <c r="BJ59" s="2">
        <f t="shared" si="21"/>
        <v>0</v>
      </c>
      <c r="BK59" s="2"/>
      <c r="BL59" s="2">
        <v>31</v>
      </c>
    </row>
    <row r="60" spans="1:64" ht="15" customHeight="1">
      <c r="A60" s="15" t="s">
        <v>1314</v>
      </c>
      <c r="B60" s="14" t="s">
        <v>1008</v>
      </c>
      <c r="C60" s="58" t="s">
        <v>824</v>
      </c>
      <c r="D60" s="58"/>
      <c r="E60" s="58"/>
      <c r="F60" s="58"/>
      <c r="G60" s="14" t="s">
        <v>319</v>
      </c>
      <c r="H60" s="2">
        <v>12</v>
      </c>
      <c r="I60" s="2">
        <v>0</v>
      </c>
      <c r="J60" s="2">
        <f t="shared" si="0"/>
        <v>0</v>
      </c>
      <c r="K60" s="2">
        <f t="shared" si="1"/>
        <v>0</v>
      </c>
      <c r="L60" s="2">
        <f t="shared" si="2"/>
        <v>0</v>
      </c>
      <c r="M60" s="7" t="s">
        <v>831</v>
      </c>
      <c r="Z60" s="2">
        <f t="shared" si="3"/>
        <v>0</v>
      </c>
      <c r="AB60" s="2">
        <f t="shared" si="4"/>
        <v>0</v>
      </c>
      <c r="AC60" s="2">
        <f t="shared" si="5"/>
        <v>0</v>
      </c>
      <c r="AD60" s="2">
        <f t="shared" si="6"/>
        <v>0</v>
      </c>
      <c r="AE60" s="2">
        <f t="shared" si="7"/>
        <v>0</v>
      </c>
      <c r="AF60" s="2">
        <f t="shared" si="8"/>
        <v>0</v>
      </c>
      <c r="AG60" s="2">
        <f t="shared" si="9"/>
        <v>0</v>
      </c>
      <c r="AH60" s="2">
        <f t="shared" si="10"/>
        <v>0</v>
      </c>
      <c r="AI60" s="19" t="s">
        <v>255</v>
      </c>
      <c r="AJ60" s="2">
        <f t="shared" si="11"/>
        <v>0</v>
      </c>
      <c r="AK60" s="2">
        <f t="shared" si="12"/>
        <v>0</v>
      </c>
      <c r="AL60" s="2">
        <f t="shared" si="13"/>
        <v>0</v>
      </c>
      <c r="AN60" s="2">
        <v>15</v>
      </c>
      <c r="AO60" s="2">
        <f>I60*0.719985948751976</f>
        <v>0</v>
      </c>
      <c r="AP60" s="2">
        <f>I60*(1-0.719985948751976)</f>
        <v>0</v>
      </c>
      <c r="AQ60" s="43" t="s">
        <v>1205</v>
      </c>
      <c r="AV60" s="2">
        <f t="shared" si="14"/>
        <v>0</v>
      </c>
      <c r="AW60" s="2">
        <f t="shared" si="15"/>
        <v>0</v>
      </c>
      <c r="AX60" s="2">
        <f t="shared" si="16"/>
        <v>0</v>
      </c>
      <c r="AY60" s="43" t="s">
        <v>870</v>
      </c>
      <c r="AZ60" s="43" t="s">
        <v>1313</v>
      </c>
      <c r="BA60" s="19" t="s">
        <v>1155</v>
      </c>
      <c r="BC60" s="2">
        <f t="shared" si="17"/>
        <v>0</v>
      </c>
      <c r="BD60" s="2">
        <f t="shared" si="18"/>
        <v>0</v>
      </c>
      <c r="BE60" s="2">
        <v>0</v>
      </c>
      <c r="BF60" s="2">
        <f>60</f>
        <v>60</v>
      </c>
      <c r="BH60" s="2">
        <f t="shared" si="19"/>
        <v>0</v>
      </c>
      <c r="BI60" s="2">
        <f t="shared" si="20"/>
        <v>0</v>
      </c>
      <c r="BJ60" s="2">
        <f t="shared" si="21"/>
        <v>0</v>
      </c>
      <c r="BK60" s="2"/>
      <c r="BL60" s="2">
        <v>31</v>
      </c>
    </row>
    <row r="61" spans="1:64" ht="15" customHeight="1">
      <c r="A61" s="15" t="s">
        <v>91</v>
      </c>
      <c r="B61" s="14" t="s">
        <v>873</v>
      </c>
      <c r="C61" s="58" t="s">
        <v>381</v>
      </c>
      <c r="D61" s="58"/>
      <c r="E61" s="58"/>
      <c r="F61" s="58"/>
      <c r="G61" s="14" t="s">
        <v>319</v>
      </c>
      <c r="H61" s="2">
        <v>15</v>
      </c>
      <c r="I61" s="2">
        <v>0</v>
      </c>
      <c r="J61" s="2">
        <f t="shared" si="0"/>
        <v>0</v>
      </c>
      <c r="K61" s="2">
        <f t="shared" si="1"/>
        <v>0</v>
      </c>
      <c r="L61" s="2">
        <f t="shared" si="2"/>
        <v>0</v>
      </c>
      <c r="M61" s="7" t="s">
        <v>831</v>
      </c>
      <c r="Z61" s="2">
        <f t="shared" si="3"/>
        <v>0</v>
      </c>
      <c r="AB61" s="2">
        <f t="shared" si="4"/>
        <v>0</v>
      </c>
      <c r="AC61" s="2">
        <f t="shared" si="5"/>
        <v>0</v>
      </c>
      <c r="AD61" s="2">
        <f t="shared" si="6"/>
        <v>0</v>
      </c>
      <c r="AE61" s="2">
        <f t="shared" si="7"/>
        <v>0</v>
      </c>
      <c r="AF61" s="2">
        <f t="shared" si="8"/>
        <v>0</v>
      </c>
      <c r="AG61" s="2">
        <f t="shared" si="9"/>
        <v>0</v>
      </c>
      <c r="AH61" s="2">
        <f t="shared" si="10"/>
        <v>0</v>
      </c>
      <c r="AI61" s="19" t="s">
        <v>255</v>
      </c>
      <c r="AJ61" s="2">
        <f t="shared" si="11"/>
        <v>0</v>
      </c>
      <c r="AK61" s="2">
        <f t="shared" si="12"/>
        <v>0</v>
      </c>
      <c r="AL61" s="2">
        <f t="shared" si="13"/>
        <v>0</v>
      </c>
      <c r="AN61" s="2">
        <v>15</v>
      </c>
      <c r="AO61" s="2">
        <f>I61*0.712087719298246</f>
        <v>0</v>
      </c>
      <c r="AP61" s="2">
        <f>I61*(1-0.712087719298246)</f>
        <v>0</v>
      </c>
      <c r="AQ61" s="43" t="s">
        <v>1205</v>
      </c>
      <c r="AV61" s="2">
        <f t="shared" si="14"/>
        <v>0</v>
      </c>
      <c r="AW61" s="2">
        <f t="shared" si="15"/>
        <v>0</v>
      </c>
      <c r="AX61" s="2">
        <f t="shared" si="16"/>
        <v>0</v>
      </c>
      <c r="AY61" s="43" t="s">
        <v>870</v>
      </c>
      <c r="AZ61" s="43" t="s">
        <v>1313</v>
      </c>
      <c r="BA61" s="19" t="s">
        <v>1155</v>
      </c>
      <c r="BC61" s="2">
        <f t="shared" si="17"/>
        <v>0</v>
      </c>
      <c r="BD61" s="2">
        <f t="shared" si="18"/>
        <v>0</v>
      </c>
      <c r="BE61" s="2">
        <v>0</v>
      </c>
      <c r="BF61" s="2">
        <f>61</f>
        <v>61</v>
      </c>
      <c r="BH61" s="2">
        <f t="shared" si="19"/>
        <v>0</v>
      </c>
      <c r="BI61" s="2">
        <f t="shared" si="20"/>
        <v>0</v>
      </c>
      <c r="BJ61" s="2">
        <f t="shared" si="21"/>
        <v>0</v>
      </c>
      <c r="BK61" s="2"/>
      <c r="BL61" s="2">
        <v>31</v>
      </c>
    </row>
    <row r="62" spans="1:64" ht="15" customHeight="1">
      <c r="A62" s="15" t="s">
        <v>784</v>
      </c>
      <c r="B62" s="14" t="s">
        <v>262</v>
      </c>
      <c r="C62" s="58" t="s">
        <v>793</v>
      </c>
      <c r="D62" s="58"/>
      <c r="E62" s="58"/>
      <c r="F62" s="58"/>
      <c r="G62" s="14" t="s">
        <v>999</v>
      </c>
      <c r="H62" s="2">
        <v>17.5</v>
      </c>
      <c r="I62" s="2">
        <v>0</v>
      </c>
      <c r="J62" s="2">
        <f t="shared" si="0"/>
        <v>0</v>
      </c>
      <c r="K62" s="2">
        <f t="shared" si="1"/>
        <v>0</v>
      </c>
      <c r="L62" s="2">
        <f t="shared" si="2"/>
        <v>0</v>
      </c>
      <c r="M62" s="7" t="s">
        <v>831</v>
      </c>
      <c r="Z62" s="2">
        <f t="shared" si="3"/>
        <v>0</v>
      </c>
      <c r="AB62" s="2">
        <f t="shared" si="4"/>
        <v>0</v>
      </c>
      <c r="AC62" s="2">
        <f t="shared" si="5"/>
        <v>0</v>
      </c>
      <c r="AD62" s="2">
        <f t="shared" si="6"/>
        <v>0</v>
      </c>
      <c r="AE62" s="2">
        <f t="shared" si="7"/>
        <v>0</v>
      </c>
      <c r="AF62" s="2">
        <f t="shared" si="8"/>
        <v>0</v>
      </c>
      <c r="AG62" s="2">
        <f t="shared" si="9"/>
        <v>0</v>
      </c>
      <c r="AH62" s="2">
        <f t="shared" si="10"/>
        <v>0</v>
      </c>
      <c r="AI62" s="19" t="s">
        <v>255</v>
      </c>
      <c r="AJ62" s="2">
        <f t="shared" si="11"/>
        <v>0</v>
      </c>
      <c r="AK62" s="2">
        <f t="shared" si="12"/>
        <v>0</v>
      </c>
      <c r="AL62" s="2">
        <f t="shared" si="13"/>
        <v>0</v>
      </c>
      <c r="AN62" s="2">
        <v>15</v>
      </c>
      <c r="AO62" s="2">
        <f>I62*0.406776044383328</f>
        <v>0</v>
      </c>
      <c r="AP62" s="2">
        <f>I62*(1-0.406776044383328)</f>
        <v>0</v>
      </c>
      <c r="AQ62" s="43" t="s">
        <v>1205</v>
      </c>
      <c r="AV62" s="2">
        <f t="shared" si="14"/>
        <v>0</v>
      </c>
      <c r="AW62" s="2">
        <f t="shared" si="15"/>
        <v>0</v>
      </c>
      <c r="AX62" s="2">
        <f t="shared" si="16"/>
        <v>0</v>
      </c>
      <c r="AY62" s="43" t="s">
        <v>870</v>
      </c>
      <c r="AZ62" s="43" t="s">
        <v>1313</v>
      </c>
      <c r="BA62" s="19" t="s">
        <v>1155</v>
      </c>
      <c r="BC62" s="2">
        <f t="shared" si="17"/>
        <v>0</v>
      </c>
      <c r="BD62" s="2">
        <f t="shared" si="18"/>
        <v>0</v>
      </c>
      <c r="BE62" s="2">
        <v>0</v>
      </c>
      <c r="BF62" s="2">
        <f>62</f>
        <v>62</v>
      </c>
      <c r="BH62" s="2">
        <f t="shared" si="19"/>
        <v>0</v>
      </c>
      <c r="BI62" s="2">
        <f t="shared" si="20"/>
        <v>0</v>
      </c>
      <c r="BJ62" s="2">
        <f t="shared" si="21"/>
        <v>0</v>
      </c>
      <c r="BK62" s="2"/>
      <c r="BL62" s="2">
        <v>31</v>
      </c>
    </row>
    <row r="63" spans="1:64" ht="15" customHeight="1">
      <c r="A63" s="15" t="s">
        <v>725</v>
      </c>
      <c r="B63" s="14" t="s">
        <v>996</v>
      </c>
      <c r="C63" s="58" t="s">
        <v>1316</v>
      </c>
      <c r="D63" s="58"/>
      <c r="E63" s="58"/>
      <c r="F63" s="58"/>
      <c r="G63" s="14" t="s">
        <v>584</v>
      </c>
      <c r="H63" s="2">
        <v>0.384</v>
      </c>
      <c r="I63" s="2">
        <v>0</v>
      </c>
      <c r="J63" s="2">
        <f t="shared" si="0"/>
        <v>0</v>
      </c>
      <c r="K63" s="2">
        <f t="shared" si="1"/>
        <v>0</v>
      </c>
      <c r="L63" s="2">
        <f t="shared" si="2"/>
        <v>0</v>
      </c>
      <c r="M63" s="7" t="s">
        <v>831</v>
      </c>
      <c r="Z63" s="2">
        <f t="shared" si="3"/>
        <v>0</v>
      </c>
      <c r="AB63" s="2">
        <f t="shared" si="4"/>
        <v>0</v>
      </c>
      <c r="AC63" s="2">
        <f t="shared" si="5"/>
        <v>0</v>
      </c>
      <c r="AD63" s="2">
        <f t="shared" si="6"/>
        <v>0</v>
      </c>
      <c r="AE63" s="2">
        <f t="shared" si="7"/>
        <v>0</v>
      </c>
      <c r="AF63" s="2">
        <f t="shared" si="8"/>
        <v>0</v>
      </c>
      <c r="AG63" s="2">
        <f t="shared" si="9"/>
        <v>0</v>
      </c>
      <c r="AH63" s="2">
        <f t="shared" si="10"/>
        <v>0</v>
      </c>
      <c r="AI63" s="19" t="s">
        <v>255</v>
      </c>
      <c r="AJ63" s="2">
        <f t="shared" si="11"/>
        <v>0</v>
      </c>
      <c r="AK63" s="2">
        <f t="shared" si="12"/>
        <v>0</v>
      </c>
      <c r="AL63" s="2">
        <f t="shared" si="13"/>
        <v>0</v>
      </c>
      <c r="AN63" s="2">
        <v>15</v>
      </c>
      <c r="AO63" s="2">
        <f>I63*0.00183711634870585</f>
        <v>0</v>
      </c>
      <c r="AP63" s="2">
        <f>I63*(1-0.00183711634870585)</f>
        <v>0</v>
      </c>
      <c r="AQ63" s="43" t="s">
        <v>1205</v>
      </c>
      <c r="AV63" s="2">
        <f t="shared" si="14"/>
        <v>0</v>
      </c>
      <c r="AW63" s="2">
        <f t="shared" si="15"/>
        <v>0</v>
      </c>
      <c r="AX63" s="2">
        <f t="shared" si="16"/>
        <v>0</v>
      </c>
      <c r="AY63" s="43" t="s">
        <v>870</v>
      </c>
      <c r="AZ63" s="43" t="s">
        <v>1313</v>
      </c>
      <c r="BA63" s="19" t="s">
        <v>1155</v>
      </c>
      <c r="BC63" s="2">
        <f t="shared" si="17"/>
        <v>0</v>
      </c>
      <c r="BD63" s="2">
        <f t="shared" si="18"/>
        <v>0</v>
      </c>
      <c r="BE63" s="2">
        <v>0</v>
      </c>
      <c r="BF63" s="2">
        <f>63</f>
        <v>63</v>
      </c>
      <c r="BH63" s="2">
        <f t="shared" si="19"/>
        <v>0</v>
      </c>
      <c r="BI63" s="2">
        <f t="shared" si="20"/>
        <v>0</v>
      </c>
      <c r="BJ63" s="2">
        <f t="shared" si="21"/>
        <v>0</v>
      </c>
      <c r="BK63" s="2"/>
      <c r="BL63" s="2">
        <v>31</v>
      </c>
    </row>
    <row r="64" spans="1:13" ht="13.5" customHeight="1">
      <c r="A64" s="51"/>
      <c r="B64" s="32" t="s">
        <v>639</v>
      </c>
      <c r="C64" s="75" t="s">
        <v>992</v>
      </c>
      <c r="D64" s="76"/>
      <c r="E64" s="76"/>
      <c r="F64" s="76"/>
      <c r="G64" s="76"/>
      <c r="H64" s="76"/>
      <c r="I64" s="76"/>
      <c r="J64" s="76"/>
      <c r="K64" s="76"/>
      <c r="L64" s="76"/>
      <c r="M64" s="77"/>
    </row>
    <row r="65" spans="1:64" ht="15" customHeight="1">
      <c r="A65" s="15" t="s">
        <v>1013</v>
      </c>
      <c r="B65" s="14" t="s">
        <v>7</v>
      </c>
      <c r="C65" s="58" t="s">
        <v>926</v>
      </c>
      <c r="D65" s="58"/>
      <c r="E65" s="58"/>
      <c r="F65" s="58"/>
      <c r="G65" s="14" t="s">
        <v>584</v>
      </c>
      <c r="H65" s="2">
        <v>0.415</v>
      </c>
      <c r="I65" s="2">
        <v>0</v>
      </c>
      <c r="J65" s="2">
        <f aca="true" t="shared" si="22" ref="J65:J75">H65*AO65</f>
        <v>0</v>
      </c>
      <c r="K65" s="2">
        <f aca="true" t="shared" si="23" ref="K65:K75">H65*AP65</f>
        <v>0</v>
      </c>
      <c r="L65" s="2">
        <f aca="true" t="shared" si="24" ref="L65:L75">H65*I65</f>
        <v>0</v>
      </c>
      <c r="M65" s="7" t="s">
        <v>831</v>
      </c>
      <c r="Z65" s="2">
        <f aca="true" t="shared" si="25" ref="Z65:Z75">IF(AQ65="5",BJ65,0)</f>
        <v>0</v>
      </c>
      <c r="AB65" s="2">
        <f aca="true" t="shared" si="26" ref="AB65:AB75">IF(AQ65="1",BH65,0)</f>
        <v>0</v>
      </c>
      <c r="AC65" s="2">
        <f aca="true" t="shared" si="27" ref="AC65:AC75">IF(AQ65="1",BI65,0)</f>
        <v>0</v>
      </c>
      <c r="AD65" s="2">
        <f aca="true" t="shared" si="28" ref="AD65:AD75">IF(AQ65="7",BH65,0)</f>
        <v>0</v>
      </c>
      <c r="AE65" s="2">
        <f aca="true" t="shared" si="29" ref="AE65:AE75">IF(AQ65="7",BI65,0)</f>
        <v>0</v>
      </c>
      <c r="AF65" s="2">
        <f aca="true" t="shared" si="30" ref="AF65:AF75">IF(AQ65="2",BH65,0)</f>
        <v>0</v>
      </c>
      <c r="AG65" s="2">
        <f aca="true" t="shared" si="31" ref="AG65:AG75">IF(AQ65="2",BI65,0)</f>
        <v>0</v>
      </c>
      <c r="AH65" s="2">
        <f aca="true" t="shared" si="32" ref="AH65:AH75">IF(AQ65="0",BJ65,0)</f>
        <v>0</v>
      </c>
      <c r="AI65" s="19" t="s">
        <v>255</v>
      </c>
      <c r="AJ65" s="2">
        <f aca="true" t="shared" si="33" ref="AJ65:AJ75">IF(AN65=0,L65,0)</f>
        <v>0</v>
      </c>
      <c r="AK65" s="2">
        <f aca="true" t="shared" si="34" ref="AK65:AK75">IF(AN65=15,L65,0)</f>
        <v>0</v>
      </c>
      <c r="AL65" s="2">
        <f aca="true" t="shared" si="35" ref="AL65:AL75">IF(AN65=21,L65,0)</f>
        <v>0</v>
      </c>
      <c r="AN65" s="2">
        <v>15</v>
      </c>
      <c r="AO65" s="2">
        <f>I65*1</f>
        <v>0</v>
      </c>
      <c r="AP65" s="2">
        <f>I65*(1-1)</f>
        <v>0</v>
      </c>
      <c r="AQ65" s="43" t="s">
        <v>1205</v>
      </c>
      <c r="AV65" s="2">
        <f aca="true" t="shared" si="36" ref="AV65:AV75">AW65+AX65</f>
        <v>0</v>
      </c>
      <c r="AW65" s="2">
        <f aca="true" t="shared" si="37" ref="AW65:AW75">H65*AO65</f>
        <v>0</v>
      </c>
      <c r="AX65" s="2">
        <f aca="true" t="shared" si="38" ref="AX65:AX75">H65*AP65</f>
        <v>0</v>
      </c>
      <c r="AY65" s="43" t="s">
        <v>870</v>
      </c>
      <c r="AZ65" s="43" t="s">
        <v>1313</v>
      </c>
      <c r="BA65" s="19" t="s">
        <v>1155</v>
      </c>
      <c r="BC65" s="2">
        <f aca="true" t="shared" si="39" ref="BC65:BC75">AW65+AX65</f>
        <v>0</v>
      </c>
      <c r="BD65" s="2">
        <f aca="true" t="shared" si="40" ref="BD65:BD75">I65/(100-BE65)*100</f>
        <v>0</v>
      </c>
      <c r="BE65" s="2">
        <v>0</v>
      </c>
      <c r="BF65" s="2">
        <f>65</f>
        <v>65</v>
      </c>
      <c r="BH65" s="2">
        <f aca="true" t="shared" si="41" ref="BH65:BH75">H65*AO65</f>
        <v>0</v>
      </c>
      <c r="BI65" s="2">
        <f aca="true" t="shared" si="42" ref="BI65:BI75">H65*AP65</f>
        <v>0</v>
      </c>
      <c r="BJ65" s="2">
        <f aca="true" t="shared" si="43" ref="BJ65:BJ75">H65*I65</f>
        <v>0</v>
      </c>
      <c r="BK65" s="2"/>
      <c r="BL65" s="2">
        <v>31</v>
      </c>
    </row>
    <row r="66" spans="1:64" ht="15" customHeight="1">
      <c r="A66" s="15" t="s">
        <v>278</v>
      </c>
      <c r="B66" s="14" t="s">
        <v>178</v>
      </c>
      <c r="C66" s="58" t="s">
        <v>854</v>
      </c>
      <c r="D66" s="58"/>
      <c r="E66" s="58"/>
      <c r="F66" s="58"/>
      <c r="G66" s="14" t="s">
        <v>319</v>
      </c>
      <c r="H66" s="2">
        <v>3</v>
      </c>
      <c r="I66" s="2">
        <v>0</v>
      </c>
      <c r="J66" s="2">
        <f t="shared" si="22"/>
        <v>0</v>
      </c>
      <c r="K66" s="2">
        <f t="shared" si="23"/>
        <v>0</v>
      </c>
      <c r="L66" s="2">
        <f t="shared" si="24"/>
        <v>0</v>
      </c>
      <c r="M66" s="7" t="s">
        <v>831</v>
      </c>
      <c r="Z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19" t="s">
        <v>255</v>
      </c>
      <c r="AJ66" s="2">
        <f t="shared" si="33"/>
        <v>0</v>
      </c>
      <c r="AK66" s="2">
        <f t="shared" si="34"/>
        <v>0</v>
      </c>
      <c r="AL66" s="2">
        <f t="shared" si="35"/>
        <v>0</v>
      </c>
      <c r="AN66" s="2">
        <v>15</v>
      </c>
      <c r="AO66" s="2">
        <f>I66*0.950784853700516</f>
        <v>0</v>
      </c>
      <c r="AP66" s="2">
        <f>I66*(1-0.950784853700516)</f>
        <v>0</v>
      </c>
      <c r="AQ66" s="43" t="s">
        <v>1205</v>
      </c>
      <c r="AV66" s="2">
        <f t="shared" si="36"/>
        <v>0</v>
      </c>
      <c r="AW66" s="2">
        <f t="shared" si="37"/>
        <v>0</v>
      </c>
      <c r="AX66" s="2">
        <f t="shared" si="38"/>
        <v>0</v>
      </c>
      <c r="AY66" s="43" t="s">
        <v>870</v>
      </c>
      <c r="AZ66" s="43" t="s">
        <v>1313</v>
      </c>
      <c r="BA66" s="19" t="s">
        <v>1155</v>
      </c>
      <c r="BC66" s="2">
        <f t="shared" si="39"/>
        <v>0</v>
      </c>
      <c r="BD66" s="2">
        <f t="shared" si="40"/>
        <v>0</v>
      </c>
      <c r="BE66" s="2">
        <v>0</v>
      </c>
      <c r="BF66" s="2">
        <f>66</f>
        <v>66</v>
      </c>
      <c r="BH66" s="2">
        <f t="shared" si="41"/>
        <v>0</v>
      </c>
      <c r="BI66" s="2">
        <f t="shared" si="42"/>
        <v>0</v>
      </c>
      <c r="BJ66" s="2">
        <f t="shared" si="43"/>
        <v>0</v>
      </c>
      <c r="BK66" s="2"/>
      <c r="BL66" s="2">
        <v>31</v>
      </c>
    </row>
    <row r="67" spans="1:64" ht="15" customHeight="1">
      <c r="A67" s="15" t="s">
        <v>1341</v>
      </c>
      <c r="B67" s="14" t="s">
        <v>73</v>
      </c>
      <c r="C67" s="58" t="s">
        <v>44</v>
      </c>
      <c r="D67" s="58"/>
      <c r="E67" s="58"/>
      <c r="F67" s="58"/>
      <c r="G67" s="14" t="s">
        <v>319</v>
      </c>
      <c r="H67" s="2">
        <v>3</v>
      </c>
      <c r="I67" s="2">
        <v>0</v>
      </c>
      <c r="J67" s="2">
        <f t="shared" si="22"/>
        <v>0</v>
      </c>
      <c r="K67" s="2">
        <f t="shared" si="23"/>
        <v>0</v>
      </c>
      <c r="L67" s="2">
        <f t="shared" si="24"/>
        <v>0</v>
      </c>
      <c r="M67" s="7" t="s">
        <v>831</v>
      </c>
      <c r="Z67" s="2">
        <f t="shared" si="25"/>
        <v>0</v>
      </c>
      <c r="AB67" s="2">
        <f t="shared" si="26"/>
        <v>0</v>
      </c>
      <c r="AC67" s="2">
        <f t="shared" si="27"/>
        <v>0</v>
      </c>
      <c r="AD67" s="2">
        <f t="shared" si="28"/>
        <v>0</v>
      </c>
      <c r="AE67" s="2">
        <f t="shared" si="29"/>
        <v>0</v>
      </c>
      <c r="AF67" s="2">
        <f t="shared" si="30"/>
        <v>0</v>
      </c>
      <c r="AG67" s="2">
        <f t="shared" si="31"/>
        <v>0</v>
      </c>
      <c r="AH67" s="2">
        <f t="shared" si="32"/>
        <v>0</v>
      </c>
      <c r="AI67" s="19" t="s">
        <v>255</v>
      </c>
      <c r="AJ67" s="2">
        <f t="shared" si="33"/>
        <v>0</v>
      </c>
      <c r="AK67" s="2">
        <f t="shared" si="34"/>
        <v>0</v>
      </c>
      <c r="AL67" s="2">
        <f t="shared" si="35"/>
        <v>0</v>
      </c>
      <c r="AN67" s="2">
        <v>15</v>
      </c>
      <c r="AO67" s="2">
        <f>I67*0.869314442413163</f>
        <v>0</v>
      </c>
      <c r="AP67" s="2">
        <f>I67*(1-0.869314442413163)</f>
        <v>0</v>
      </c>
      <c r="AQ67" s="43" t="s">
        <v>1205</v>
      </c>
      <c r="AV67" s="2">
        <f t="shared" si="36"/>
        <v>0</v>
      </c>
      <c r="AW67" s="2">
        <f t="shared" si="37"/>
        <v>0</v>
      </c>
      <c r="AX67" s="2">
        <f t="shared" si="38"/>
        <v>0</v>
      </c>
      <c r="AY67" s="43" t="s">
        <v>870</v>
      </c>
      <c r="AZ67" s="43" t="s">
        <v>1313</v>
      </c>
      <c r="BA67" s="19" t="s">
        <v>1155</v>
      </c>
      <c r="BC67" s="2">
        <f t="shared" si="39"/>
        <v>0</v>
      </c>
      <c r="BD67" s="2">
        <f t="shared" si="40"/>
        <v>0</v>
      </c>
      <c r="BE67" s="2">
        <v>0</v>
      </c>
      <c r="BF67" s="2">
        <f>67</f>
        <v>67</v>
      </c>
      <c r="BH67" s="2">
        <f t="shared" si="41"/>
        <v>0</v>
      </c>
      <c r="BI67" s="2">
        <f t="shared" si="42"/>
        <v>0</v>
      </c>
      <c r="BJ67" s="2">
        <f t="shared" si="43"/>
        <v>0</v>
      </c>
      <c r="BK67" s="2"/>
      <c r="BL67" s="2">
        <v>31</v>
      </c>
    </row>
    <row r="68" spans="1:64" ht="15" customHeight="1">
      <c r="A68" s="15" t="s">
        <v>1067</v>
      </c>
      <c r="B68" s="14" t="s">
        <v>968</v>
      </c>
      <c r="C68" s="58" t="s">
        <v>1147</v>
      </c>
      <c r="D68" s="58"/>
      <c r="E68" s="58"/>
      <c r="F68" s="58"/>
      <c r="G68" s="14" t="s">
        <v>319</v>
      </c>
      <c r="H68" s="2">
        <v>3</v>
      </c>
      <c r="I68" s="2">
        <v>0</v>
      </c>
      <c r="J68" s="2">
        <f t="shared" si="22"/>
        <v>0</v>
      </c>
      <c r="K68" s="2">
        <f t="shared" si="23"/>
        <v>0</v>
      </c>
      <c r="L68" s="2">
        <f t="shared" si="24"/>
        <v>0</v>
      </c>
      <c r="M68" s="7" t="s">
        <v>831</v>
      </c>
      <c r="Z68" s="2">
        <f t="shared" si="25"/>
        <v>0</v>
      </c>
      <c r="AB68" s="2">
        <f t="shared" si="26"/>
        <v>0</v>
      </c>
      <c r="AC68" s="2">
        <f t="shared" si="27"/>
        <v>0</v>
      </c>
      <c r="AD68" s="2">
        <f t="shared" si="28"/>
        <v>0</v>
      </c>
      <c r="AE68" s="2">
        <f t="shared" si="29"/>
        <v>0</v>
      </c>
      <c r="AF68" s="2">
        <f t="shared" si="30"/>
        <v>0</v>
      </c>
      <c r="AG68" s="2">
        <f t="shared" si="31"/>
        <v>0</v>
      </c>
      <c r="AH68" s="2">
        <f t="shared" si="32"/>
        <v>0</v>
      </c>
      <c r="AI68" s="19" t="s">
        <v>255</v>
      </c>
      <c r="AJ68" s="2">
        <f t="shared" si="33"/>
        <v>0</v>
      </c>
      <c r="AK68" s="2">
        <f t="shared" si="34"/>
        <v>0</v>
      </c>
      <c r="AL68" s="2">
        <f t="shared" si="35"/>
        <v>0</v>
      </c>
      <c r="AN68" s="2">
        <v>15</v>
      </c>
      <c r="AO68" s="2">
        <f>I68*0.886711278096302</f>
        <v>0</v>
      </c>
      <c r="AP68" s="2">
        <f>I68*(1-0.886711278096302)</f>
        <v>0</v>
      </c>
      <c r="AQ68" s="43" t="s">
        <v>1205</v>
      </c>
      <c r="AV68" s="2">
        <f t="shared" si="36"/>
        <v>0</v>
      </c>
      <c r="AW68" s="2">
        <f t="shared" si="37"/>
        <v>0</v>
      </c>
      <c r="AX68" s="2">
        <f t="shared" si="38"/>
        <v>0</v>
      </c>
      <c r="AY68" s="43" t="s">
        <v>870</v>
      </c>
      <c r="AZ68" s="43" t="s">
        <v>1313</v>
      </c>
      <c r="BA68" s="19" t="s">
        <v>1155</v>
      </c>
      <c r="BC68" s="2">
        <f t="shared" si="39"/>
        <v>0</v>
      </c>
      <c r="BD68" s="2">
        <f t="shared" si="40"/>
        <v>0</v>
      </c>
      <c r="BE68" s="2">
        <v>0</v>
      </c>
      <c r="BF68" s="2">
        <f>68</f>
        <v>68</v>
      </c>
      <c r="BH68" s="2">
        <f t="shared" si="41"/>
        <v>0</v>
      </c>
      <c r="BI68" s="2">
        <f t="shared" si="42"/>
        <v>0</v>
      </c>
      <c r="BJ68" s="2">
        <f t="shared" si="43"/>
        <v>0</v>
      </c>
      <c r="BK68" s="2"/>
      <c r="BL68" s="2">
        <v>31</v>
      </c>
    </row>
    <row r="69" spans="1:64" ht="15" customHeight="1">
      <c r="A69" s="15" t="s">
        <v>720</v>
      </c>
      <c r="B69" s="14" t="s">
        <v>425</v>
      </c>
      <c r="C69" s="58" t="s">
        <v>179</v>
      </c>
      <c r="D69" s="58"/>
      <c r="E69" s="58"/>
      <c r="F69" s="58"/>
      <c r="G69" s="14" t="s">
        <v>319</v>
      </c>
      <c r="H69" s="2">
        <v>9</v>
      </c>
      <c r="I69" s="2">
        <v>0</v>
      </c>
      <c r="J69" s="2">
        <f t="shared" si="22"/>
        <v>0</v>
      </c>
      <c r="K69" s="2">
        <f t="shared" si="23"/>
        <v>0</v>
      </c>
      <c r="L69" s="2">
        <f t="shared" si="24"/>
        <v>0</v>
      </c>
      <c r="M69" s="7" t="s">
        <v>831</v>
      </c>
      <c r="Z69" s="2">
        <f t="shared" si="25"/>
        <v>0</v>
      </c>
      <c r="AB69" s="2">
        <f t="shared" si="26"/>
        <v>0</v>
      </c>
      <c r="AC69" s="2">
        <f t="shared" si="27"/>
        <v>0</v>
      </c>
      <c r="AD69" s="2">
        <f t="shared" si="28"/>
        <v>0</v>
      </c>
      <c r="AE69" s="2">
        <f t="shared" si="29"/>
        <v>0</v>
      </c>
      <c r="AF69" s="2">
        <f t="shared" si="30"/>
        <v>0</v>
      </c>
      <c r="AG69" s="2">
        <f t="shared" si="31"/>
        <v>0</v>
      </c>
      <c r="AH69" s="2">
        <f t="shared" si="32"/>
        <v>0</v>
      </c>
      <c r="AI69" s="19" t="s">
        <v>255</v>
      </c>
      <c r="AJ69" s="2">
        <f t="shared" si="33"/>
        <v>0</v>
      </c>
      <c r="AK69" s="2">
        <f t="shared" si="34"/>
        <v>0</v>
      </c>
      <c r="AL69" s="2">
        <f t="shared" si="35"/>
        <v>0</v>
      </c>
      <c r="AN69" s="2">
        <v>15</v>
      </c>
      <c r="AO69" s="2">
        <f>I69*0.809150227617602</f>
        <v>0</v>
      </c>
      <c r="AP69" s="2">
        <f>I69*(1-0.809150227617602)</f>
        <v>0</v>
      </c>
      <c r="AQ69" s="43" t="s">
        <v>1205</v>
      </c>
      <c r="AV69" s="2">
        <f t="shared" si="36"/>
        <v>0</v>
      </c>
      <c r="AW69" s="2">
        <f t="shared" si="37"/>
        <v>0</v>
      </c>
      <c r="AX69" s="2">
        <f t="shared" si="38"/>
        <v>0</v>
      </c>
      <c r="AY69" s="43" t="s">
        <v>870</v>
      </c>
      <c r="AZ69" s="43" t="s">
        <v>1313</v>
      </c>
      <c r="BA69" s="19" t="s">
        <v>1155</v>
      </c>
      <c r="BC69" s="2">
        <f t="shared" si="39"/>
        <v>0</v>
      </c>
      <c r="BD69" s="2">
        <f t="shared" si="40"/>
        <v>0</v>
      </c>
      <c r="BE69" s="2">
        <v>0</v>
      </c>
      <c r="BF69" s="2">
        <f>69</f>
        <v>69</v>
      </c>
      <c r="BH69" s="2">
        <f t="shared" si="41"/>
        <v>0</v>
      </c>
      <c r="BI69" s="2">
        <f t="shared" si="42"/>
        <v>0</v>
      </c>
      <c r="BJ69" s="2">
        <f t="shared" si="43"/>
        <v>0</v>
      </c>
      <c r="BK69" s="2"/>
      <c r="BL69" s="2">
        <v>31</v>
      </c>
    </row>
    <row r="70" spans="1:64" ht="15" customHeight="1">
      <c r="A70" s="15" t="s">
        <v>1187</v>
      </c>
      <c r="B70" s="14" t="s">
        <v>895</v>
      </c>
      <c r="C70" s="58" t="s">
        <v>153</v>
      </c>
      <c r="D70" s="58"/>
      <c r="E70" s="58"/>
      <c r="F70" s="58"/>
      <c r="G70" s="14" t="s">
        <v>319</v>
      </c>
      <c r="H70" s="2">
        <v>21</v>
      </c>
      <c r="I70" s="2">
        <v>0</v>
      </c>
      <c r="J70" s="2">
        <f t="shared" si="22"/>
        <v>0</v>
      </c>
      <c r="K70" s="2">
        <f t="shared" si="23"/>
        <v>0</v>
      </c>
      <c r="L70" s="2">
        <f t="shared" si="24"/>
        <v>0</v>
      </c>
      <c r="M70" s="7" t="s">
        <v>831</v>
      </c>
      <c r="Z70" s="2">
        <f t="shared" si="25"/>
        <v>0</v>
      </c>
      <c r="AB70" s="2">
        <f t="shared" si="26"/>
        <v>0</v>
      </c>
      <c r="AC70" s="2">
        <f t="shared" si="27"/>
        <v>0</v>
      </c>
      <c r="AD70" s="2">
        <f t="shared" si="28"/>
        <v>0</v>
      </c>
      <c r="AE70" s="2">
        <f t="shared" si="29"/>
        <v>0</v>
      </c>
      <c r="AF70" s="2">
        <f t="shared" si="30"/>
        <v>0</v>
      </c>
      <c r="AG70" s="2">
        <f t="shared" si="31"/>
        <v>0</v>
      </c>
      <c r="AH70" s="2">
        <f t="shared" si="32"/>
        <v>0</v>
      </c>
      <c r="AI70" s="19" t="s">
        <v>255</v>
      </c>
      <c r="AJ70" s="2">
        <f t="shared" si="33"/>
        <v>0</v>
      </c>
      <c r="AK70" s="2">
        <f t="shared" si="34"/>
        <v>0</v>
      </c>
      <c r="AL70" s="2">
        <f t="shared" si="35"/>
        <v>0</v>
      </c>
      <c r="AN70" s="2">
        <v>15</v>
      </c>
      <c r="AO70" s="2">
        <f>I70*0.847373380447585</f>
        <v>0</v>
      </c>
      <c r="AP70" s="2">
        <f>I70*(1-0.847373380447585)</f>
        <v>0</v>
      </c>
      <c r="AQ70" s="43" t="s">
        <v>1205</v>
      </c>
      <c r="AV70" s="2">
        <f t="shared" si="36"/>
        <v>0</v>
      </c>
      <c r="AW70" s="2">
        <f t="shared" si="37"/>
        <v>0</v>
      </c>
      <c r="AX70" s="2">
        <f t="shared" si="38"/>
        <v>0</v>
      </c>
      <c r="AY70" s="43" t="s">
        <v>870</v>
      </c>
      <c r="AZ70" s="43" t="s">
        <v>1313</v>
      </c>
      <c r="BA70" s="19" t="s">
        <v>1155</v>
      </c>
      <c r="BC70" s="2">
        <f t="shared" si="39"/>
        <v>0</v>
      </c>
      <c r="BD70" s="2">
        <f t="shared" si="40"/>
        <v>0</v>
      </c>
      <c r="BE70" s="2">
        <v>0</v>
      </c>
      <c r="BF70" s="2">
        <f>70</f>
        <v>70</v>
      </c>
      <c r="BH70" s="2">
        <f t="shared" si="41"/>
        <v>0</v>
      </c>
      <c r="BI70" s="2">
        <f t="shared" si="42"/>
        <v>0</v>
      </c>
      <c r="BJ70" s="2">
        <f t="shared" si="43"/>
        <v>0</v>
      </c>
      <c r="BK70" s="2"/>
      <c r="BL70" s="2">
        <v>31</v>
      </c>
    </row>
    <row r="71" spans="1:64" ht="15" customHeight="1">
      <c r="A71" s="15" t="s">
        <v>735</v>
      </c>
      <c r="B71" s="14" t="s">
        <v>199</v>
      </c>
      <c r="C71" s="58" t="s">
        <v>575</v>
      </c>
      <c r="D71" s="58"/>
      <c r="E71" s="58"/>
      <c r="F71" s="58"/>
      <c r="G71" s="14" t="s">
        <v>319</v>
      </c>
      <c r="H71" s="2">
        <v>9</v>
      </c>
      <c r="I71" s="2">
        <v>0</v>
      </c>
      <c r="J71" s="2">
        <f t="shared" si="22"/>
        <v>0</v>
      </c>
      <c r="K71" s="2">
        <f t="shared" si="23"/>
        <v>0</v>
      </c>
      <c r="L71" s="2">
        <f t="shared" si="24"/>
        <v>0</v>
      </c>
      <c r="M71" s="7" t="s">
        <v>831</v>
      </c>
      <c r="Z71" s="2">
        <f t="shared" si="25"/>
        <v>0</v>
      </c>
      <c r="AB71" s="2">
        <f t="shared" si="26"/>
        <v>0</v>
      </c>
      <c r="AC71" s="2">
        <f t="shared" si="27"/>
        <v>0</v>
      </c>
      <c r="AD71" s="2">
        <f t="shared" si="28"/>
        <v>0</v>
      </c>
      <c r="AE71" s="2">
        <f t="shared" si="29"/>
        <v>0</v>
      </c>
      <c r="AF71" s="2">
        <f t="shared" si="30"/>
        <v>0</v>
      </c>
      <c r="AG71" s="2">
        <f t="shared" si="31"/>
        <v>0</v>
      </c>
      <c r="AH71" s="2">
        <f t="shared" si="32"/>
        <v>0</v>
      </c>
      <c r="AI71" s="19" t="s">
        <v>255</v>
      </c>
      <c r="AJ71" s="2">
        <f t="shared" si="33"/>
        <v>0</v>
      </c>
      <c r="AK71" s="2">
        <f t="shared" si="34"/>
        <v>0</v>
      </c>
      <c r="AL71" s="2">
        <f t="shared" si="35"/>
        <v>0</v>
      </c>
      <c r="AN71" s="2">
        <v>15</v>
      </c>
      <c r="AO71" s="2">
        <f>I71*0.864410569105691</f>
        <v>0</v>
      </c>
      <c r="AP71" s="2">
        <f>I71*(1-0.864410569105691)</f>
        <v>0</v>
      </c>
      <c r="AQ71" s="43" t="s">
        <v>1205</v>
      </c>
      <c r="AV71" s="2">
        <f t="shared" si="36"/>
        <v>0</v>
      </c>
      <c r="AW71" s="2">
        <f t="shared" si="37"/>
        <v>0</v>
      </c>
      <c r="AX71" s="2">
        <f t="shared" si="38"/>
        <v>0</v>
      </c>
      <c r="AY71" s="43" t="s">
        <v>870</v>
      </c>
      <c r="AZ71" s="43" t="s">
        <v>1313</v>
      </c>
      <c r="BA71" s="19" t="s">
        <v>1155</v>
      </c>
      <c r="BC71" s="2">
        <f t="shared" si="39"/>
        <v>0</v>
      </c>
      <c r="BD71" s="2">
        <f t="shared" si="40"/>
        <v>0</v>
      </c>
      <c r="BE71" s="2">
        <v>0</v>
      </c>
      <c r="BF71" s="2">
        <f>71</f>
        <v>71</v>
      </c>
      <c r="BH71" s="2">
        <f t="shared" si="41"/>
        <v>0</v>
      </c>
      <c r="BI71" s="2">
        <f t="shared" si="42"/>
        <v>0</v>
      </c>
      <c r="BJ71" s="2">
        <f t="shared" si="43"/>
        <v>0</v>
      </c>
      <c r="BK71" s="2"/>
      <c r="BL71" s="2">
        <v>31</v>
      </c>
    </row>
    <row r="72" spans="1:64" ht="15" customHeight="1">
      <c r="A72" s="15" t="s">
        <v>783</v>
      </c>
      <c r="B72" s="14" t="s">
        <v>1239</v>
      </c>
      <c r="C72" s="58" t="s">
        <v>483</v>
      </c>
      <c r="D72" s="58"/>
      <c r="E72" s="58"/>
      <c r="F72" s="58"/>
      <c r="G72" s="14" t="s">
        <v>319</v>
      </c>
      <c r="H72" s="2">
        <v>6</v>
      </c>
      <c r="I72" s="2">
        <v>0</v>
      </c>
      <c r="J72" s="2">
        <f t="shared" si="22"/>
        <v>0</v>
      </c>
      <c r="K72" s="2">
        <f t="shared" si="23"/>
        <v>0</v>
      </c>
      <c r="L72" s="2">
        <f t="shared" si="24"/>
        <v>0</v>
      </c>
      <c r="M72" s="7" t="s">
        <v>831</v>
      </c>
      <c r="Z72" s="2">
        <f t="shared" si="25"/>
        <v>0</v>
      </c>
      <c r="AB72" s="2">
        <f t="shared" si="26"/>
        <v>0</v>
      </c>
      <c r="AC72" s="2">
        <f t="shared" si="27"/>
        <v>0</v>
      </c>
      <c r="AD72" s="2">
        <f t="shared" si="28"/>
        <v>0</v>
      </c>
      <c r="AE72" s="2">
        <f t="shared" si="29"/>
        <v>0</v>
      </c>
      <c r="AF72" s="2">
        <f t="shared" si="30"/>
        <v>0</v>
      </c>
      <c r="AG72" s="2">
        <f t="shared" si="31"/>
        <v>0</v>
      </c>
      <c r="AH72" s="2">
        <f t="shared" si="32"/>
        <v>0</v>
      </c>
      <c r="AI72" s="19" t="s">
        <v>255</v>
      </c>
      <c r="AJ72" s="2">
        <f t="shared" si="33"/>
        <v>0</v>
      </c>
      <c r="AK72" s="2">
        <f t="shared" si="34"/>
        <v>0</v>
      </c>
      <c r="AL72" s="2">
        <f t="shared" si="35"/>
        <v>0</v>
      </c>
      <c r="AN72" s="2">
        <v>15</v>
      </c>
      <c r="AO72" s="2">
        <f>I72*0.887596401905516</f>
        <v>0</v>
      </c>
      <c r="AP72" s="2">
        <f>I72*(1-0.887596401905516)</f>
        <v>0</v>
      </c>
      <c r="AQ72" s="43" t="s">
        <v>1205</v>
      </c>
      <c r="AV72" s="2">
        <f t="shared" si="36"/>
        <v>0</v>
      </c>
      <c r="AW72" s="2">
        <f t="shared" si="37"/>
        <v>0</v>
      </c>
      <c r="AX72" s="2">
        <f t="shared" si="38"/>
        <v>0</v>
      </c>
      <c r="AY72" s="43" t="s">
        <v>870</v>
      </c>
      <c r="AZ72" s="43" t="s">
        <v>1313</v>
      </c>
      <c r="BA72" s="19" t="s">
        <v>1155</v>
      </c>
      <c r="BC72" s="2">
        <f t="shared" si="39"/>
        <v>0</v>
      </c>
      <c r="BD72" s="2">
        <f t="shared" si="40"/>
        <v>0</v>
      </c>
      <c r="BE72" s="2">
        <v>0</v>
      </c>
      <c r="BF72" s="2">
        <f>72</f>
        <v>72</v>
      </c>
      <c r="BH72" s="2">
        <f t="shared" si="41"/>
        <v>0</v>
      </c>
      <c r="BI72" s="2">
        <f t="shared" si="42"/>
        <v>0</v>
      </c>
      <c r="BJ72" s="2">
        <f t="shared" si="43"/>
        <v>0</v>
      </c>
      <c r="BK72" s="2"/>
      <c r="BL72" s="2">
        <v>31</v>
      </c>
    </row>
    <row r="73" spans="1:64" ht="15" customHeight="1">
      <c r="A73" s="15" t="s">
        <v>458</v>
      </c>
      <c r="B73" s="14" t="s">
        <v>300</v>
      </c>
      <c r="C73" s="58" t="s">
        <v>481</v>
      </c>
      <c r="D73" s="58"/>
      <c r="E73" s="58"/>
      <c r="F73" s="58"/>
      <c r="G73" s="14" t="s">
        <v>319</v>
      </c>
      <c r="H73" s="2">
        <v>30</v>
      </c>
      <c r="I73" s="2">
        <v>0</v>
      </c>
      <c r="J73" s="2">
        <f t="shared" si="22"/>
        <v>0</v>
      </c>
      <c r="K73" s="2">
        <f t="shared" si="23"/>
        <v>0</v>
      </c>
      <c r="L73" s="2">
        <f t="shared" si="24"/>
        <v>0</v>
      </c>
      <c r="M73" s="7" t="s">
        <v>831</v>
      </c>
      <c r="Z73" s="2">
        <f t="shared" si="25"/>
        <v>0</v>
      </c>
      <c r="AB73" s="2">
        <f t="shared" si="26"/>
        <v>0</v>
      </c>
      <c r="AC73" s="2">
        <f t="shared" si="27"/>
        <v>0</v>
      </c>
      <c r="AD73" s="2">
        <f t="shared" si="28"/>
        <v>0</v>
      </c>
      <c r="AE73" s="2">
        <f t="shared" si="29"/>
        <v>0</v>
      </c>
      <c r="AF73" s="2">
        <f t="shared" si="30"/>
        <v>0</v>
      </c>
      <c r="AG73" s="2">
        <f t="shared" si="31"/>
        <v>0</v>
      </c>
      <c r="AH73" s="2">
        <f t="shared" si="32"/>
        <v>0</v>
      </c>
      <c r="AI73" s="19" t="s">
        <v>255</v>
      </c>
      <c r="AJ73" s="2">
        <f t="shared" si="33"/>
        <v>0</v>
      </c>
      <c r="AK73" s="2">
        <f t="shared" si="34"/>
        <v>0</v>
      </c>
      <c r="AL73" s="2">
        <f t="shared" si="35"/>
        <v>0</v>
      </c>
      <c r="AN73" s="2">
        <v>15</v>
      </c>
      <c r="AO73" s="2">
        <f>I73*0.900913233205442</f>
        <v>0</v>
      </c>
      <c r="AP73" s="2">
        <f>I73*(1-0.900913233205442)</f>
        <v>0</v>
      </c>
      <c r="AQ73" s="43" t="s">
        <v>1205</v>
      </c>
      <c r="AV73" s="2">
        <f t="shared" si="36"/>
        <v>0</v>
      </c>
      <c r="AW73" s="2">
        <f t="shared" si="37"/>
        <v>0</v>
      </c>
      <c r="AX73" s="2">
        <f t="shared" si="38"/>
        <v>0</v>
      </c>
      <c r="AY73" s="43" t="s">
        <v>870</v>
      </c>
      <c r="AZ73" s="43" t="s">
        <v>1313</v>
      </c>
      <c r="BA73" s="19" t="s">
        <v>1155</v>
      </c>
      <c r="BC73" s="2">
        <f t="shared" si="39"/>
        <v>0</v>
      </c>
      <c r="BD73" s="2">
        <f t="shared" si="40"/>
        <v>0</v>
      </c>
      <c r="BE73" s="2">
        <v>0</v>
      </c>
      <c r="BF73" s="2">
        <f>73</f>
        <v>73</v>
      </c>
      <c r="BH73" s="2">
        <f t="shared" si="41"/>
        <v>0</v>
      </c>
      <c r="BI73" s="2">
        <f t="shared" si="42"/>
        <v>0</v>
      </c>
      <c r="BJ73" s="2">
        <f t="shared" si="43"/>
        <v>0</v>
      </c>
      <c r="BK73" s="2"/>
      <c r="BL73" s="2">
        <v>31</v>
      </c>
    </row>
    <row r="74" spans="1:64" ht="15" customHeight="1">
      <c r="A74" s="15" t="s">
        <v>1191</v>
      </c>
      <c r="B74" s="14" t="s">
        <v>39</v>
      </c>
      <c r="C74" s="58" t="s">
        <v>253</v>
      </c>
      <c r="D74" s="58"/>
      <c r="E74" s="58"/>
      <c r="F74" s="58"/>
      <c r="G74" s="14" t="s">
        <v>319</v>
      </c>
      <c r="H74" s="2">
        <v>9</v>
      </c>
      <c r="I74" s="2">
        <v>0</v>
      </c>
      <c r="J74" s="2">
        <f t="shared" si="22"/>
        <v>0</v>
      </c>
      <c r="K74" s="2">
        <f t="shared" si="23"/>
        <v>0</v>
      </c>
      <c r="L74" s="2">
        <f t="shared" si="24"/>
        <v>0</v>
      </c>
      <c r="M74" s="7" t="s">
        <v>831</v>
      </c>
      <c r="Z74" s="2">
        <f t="shared" si="25"/>
        <v>0</v>
      </c>
      <c r="AB74" s="2">
        <f t="shared" si="26"/>
        <v>0</v>
      </c>
      <c r="AC74" s="2">
        <f t="shared" si="27"/>
        <v>0</v>
      </c>
      <c r="AD74" s="2">
        <f t="shared" si="28"/>
        <v>0</v>
      </c>
      <c r="AE74" s="2">
        <f t="shared" si="29"/>
        <v>0</v>
      </c>
      <c r="AF74" s="2">
        <f t="shared" si="30"/>
        <v>0</v>
      </c>
      <c r="AG74" s="2">
        <f t="shared" si="31"/>
        <v>0</v>
      </c>
      <c r="AH74" s="2">
        <f t="shared" si="32"/>
        <v>0</v>
      </c>
      <c r="AI74" s="19" t="s">
        <v>255</v>
      </c>
      <c r="AJ74" s="2">
        <f t="shared" si="33"/>
        <v>0</v>
      </c>
      <c r="AK74" s="2">
        <f t="shared" si="34"/>
        <v>0</v>
      </c>
      <c r="AL74" s="2">
        <f t="shared" si="35"/>
        <v>0</v>
      </c>
      <c r="AN74" s="2">
        <v>15</v>
      </c>
      <c r="AO74" s="2">
        <f>I74*0.910205985504887</f>
        <v>0</v>
      </c>
      <c r="AP74" s="2">
        <f>I74*(1-0.910205985504887)</f>
        <v>0</v>
      </c>
      <c r="AQ74" s="43" t="s">
        <v>1205</v>
      </c>
      <c r="AV74" s="2">
        <f t="shared" si="36"/>
        <v>0</v>
      </c>
      <c r="AW74" s="2">
        <f t="shared" si="37"/>
        <v>0</v>
      </c>
      <c r="AX74" s="2">
        <f t="shared" si="38"/>
        <v>0</v>
      </c>
      <c r="AY74" s="43" t="s">
        <v>870</v>
      </c>
      <c r="AZ74" s="43" t="s">
        <v>1313</v>
      </c>
      <c r="BA74" s="19" t="s">
        <v>1155</v>
      </c>
      <c r="BC74" s="2">
        <f t="shared" si="39"/>
        <v>0</v>
      </c>
      <c r="BD74" s="2">
        <f t="shared" si="40"/>
        <v>0</v>
      </c>
      <c r="BE74" s="2">
        <v>0</v>
      </c>
      <c r="BF74" s="2">
        <f>74</f>
        <v>74</v>
      </c>
      <c r="BH74" s="2">
        <f t="shared" si="41"/>
        <v>0</v>
      </c>
      <c r="BI74" s="2">
        <f t="shared" si="42"/>
        <v>0</v>
      </c>
      <c r="BJ74" s="2">
        <f t="shared" si="43"/>
        <v>0</v>
      </c>
      <c r="BK74" s="2"/>
      <c r="BL74" s="2">
        <v>31</v>
      </c>
    </row>
    <row r="75" spans="1:64" ht="15" customHeight="1">
      <c r="A75" s="15" t="s">
        <v>246</v>
      </c>
      <c r="B75" s="14" t="s">
        <v>437</v>
      </c>
      <c r="C75" s="58" t="s">
        <v>758</v>
      </c>
      <c r="D75" s="58"/>
      <c r="E75" s="58"/>
      <c r="F75" s="58"/>
      <c r="G75" s="14" t="s">
        <v>1189</v>
      </c>
      <c r="H75" s="2">
        <v>17.325</v>
      </c>
      <c r="I75" s="2">
        <v>0</v>
      </c>
      <c r="J75" s="2">
        <f t="shared" si="22"/>
        <v>0</v>
      </c>
      <c r="K75" s="2">
        <f t="shared" si="23"/>
        <v>0</v>
      </c>
      <c r="L75" s="2">
        <f t="shared" si="24"/>
        <v>0</v>
      </c>
      <c r="M75" s="7" t="s">
        <v>831</v>
      </c>
      <c r="Z75" s="2">
        <f t="shared" si="25"/>
        <v>0</v>
      </c>
      <c r="AB75" s="2">
        <f t="shared" si="26"/>
        <v>0</v>
      </c>
      <c r="AC75" s="2">
        <f t="shared" si="27"/>
        <v>0</v>
      </c>
      <c r="AD75" s="2">
        <f t="shared" si="28"/>
        <v>0</v>
      </c>
      <c r="AE75" s="2">
        <f t="shared" si="29"/>
        <v>0</v>
      </c>
      <c r="AF75" s="2">
        <f t="shared" si="30"/>
        <v>0</v>
      </c>
      <c r="AG75" s="2">
        <f t="shared" si="31"/>
        <v>0</v>
      </c>
      <c r="AH75" s="2">
        <f t="shared" si="32"/>
        <v>0</v>
      </c>
      <c r="AI75" s="19" t="s">
        <v>255</v>
      </c>
      <c r="AJ75" s="2">
        <f t="shared" si="33"/>
        <v>0</v>
      </c>
      <c r="AK75" s="2">
        <f t="shared" si="34"/>
        <v>0</v>
      </c>
      <c r="AL75" s="2">
        <f t="shared" si="35"/>
        <v>0</v>
      </c>
      <c r="AN75" s="2">
        <v>15</v>
      </c>
      <c r="AO75" s="2">
        <f>I75*0.716609488359635</f>
        <v>0</v>
      </c>
      <c r="AP75" s="2">
        <f>I75*(1-0.716609488359635)</f>
        <v>0</v>
      </c>
      <c r="AQ75" s="43" t="s">
        <v>1205</v>
      </c>
      <c r="AV75" s="2">
        <f t="shared" si="36"/>
        <v>0</v>
      </c>
      <c r="AW75" s="2">
        <f t="shared" si="37"/>
        <v>0</v>
      </c>
      <c r="AX75" s="2">
        <f t="shared" si="38"/>
        <v>0</v>
      </c>
      <c r="AY75" s="43" t="s">
        <v>870</v>
      </c>
      <c r="AZ75" s="43" t="s">
        <v>1313</v>
      </c>
      <c r="BA75" s="19" t="s">
        <v>1155</v>
      </c>
      <c r="BC75" s="2">
        <f t="shared" si="39"/>
        <v>0</v>
      </c>
      <c r="BD75" s="2">
        <f t="shared" si="40"/>
        <v>0</v>
      </c>
      <c r="BE75" s="2">
        <v>0</v>
      </c>
      <c r="BF75" s="2">
        <f>75</f>
        <v>75</v>
      </c>
      <c r="BH75" s="2">
        <f t="shared" si="41"/>
        <v>0</v>
      </c>
      <c r="BI75" s="2">
        <f t="shared" si="42"/>
        <v>0</v>
      </c>
      <c r="BJ75" s="2">
        <f t="shared" si="43"/>
        <v>0</v>
      </c>
      <c r="BK75" s="2"/>
      <c r="BL75" s="2">
        <v>31</v>
      </c>
    </row>
    <row r="76" spans="1:13" ht="13.5" customHeight="1">
      <c r="A76" s="51"/>
      <c r="B76" s="32" t="s">
        <v>639</v>
      </c>
      <c r="C76" s="75" t="s">
        <v>612</v>
      </c>
      <c r="D76" s="76"/>
      <c r="E76" s="76"/>
      <c r="F76" s="76"/>
      <c r="G76" s="76"/>
      <c r="H76" s="76"/>
      <c r="I76" s="76"/>
      <c r="J76" s="76"/>
      <c r="K76" s="76"/>
      <c r="L76" s="76"/>
      <c r="M76" s="77"/>
    </row>
    <row r="77" spans="1:64" ht="15" customHeight="1">
      <c r="A77" s="15" t="s">
        <v>426</v>
      </c>
      <c r="B77" s="14" t="s">
        <v>100</v>
      </c>
      <c r="C77" s="58" t="s">
        <v>335</v>
      </c>
      <c r="D77" s="58"/>
      <c r="E77" s="58"/>
      <c r="F77" s="58"/>
      <c r="G77" s="14" t="s">
        <v>584</v>
      </c>
      <c r="H77" s="2">
        <v>0.125</v>
      </c>
      <c r="I77" s="2">
        <v>0</v>
      </c>
      <c r="J77" s="2">
        <f>H77*AO77</f>
        <v>0</v>
      </c>
      <c r="K77" s="2">
        <f>H77*AP77</f>
        <v>0</v>
      </c>
      <c r="L77" s="2">
        <f>H77*I77</f>
        <v>0</v>
      </c>
      <c r="M77" s="7" t="s">
        <v>831</v>
      </c>
      <c r="Z77" s="2">
        <f>IF(AQ77="5",BJ77,0)</f>
        <v>0</v>
      </c>
      <c r="AB77" s="2">
        <f>IF(AQ77="1",BH77,0)</f>
        <v>0</v>
      </c>
      <c r="AC77" s="2">
        <f>IF(AQ77="1",BI77,0)</f>
        <v>0</v>
      </c>
      <c r="AD77" s="2">
        <f>IF(AQ77="7",BH77,0)</f>
        <v>0</v>
      </c>
      <c r="AE77" s="2">
        <f>IF(AQ77="7",BI77,0)</f>
        <v>0</v>
      </c>
      <c r="AF77" s="2">
        <f>IF(AQ77="2",BH77,0)</f>
        <v>0</v>
      </c>
      <c r="AG77" s="2">
        <f>IF(AQ77="2",BI77,0)</f>
        <v>0</v>
      </c>
      <c r="AH77" s="2">
        <f>IF(AQ77="0",BJ77,0)</f>
        <v>0</v>
      </c>
      <c r="AI77" s="19" t="s">
        <v>255</v>
      </c>
      <c r="AJ77" s="2">
        <f>IF(AN77=0,L77,0)</f>
        <v>0</v>
      </c>
      <c r="AK77" s="2">
        <f>IF(AN77=15,L77,0)</f>
        <v>0</v>
      </c>
      <c r="AL77" s="2">
        <f>IF(AN77=21,L77,0)</f>
        <v>0</v>
      </c>
      <c r="AN77" s="2">
        <v>15</v>
      </c>
      <c r="AO77" s="2">
        <f>I77*0.766597784255814</f>
        <v>0</v>
      </c>
      <c r="AP77" s="2">
        <f>I77*(1-0.766597784255814)</f>
        <v>0</v>
      </c>
      <c r="AQ77" s="43" t="s">
        <v>1205</v>
      </c>
      <c r="AV77" s="2">
        <f>AW77+AX77</f>
        <v>0</v>
      </c>
      <c r="AW77" s="2">
        <f>H77*AO77</f>
        <v>0</v>
      </c>
      <c r="AX77" s="2">
        <f>H77*AP77</f>
        <v>0</v>
      </c>
      <c r="AY77" s="43" t="s">
        <v>870</v>
      </c>
      <c r="AZ77" s="43" t="s">
        <v>1313</v>
      </c>
      <c r="BA77" s="19" t="s">
        <v>1155</v>
      </c>
      <c r="BC77" s="2">
        <f>AW77+AX77</f>
        <v>0</v>
      </c>
      <c r="BD77" s="2">
        <f>I77/(100-BE77)*100</f>
        <v>0</v>
      </c>
      <c r="BE77" s="2">
        <v>0</v>
      </c>
      <c r="BF77" s="2">
        <f>77</f>
        <v>77</v>
      </c>
      <c r="BH77" s="2">
        <f>H77*AO77</f>
        <v>0</v>
      </c>
      <c r="BI77" s="2">
        <f>H77*AP77</f>
        <v>0</v>
      </c>
      <c r="BJ77" s="2">
        <f>H77*I77</f>
        <v>0</v>
      </c>
      <c r="BK77" s="2"/>
      <c r="BL77" s="2">
        <v>31</v>
      </c>
    </row>
    <row r="78" spans="1:64" ht="15" customHeight="1">
      <c r="A78" s="15" t="s">
        <v>549</v>
      </c>
      <c r="B78" s="14" t="s">
        <v>721</v>
      </c>
      <c r="C78" s="58" t="s">
        <v>322</v>
      </c>
      <c r="D78" s="58"/>
      <c r="E78" s="58"/>
      <c r="F78" s="58"/>
      <c r="G78" s="14" t="s">
        <v>319</v>
      </c>
      <c r="H78" s="2">
        <v>3</v>
      </c>
      <c r="I78" s="2">
        <v>0</v>
      </c>
      <c r="J78" s="2">
        <f>H78*AO78</f>
        <v>0</v>
      </c>
      <c r="K78" s="2">
        <f>H78*AP78</f>
        <v>0</v>
      </c>
      <c r="L78" s="2">
        <f>H78*I78</f>
        <v>0</v>
      </c>
      <c r="M78" s="7" t="s">
        <v>831</v>
      </c>
      <c r="Z78" s="2">
        <f>IF(AQ78="5",BJ78,0)</f>
        <v>0</v>
      </c>
      <c r="AB78" s="2">
        <f>IF(AQ78="1",BH78,0)</f>
        <v>0</v>
      </c>
      <c r="AC78" s="2">
        <f>IF(AQ78="1",BI78,0)</f>
        <v>0</v>
      </c>
      <c r="AD78" s="2">
        <f>IF(AQ78="7",BH78,0)</f>
        <v>0</v>
      </c>
      <c r="AE78" s="2">
        <f>IF(AQ78="7",BI78,0)</f>
        <v>0</v>
      </c>
      <c r="AF78" s="2">
        <f>IF(AQ78="2",BH78,0)</f>
        <v>0</v>
      </c>
      <c r="AG78" s="2">
        <f>IF(AQ78="2",BI78,0)</f>
        <v>0</v>
      </c>
      <c r="AH78" s="2">
        <f>IF(AQ78="0",BJ78,0)</f>
        <v>0</v>
      </c>
      <c r="AI78" s="19" t="s">
        <v>255</v>
      </c>
      <c r="AJ78" s="2">
        <f>IF(AN78=0,L78,0)</f>
        <v>0</v>
      </c>
      <c r="AK78" s="2">
        <f>IF(AN78=15,L78,0)</f>
        <v>0</v>
      </c>
      <c r="AL78" s="2">
        <f>IF(AN78=21,L78,0)</f>
        <v>0</v>
      </c>
      <c r="AN78" s="2">
        <v>15</v>
      </c>
      <c r="AO78" s="2">
        <f>I78*0.746793313069909</f>
        <v>0</v>
      </c>
      <c r="AP78" s="2">
        <f>I78*(1-0.746793313069909)</f>
        <v>0</v>
      </c>
      <c r="AQ78" s="43" t="s">
        <v>1205</v>
      </c>
      <c r="AV78" s="2">
        <f>AW78+AX78</f>
        <v>0</v>
      </c>
      <c r="AW78" s="2">
        <f>H78*AO78</f>
        <v>0</v>
      </c>
      <c r="AX78" s="2">
        <f>H78*AP78</f>
        <v>0</v>
      </c>
      <c r="AY78" s="43" t="s">
        <v>870</v>
      </c>
      <c r="AZ78" s="43" t="s">
        <v>1313</v>
      </c>
      <c r="BA78" s="19" t="s">
        <v>1155</v>
      </c>
      <c r="BC78" s="2">
        <f>AW78+AX78</f>
        <v>0</v>
      </c>
      <c r="BD78" s="2">
        <f>I78/(100-BE78)*100</f>
        <v>0</v>
      </c>
      <c r="BE78" s="2">
        <v>0</v>
      </c>
      <c r="BF78" s="2">
        <f>78</f>
        <v>78</v>
      </c>
      <c r="BH78" s="2">
        <f>H78*AO78</f>
        <v>0</v>
      </c>
      <c r="BI78" s="2">
        <f>H78*AP78</f>
        <v>0</v>
      </c>
      <c r="BJ78" s="2">
        <f>H78*I78</f>
        <v>0</v>
      </c>
      <c r="BK78" s="2"/>
      <c r="BL78" s="2">
        <v>31</v>
      </c>
    </row>
    <row r="79" spans="1:47" ht="15" customHeight="1">
      <c r="A79" s="48" t="s">
        <v>844</v>
      </c>
      <c r="B79" s="17" t="s">
        <v>1341</v>
      </c>
      <c r="C79" s="74" t="s">
        <v>302</v>
      </c>
      <c r="D79" s="74"/>
      <c r="E79" s="74"/>
      <c r="F79" s="74"/>
      <c r="G79" s="40" t="s">
        <v>1110</v>
      </c>
      <c r="H79" s="40" t="s">
        <v>1110</v>
      </c>
      <c r="I79" s="40" t="s">
        <v>1110</v>
      </c>
      <c r="J79" s="23">
        <f>SUM(J80:J97)</f>
        <v>0</v>
      </c>
      <c r="K79" s="23">
        <f>SUM(K80:K97)</f>
        <v>0</v>
      </c>
      <c r="L79" s="23">
        <f>SUM(L80:L97)</f>
        <v>0</v>
      </c>
      <c r="M79" s="37" t="s">
        <v>844</v>
      </c>
      <c r="AI79" s="19" t="s">
        <v>255</v>
      </c>
      <c r="AS79" s="23">
        <f>SUM(AJ80:AJ97)</f>
        <v>0</v>
      </c>
      <c r="AT79" s="23">
        <f>SUM(AK80:AK97)</f>
        <v>0</v>
      </c>
      <c r="AU79" s="23">
        <f>SUM(AL80:AL97)</f>
        <v>0</v>
      </c>
    </row>
    <row r="80" spans="1:64" ht="15" customHeight="1">
      <c r="A80" s="15" t="s">
        <v>456</v>
      </c>
      <c r="B80" s="14" t="s">
        <v>871</v>
      </c>
      <c r="C80" s="58" t="s">
        <v>1261</v>
      </c>
      <c r="D80" s="58"/>
      <c r="E80" s="58"/>
      <c r="F80" s="58"/>
      <c r="G80" s="14" t="s">
        <v>1189</v>
      </c>
      <c r="H80" s="2">
        <v>313.937</v>
      </c>
      <c r="I80" s="2">
        <v>0</v>
      </c>
      <c r="J80" s="2">
        <f>H80*AO80</f>
        <v>0</v>
      </c>
      <c r="K80" s="2">
        <f>H80*AP80</f>
        <v>0</v>
      </c>
      <c r="L80" s="2">
        <f>H80*I80</f>
        <v>0</v>
      </c>
      <c r="M80" s="7" t="s">
        <v>831</v>
      </c>
      <c r="Z80" s="2">
        <f>IF(AQ80="5",BJ80,0)</f>
        <v>0</v>
      </c>
      <c r="AB80" s="2">
        <f>IF(AQ80="1",BH80,0)</f>
        <v>0</v>
      </c>
      <c r="AC80" s="2">
        <f>IF(AQ80="1",BI80,0)</f>
        <v>0</v>
      </c>
      <c r="AD80" s="2">
        <f>IF(AQ80="7",BH80,0)</f>
        <v>0</v>
      </c>
      <c r="AE80" s="2">
        <f>IF(AQ80="7",BI80,0)</f>
        <v>0</v>
      </c>
      <c r="AF80" s="2">
        <f>IF(AQ80="2",BH80,0)</f>
        <v>0</v>
      </c>
      <c r="AG80" s="2">
        <f>IF(AQ80="2",BI80,0)</f>
        <v>0</v>
      </c>
      <c r="AH80" s="2">
        <f>IF(AQ80="0",BJ80,0)</f>
        <v>0</v>
      </c>
      <c r="AI80" s="19" t="s">
        <v>255</v>
      </c>
      <c r="AJ80" s="2">
        <f>IF(AN80=0,L80,0)</f>
        <v>0</v>
      </c>
      <c r="AK80" s="2">
        <f>IF(AN80=15,L80,0)</f>
        <v>0</v>
      </c>
      <c r="AL80" s="2">
        <f>IF(AN80=21,L80,0)</f>
        <v>0</v>
      </c>
      <c r="AN80" s="2">
        <v>15</v>
      </c>
      <c r="AO80" s="2">
        <f>I80*0.769551766401614</f>
        <v>0</v>
      </c>
      <c r="AP80" s="2">
        <f>I80*(1-0.769551766401614)</f>
        <v>0</v>
      </c>
      <c r="AQ80" s="43" t="s">
        <v>1205</v>
      </c>
      <c r="AV80" s="2">
        <f>AW80+AX80</f>
        <v>0</v>
      </c>
      <c r="AW80" s="2">
        <f>H80*AO80</f>
        <v>0</v>
      </c>
      <c r="AX80" s="2">
        <f>H80*AP80</f>
        <v>0</v>
      </c>
      <c r="AY80" s="43" t="s">
        <v>861</v>
      </c>
      <c r="AZ80" s="43" t="s">
        <v>1313</v>
      </c>
      <c r="BA80" s="19" t="s">
        <v>1155</v>
      </c>
      <c r="BC80" s="2">
        <f>AW80+AX80</f>
        <v>0</v>
      </c>
      <c r="BD80" s="2">
        <f>I80/(100-BE80)*100</f>
        <v>0</v>
      </c>
      <c r="BE80" s="2">
        <v>0</v>
      </c>
      <c r="BF80" s="2">
        <f>80</f>
        <v>80</v>
      </c>
      <c r="BH80" s="2">
        <f>H80*AO80</f>
        <v>0</v>
      </c>
      <c r="BI80" s="2">
        <f>H80*AP80</f>
        <v>0</v>
      </c>
      <c r="BJ80" s="2">
        <f>H80*I80</f>
        <v>0</v>
      </c>
      <c r="BK80" s="2"/>
      <c r="BL80" s="2">
        <v>34</v>
      </c>
    </row>
    <row r="81" spans="1:64" ht="15" customHeight="1">
      <c r="A81" s="15" t="s">
        <v>969</v>
      </c>
      <c r="B81" s="14" t="s">
        <v>183</v>
      </c>
      <c r="C81" s="58" t="s">
        <v>1046</v>
      </c>
      <c r="D81" s="58"/>
      <c r="E81" s="58"/>
      <c r="F81" s="58"/>
      <c r="G81" s="14" t="s">
        <v>1189</v>
      </c>
      <c r="H81" s="2">
        <v>41.1</v>
      </c>
      <c r="I81" s="2">
        <v>0</v>
      </c>
      <c r="J81" s="2">
        <f>H81*AO81</f>
        <v>0</v>
      </c>
      <c r="K81" s="2">
        <f>H81*AP81</f>
        <v>0</v>
      </c>
      <c r="L81" s="2">
        <f>H81*I81</f>
        <v>0</v>
      </c>
      <c r="M81" s="7" t="s">
        <v>831</v>
      </c>
      <c r="Z81" s="2">
        <f>IF(AQ81="5",BJ81,0)</f>
        <v>0</v>
      </c>
      <c r="AB81" s="2">
        <f>IF(AQ81="1",BH81,0)</f>
        <v>0</v>
      </c>
      <c r="AC81" s="2">
        <f>IF(AQ81="1",BI81,0)</f>
        <v>0</v>
      </c>
      <c r="AD81" s="2">
        <f>IF(AQ81="7",BH81,0)</f>
        <v>0</v>
      </c>
      <c r="AE81" s="2">
        <f>IF(AQ81="7",BI81,0)</f>
        <v>0</v>
      </c>
      <c r="AF81" s="2">
        <f>IF(AQ81="2",BH81,0)</f>
        <v>0</v>
      </c>
      <c r="AG81" s="2">
        <f>IF(AQ81="2",BI81,0)</f>
        <v>0</v>
      </c>
      <c r="AH81" s="2">
        <f>IF(AQ81="0",BJ81,0)</f>
        <v>0</v>
      </c>
      <c r="AI81" s="19" t="s">
        <v>255</v>
      </c>
      <c r="AJ81" s="2">
        <f>IF(AN81=0,L81,0)</f>
        <v>0</v>
      </c>
      <c r="AK81" s="2">
        <f>IF(AN81=15,L81,0)</f>
        <v>0</v>
      </c>
      <c r="AL81" s="2">
        <f>IF(AN81=21,L81,0)</f>
        <v>0</v>
      </c>
      <c r="AN81" s="2">
        <v>15</v>
      </c>
      <c r="AO81" s="2">
        <f>I81*0.433881988548445</f>
        <v>0</v>
      </c>
      <c r="AP81" s="2">
        <f>I81*(1-0.433881988548445)</f>
        <v>0</v>
      </c>
      <c r="AQ81" s="43" t="s">
        <v>1205</v>
      </c>
      <c r="AV81" s="2">
        <f>AW81+AX81</f>
        <v>0</v>
      </c>
      <c r="AW81" s="2">
        <f>H81*AO81</f>
        <v>0</v>
      </c>
      <c r="AX81" s="2">
        <f>H81*AP81</f>
        <v>0</v>
      </c>
      <c r="AY81" s="43" t="s">
        <v>861</v>
      </c>
      <c r="AZ81" s="43" t="s">
        <v>1313</v>
      </c>
      <c r="BA81" s="19" t="s">
        <v>1155</v>
      </c>
      <c r="BC81" s="2">
        <f>AW81+AX81</f>
        <v>0</v>
      </c>
      <c r="BD81" s="2">
        <f>I81/(100-BE81)*100</f>
        <v>0</v>
      </c>
      <c r="BE81" s="2">
        <v>0</v>
      </c>
      <c r="BF81" s="2">
        <f>81</f>
        <v>81</v>
      </c>
      <c r="BH81" s="2">
        <f>H81*AO81</f>
        <v>0</v>
      </c>
      <c r="BI81" s="2">
        <f>H81*AP81</f>
        <v>0</v>
      </c>
      <c r="BJ81" s="2">
        <f>H81*I81</f>
        <v>0</v>
      </c>
      <c r="BK81" s="2"/>
      <c r="BL81" s="2">
        <v>34</v>
      </c>
    </row>
    <row r="82" spans="1:13" ht="13.5" customHeight="1">
      <c r="A82" s="51"/>
      <c r="B82" s="32" t="s">
        <v>639</v>
      </c>
      <c r="C82" s="75" t="s">
        <v>366</v>
      </c>
      <c r="D82" s="76"/>
      <c r="E82" s="76"/>
      <c r="F82" s="76"/>
      <c r="G82" s="76"/>
      <c r="H82" s="76"/>
      <c r="I82" s="76"/>
      <c r="J82" s="76"/>
      <c r="K82" s="76"/>
      <c r="L82" s="76"/>
      <c r="M82" s="77"/>
    </row>
    <row r="83" spans="1:64" ht="15" customHeight="1">
      <c r="A83" s="15" t="s">
        <v>1251</v>
      </c>
      <c r="B83" s="14" t="s">
        <v>578</v>
      </c>
      <c r="C83" s="58" t="s">
        <v>222</v>
      </c>
      <c r="D83" s="58"/>
      <c r="E83" s="58"/>
      <c r="F83" s="58"/>
      <c r="G83" s="14" t="s">
        <v>1189</v>
      </c>
      <c r="H83" s="2">
        <v>41.1</v>
      </c>
      <c r="I83" s="2">
        <v>0</v>
      </c>
      <c r="J83" s="2">
        <f>H83*AO83</f>
        <v>0</v>
      </c>
      <c r="K83" s="2">
        <f>H83*AP83</f>
        <v>0</v>
      </c>
      <c r="L83" s="2">
        <f>H83*I83</f>
        <v>0</v>
      </c>
      <c r="M83" s="7" t="s">
        <v>831</v>
      </c>
      <c r="Z83" s="2">
        <f>IF(AQ83="5",BJ83,0)</f>
        <v>0</v>
      </c>
      <c r="AB83" s="2">
        <f>IF(AQ83="1",BH83,0)</f>
        <v>0</v>
      </c>
      <c r="AC83" s="2">
        <f>IF(AQ83="1",BI83,0)</f>
        <v>0</v>
      </c>
      <c r="AD83" s="2">
        <f>IF(AQ83="7",BH83,0)</f>
        <v>0</v>
      </c>
      <c r="AE83" s="2">
        <f>IF(AQ83="7",BI83,0)</f>
        <v>0</v>
      </c>
      <c r="AF83" s="2">
        <f>IF(AQ83="2",BH83,0)</f>
        <v>0</v>
      </c>
      <c r="AG83" s="2">
        <f>IF(AQ83="2",BI83,0)</f>
        <v>0</v>
      </c>
      <c r="AH83" s="2">
        <f>IF(AQ83="0",BJ83,0)</f>
        <v>0</v>
      </c>
      <c r="AI83" s="19" t="s">
        <v>255</v>
      </c>
      <c r="AJ83" s="2">
        <f>IF(AN83=0,L83,0)</f>
        <v>0</v>
      </c>
      <c r="AK83" s="2">
        <f>IF(AN83=15,L83,0)</f>
        <v>0</v>
      </c>
      <c r="AL83" s="2">
        <f>IF(AN83=21,L83,0)</f>
        <v>0</v>
      </c>
      <c r="AN83" s="2">
        <v>15</v>
      </c>
      <c r="AO83" s="2">
        <f>I83*0</f>
        <v>0</v>
      </c>
      <c r="AP83" s="2">
        <f>I83*(1-0)</f>
        <v>0</v>
      </c>
      <c r="AQ83" s="43" t="s">
        <v>1205</v>
      </c>
      <c r="AV83" s="2">
        <f>AW83+AX83</f>
        <v>0</v>
      </c>
      <c r="AW83" s="2">
        <f>H83*AO83</f>
        <v>0</v>
      </c>
      <c r="AX83" s="2">
        <f>H83*AP83</f>
        <v>0</v>
      </c>
      <c r="AY83" s="43" t="s">
        <v>861</v>
      </c>
      <c r="AZ83" s="43" t="s">
        <v>1313</v>
      </c>
      <c r="BA83" s="19" t="s">
        <v>1155</v>
      </c>
      <c r="BC83" s="2">
        <f>AW83+AX83</f>
        <v>0</v>
      </c>
      <c r="BD83" s="2">
        <f>I83/(100-BE83)*100</f>
        <v>0</v>
      </c>
      <c r="BE83" s="2">
        <v>0</v>
      </c>
      <c r="BF83" s="2">
        <f>83</f>
        <v>83</v>
      </c>
      <c r="BH83" s="2">
        <f>H83*AO83</f>
        <v>0</v>
      </c>
      <c r="BI83" s="2">
        <f>H83*AP83</f>
        <v>0</v>
      </c>
      <c r="BJ83" s="2">
        <f>H83*I83</f>
        <v>0</v>
      </c>
      <c r="BK83" s="2"/>
      <c r="BL83" s="2">
        <v>34</v>
      </c>
    </row>
    <row r="84" spans="1:13" ht="13.5" customHeight="1">
      <c r="A84" s="51"/>
      <c r="B84" s="32" t="s">
        <v>639</v>
      </c>
      <c r="C84" s="75" t="s">
        <v>6</v>
      </c>
      <c r="D84" s="76"/>
      <c r="E84" s="76"/>
      <c r="F84" s="76"/>
      <c r="G84" s="76"/>
      <c r="H84" s="76"/>
      <c r="I84" s="76"/>
      <c r="J84" s="76"/>
      <c r="K84" s="76"/>
      <c r="L84" s="76"/>
      <c r="M84" s="77"/>
    </row>
    <row r="85" spans="1:64" ht="15" customHeight="1">
      <c r="A85" s="15" t="s">
        <v>90</v>
      </c>
      <c r="B85" s="14" t="s">
        <v>762</v>
      </c>
      <c r="C85" s="58" t="s">
        <v>1362</v>
      </c>
      <c r="D85" s="58"/>
      <c r="E85" s="58"/>
      <c r="F85" s="58"/>
      <c r="G85" s="14" t="s">
        <v>1189</v>
      </c>
      <c r="H85" s="2">
        <v>2.448</v>
      </c>
      <c r="I85" s="2">
        <v>0</v>
      </c>
      <c r="J85" s="2">
        <f>H85*AO85</f>
        <v>0</v>
      </c>
      <c r="K85" s="2">
        <f>H85*AP85</f>
        <v>0</v>
      </c>
      <c r="L85" s="2">
        <f>H85*I85</f>
        <v>0</v>
      </c>
      <c r="M85" s="7" t="s">
        <v>831</v>
      </c>
      <c r="Z85" s="2">
        <f>IF(AQ85="5",BJ85,0)</f>
        <v>0</v>
      </c>
      <c r="AB85" s="2">
        <f>IF(AQ85="1",BH85,0)</f>
        <v>0</v>
      </c>
      <c r="AC85" s="2">
        <f>IF(AQ85="1",BI85,0)</f>
        <v>0</v>
      </c>
      <c r="AD85" s="2">
        <f>IF(AQ85="7",BH85,0)</f>
        <v>0</v>
      </c>
      <c r="AE85" s="2">
        <f>IF(AQ85="7",BI85,0)</f>
        <v>0</v>
      </c>
      <c r="AF85" s="2">
        <f>IF(AQ85="2",BH85,0)</f>
        <v>0</v>
      </c>
      <c r="AG85" s="2">
        <f>IF(AQ85="2",BI85,0)</f>
        <v>0</v>
      </c>
      <c r="AH85" s="2">
        <f>IF(AQ85="0",BJ85,0)</f>
        <v>0</v>
      </c>
      <c r="AI85" s="19" t="s">
        <v>255</v>
      </c>
      <c r="AJ85" s="2">
        <f>IF(AN85=0,L85,0)</f>
        <v>0</v>
      </c>
      <c r="AK85" s="2">
        <f>IF(AN85=15,L85,0)</f>
        <v>0</v>
      </c>
      <c r="AL85" s="2">
        <f>IF(AN85=21,L85,0)</f>
        <v>0</v>
      </c>
      <c r="AN85" s="2">
        <v>15</v>
      </c>
      <c r="AO85" s="2">
        <f>I85*0.507534919124643</f>
        <v>0</v>
      </c>
      <c r="AP85" s="2">
        <f>I85*(1-0.507534919124643)</f>
        <v>0</v>
      </c>
      <c r="AQ85" s="43" t="s">
        <v>1205</v>
      </c>
      <c r="AV85" s="2">
        <f>AW85+AX85</f>
        <v>0</v>
      </c>
      <c r="AW85" s="2">
        <f>H85*AO85</f>
        <v>0</v>
      </c>
      <c r="AX85" s="2">
        <f>H85*AP85</f>
        <v>0</v>
      </c>
      <c r="AY85" s="43" t="s">
        <v>861</v>
      </c>
      <c r="AZ85" s="43" t="s">
        <v>1313</v>
      </c>
      <c r="BA85" s="19" t="s">
        <v>1155</v>
      </c>
      <c r="BC85" s="2">
        <f>AW85+AX85</f>
        <v>0</v>
      </c>
      <c r="BD85" s="2">
        <f>I85/(100-BE85)*100</f>
        <v>0</v>
      </c>
      <c r="BE85" s="2">
        <v>0</v>
      </c>
      <c r="BF85" s="2">
        <f>85</f>
        <v>85</v>
      </c>
      <c r="BH85" s="2">
        <f>H85*AO85</f>
        <v>0</v>
      </c>
      <c r="BI85" s="2">
        <f>H85*AP85</f>
        <v>0</v>
      </c>
      <c r="BJ85" s="2">
        <f>H85*I85</f>
        <v>0</v>
      </c>
      <c r="BK85" s="2"/>
      <c r="BL85" s="2">
        <v>34</v>
      </c>
    </row>
    <row r="86" spans="1:13" ht="13.5" customHeight="1">
      <c r="A86" s="51"/>
      <c r="B86" s="32" t="s">
        <v>639</v>
      </c>
      <c r="C86" s="75" t="s">
        <v>96</v>
      </c>
      <c r="D86" s="76"/>
      <c r="E86" s="76"/>
      <c r="F86" s="76"/>
      <c r="G86" s="76"/>
      <c r="H86" s="76"/>
      <c r="I86" s="76"/>
      <c r="J86" s="76"/>
      <c r="K86" s="76"/>
      <c r="L86" s="76"/>
      <c r="M86" s="77"/>
    </row>
    <row r="87" spans="1:64" ht="15" customHeight="1">
      <c r="A87" s="15" t="s">
        <v>941</v>
      </c>
      <c r="B87" s="14" t="s">
        <v>948</v>
      </c>
      <c r="C87" s="58" t="s">
        <v>455</v>
      </c>
      <c r="D87" s="58"/>
      <c r="E87" s="58"/>
      <c r="F87" s="58"/>
      <c r="G87" s="14" t="s">
        <v>1189</v>
      </c>
      <c r="H87" s="2">
        <v>35.662</v>
      </c>
      <c r="I87" s="2">
        <v>0</v>
      </c>
      <c r="J87" s="2">
        <f>H87*AO87</f>
        <v>0</v>
      </c>
      <c r="K87" s="2">
        <f>H87*AP87</f>
        <v>0</v>
      </c>
      <c r="L87" s="2">
        <f>H87*I87</f>
        <v>0</v>
      </c>
      <c r="M87" s="7" t="s">
        <v>831</v>
      </c>
      <c r="Z87" s="2">
        <f>IF(AQ87="5",BJ87,0)</f>
        <v>0</v>
      </c>
      <c r="AB87" s="2">
        <f>IF(AQ87="1",BH87,0)</f>
        <v>0</v>
      </c>
      <c r="AC87" s="2">
        <f>IF(AQ87="1",BI87,0)</f>
        <v>0</v>
      </c>
      <c r="AD87" s="2">
        <f>IF(AQ87="7",BH87,0)</f>
        <v>0</v>
      </c>
      <c r="AE87" s="2">
        <f>IF(AQ87="7",BI87,0)</f>
        <v>0</v>
      </c>
      <c r="AF87" s="2">
        <f>IF(AQ87="2",BH87,0)</f>
        <v>0</v>
      </c>
      <c r="AG87" s="2">
        <f>IF(AQ87="2",BI87,0)</f>
        <v>0</v>
      </c>
      <c r="AH87" s="2">
        <f>IF(AQ87="0",BJ87,0)</f>
        <v>0</v>
      </c>
      <c r="AI87" s="19" t="s">
        <v>255</v>
      </c>
      <c r="AJ87" s="2">
        <f>IF(AN87=0,L87,0)</f>
        <v>0</v>
      </c>
      <c r="AK87" s="2">
        <f>IF(AN87=15,L87,0)</f>
        <v>0</v>
      </c>
      <c r="AL87" s="2">
        <f>IF(AN87=21,L87,0)</f>
        <v>0</v>
      </c>
      <c r="AN87" s="2">
        <v>15</v>
      </c>
      <c r="AO87" s="2">
        <f>I87*0.689603651912917</f>
        <v>0</v>
      </c>
      <c r="AP87" s="2">
        <f>I87*(1-0.689603651912917)</f>
        <v>0</v>
      </c>
      <c r="AQ87" s="43" t="s">
        <v>1205</v>
      </c>
      <c r="AV87" s="2">
        <f>AW87+AX87</f>
        <v>0</v>
      </c>
      <c r="AW87" s="2">
        <f>H87*AO87</f>
        <v>0</v>
      </c>
      <c r="AX87" s="2">
        <f>H87*AP87</f>
        <v>0</v>
      </c>
      <c r="AY87" s="43" t="s">
        <v>861</v>
      </c>
      <c r="AZ87" s="43" t="s">
        <v>1313</v>
      </c>
      <c r="BA87" s="19" t="s">
        <v>1155</v>
      </c>
      <c r="BC87" s="2">
        <f>AW87+AX87</f>
        <v>0</v>
      </c>
      <c r="BD87" s="2">
        <f>I87/(100-BE87)*100</f>
        <v>0</v>
      </c>
      <c r="BE87" s="2">
        <v>0</v>
      </c>
      <c r="BF87" s="2">
        <f>87</f>
        <v>87</v>
      </c>
      <c r="BH87" s="2">
        <f>H87*AO87</f>
        <v>0</v>
      </c>
      <c r="BI87" s="2">
        <f>H87*AP87</f>
        <v>0</v>
      </c>
      <c r="BJ87" s="2">
        <f>H87*I87</f>
        <v>0</v>
      </c>
      <c r="BK87" s="2"/>
      <c r="BL87" s="2">
        <v>34</v>
      </c>
    </row>
    <row r="88" spans="1:64" ht="15" customHeight="1">
      <c r="A88" s="15" t="s">
        <v>988</v>
      </c>
      <c r="B88" s="14" t="s">
        <v>332</v>
      </c>
      <c r="C88" s="58" t="s">
        <v>152</v>
      </c>
      <c r="D88" s="58"/>
      <c r="E88" s="58"/>
      <c r="F88" s="58"/>
      <c r="G88" s="14" t="s">
        <v>1189</v>
      </c>
      <c r="H88" s="2">
        <v>192.42</v>
      </c>
      <c r="I88" s="2">
        <v>0</v>
      </c>
      <c r="J88" s="2">
        <f>H88*AO88</f>
        <v>0</v>
      </c>
      <c r="K88" s="2">
        <f>H88*AP88</f>
        <v>0</v>
      </c>
      <c r="L88" s="2">
        <f>H88*I88</f>
        <v>0</v>
      </c>
      <c r="M88" s="7" t="s">
        <v>831</v>
      </c>
      <c r="Z88" s="2">
        <f>IF(AQ88="5",BJ88,0)</f>
        <v>0</v>
      </c>
      <c r="AB88" s="2">
        <f>IF(AQ88="1",BH88,0)</f>
        <v>0</v>
      </c>
      <c r="AC88" s="2">
        <f>IF(AQ88="1",BI88,0)</f>
        <v>0</v>
      </c>
      <c r="AD88" s="2">
        <f>IF(AQ88="7",BH88,0)</f>
        <v>0</v>
      </c>
      <c r="AE88" s="2">
        <f>IF(AQ88="7",BI88,0)</f>
        <v>0</v>
      </c>
      <c r="AF88" s="2">
        <f>IF(AQ88="2",BH88,0)</f>
        <v>0</v>
      </c>
      <c r="AG88" s="2">
        <f>IF(AQ88="2",BI88,0)</f>
        <v>0</v>
      </c>
      <c r="AH88" s="2">
        <f>IF(AQ88="0",BJ88,0)</f>
        <v>0</v>
      </c>
      <c r="AI88" s="19" t="s">
        <v>255</v>
      </c>
      <c r="AJ88" s="2">
        <f>IF(AN88=0,L88,0)</f>
        <v>0</v>
      </c>
      <c r="AK88" s="2">
        <f>IF(AN88=15,L88,0)</f>
        <v>0</v>
      </c>
      <c r="AL88" s="2">
        <f>IF(AN88=21,L88,0)</f>
        <v>0</v>
      </c>
      <c r="AN88" s="2">
        <v>15</v>
      </c>
      <c r="AO88" s="2">
        <f>I88*0.419095652173913</f>
        <v>0</v>
      </c>
      <c r="AP88" s="2">
        <f>I88*(1-0.419095652173913)</f>
        <v>0</v>
      </c>
      <c r="AQ88" s="43" t="s">
        <v>1205</v>
      </c>
      <c r="AV88" s="2">
        <f>AW88+AX88</f>
        <v>0</v>
      </c>
      <c r="AW88" s="2">
        <f>H88*AO88</f>
        <v>0</v>
      </c>
      <c r="AX88" s="2">
        <f>H88*AP88</f>
        <v>0</v>
      </c>
      <c r="AY88" s="43" t="s">
        <v>861</v>
      </c>
      <c r="AZ88" s="43" t="s">
        <v>1313</v>
      </c>
      <c r="BA88" s="19" t="s">
        <v>1155</v>
      </c>
      <c r="BC88" s="2">
        <f>AW88+AX88</f>
        <v>0</v>
      </c>
      <c r="BD88" s="2">
        <f>I88/(100-BE88)*100</f>
        <v>0</v>
      </c>
      <c r="BE88" s="2">
        <v>0</v>
      </c>
      <c r="BF88" s="2">
        <f>88</f>
        <v>88</v>
      </c>
      <c r="BH88" s="2">
        <f>H88*AO88</f>
        <v>0</v>
      </c>
      <c r="BI88" s="2">
        <f>H88*AP88</f>
        <v>0</v>
      </c>
      <c r="BJ88" s="2">
        <f>H88*I88</f>
        <v>0</v>
      </c>
      <c r="BK88" s="2"/>
      <c r="BL88" s="2">
        <v>34</v>
      </c>
    </row>
    <row r="89" spans="1:13" ht="13.5" customHeight="1">
      <c r="A89" s="51"/>
      <c r="B89" s="32" t="s">
        <v>639</v>
      </c>
      <c r="C89" s="75" t="s">
        <v>354</v>
      </c>
      <c r="D89" s="76"/>
      <c r="E89" s="76"/>
      <c r="F89" s="76"/>
      <c r="G89" s="76"/>
      <c r="H89" s="76"/>
      <c r="I89" s="76"/>
      <c r="J89" s="76"/>
      <c r="K89" s="76"/>
      <c r="L89" s="76"/>
      <c r="M89" s="77"/>
    </row>
    <row r="90" spans="1:64" ht="15" customHeight="1">
      <c r="A90" s="15" t="s">
        <v>535</v>
      </c>
      <c r="B90" s="14" t="s">
        <v>134</v>
      </c>
      <c r="C90" s="58" t="s">
        <v>152</v>
      </c>
      <c r="D90" s="58"/>
      <c r="E90" s="58"/>
      <c r="F90" s="58"/>
      <c r="G90" s="14" t="s">
        <v>1189</v>
      </c>
      <c r="H90" s="2">
        <v>42</v>
      </c>
      <c r="I90" s="2">
        <v>0</v>
      </c>
      <c r="J90" s="2">
        <f>H90*AO90</f>
        <v>0</v>
      </c>
      <c r="K90" s="2">
        <f>H90*AP90</f>
        <v>0</v>
      </c>
      <c r="L90" s="2">
        <f>H90*I90</f>
        <v>0</v>
      </c>
      <c r="M90" s="7" t="s">
        <v>831</v>
      </c>
      <c r="Z90" s="2">
        <f>IF(AQ90="5",BJ90,0)</f>
        <v>0</v>
      </c>
      <c r="AB90" s="2">
        <f>IF(AQ90="1",BH90,0)</f>
        <v>0</v>
      </c>
      <c r="AC90" s="2">
        <f>IF(AQ90="1",BI90,0)</f>
        <v>0</v>
      </c>
      <c r="AD90" s="2">
        <f>IF(AQ90="7",BH90,0)</f>
        <v>0</v>
      </c>
      <c r="AE90" s="2">
        <f>IF(AQ90="7",BI90,0)</f>
        <v>0</v>
      </c>
      <c r="AF90" s="2">
        <f>IF(AQ90="2",BH90,0)</f>
        <v>0</v>
      </c>
      <c r="AG90" s="2">
        <f>IF(AQ90="2",BI90,0)</f>
        <v>0</v>
      </c>
      <c r="AH90" s="2">
        <f>IF(AQ90="0",BJ90,0)</f>
        <v>0</v>
      </c>
      <c r="AI90" s="19" t="s">
        <v>255</v>
      </c>
      <c r="AJ90" s="2">
        <f>IF(AN90=0,L90,0)</f>
        <v>0</v>
      </c>
      <c r="AK90" s="2">
        <f>IF(AN90=15,L90,0)</f>
        <v>0</v>
      </c>
      <c r="AL90" s="2">
        <f>IF(AN90=21,L90,0)</f>
        <v>0</v>
      </c>
      <c r="AN90" s="2">
        <v>15</v>
      </c>
      <c r="AO90" s="2">
        <f>I90*0.451527093596059</f>
        <v>0</v>
      </c>
      <c r="AP90" s="2">
        <f>I90*(1-0.451527093596059)</f>
        <v>0</v>
      </c>
      <c r="AQ90" s="43" t="s">
        <v>1205</v>
      </c>
      <c r="AV90" s="2">
        <f>AW90+AX90</f>
        <v>0</v>
      </c>
      <c r="AW90" s="2">
        <f>H90*AO90</f>
        <v>0</v>
      </c>
      <c r="AX90" s="2">
        <f>H90*AP90</f>
        <v>0</v>
      </c>
      <c r="AY90" s="43" t="s">
        <v>861</v>
      </c>
      <c r="AZ90" s="43" t="s">
        <v>1313</v>
      </c>
      <c r="BA90" s="19" t="s">
        <v>1155</v>
      </c>
      <c r="BC90" s="2">
        <f>AW90+AX90</f>
        <v>0</v>
      </c>
      <c r="BD90" s="2">
        <f>I90/(100-BE90)*100</f>
        <v>0</v>
      </c>
      <c r="BE90" s="2">
        <v>0</v>
      </c>
      <c r="BF90" s="2">
        <f>90</f>
        <v>90</v>
      </c>
      <c r="BH90" s="2">
        <f>H90*AO90</f>
        <v>0</v>
      </c>
      <c r="BI90" s="2">
        <f>H90*AP90</f>
        <v>0</v>
      </c>
      <c r="BJ90" s="2">
        <f>H90*I90</f>
        <v>0</v>
      </c>
      <c r="BK90" s="2"/>
      <c r="BL90" s="2">
        <v>34</v>
      </c>
    </row>
    <row r="91" spans="1:13" ht="13.5" customHeight="1">
      <c r="A91" s="51"/>
      <c r="B91" s="32" t="s">
        <v>639</v>
      </c>
      <c r="C91" s="75" t="s">
        <v>223</v>
      </c>
      <c r="D91" s="76"/>
      <c r="E91" s="76"/>
      <c r="F91" s="76"/>
      <c r="G91" s="76"/>
      <c r="H91" s="76"/>
      <c r="I91" s="76"/>
      <c r="J91" s="76"/>
      <c r="K91" s="76"/>
      <c r="L91" s="76"/>
      <c r="M91" s="77"/>
    </row>
    <row r="92" spans="1:64" ht="15" customHeight="1">
      <c r="A92" s="15" t="s">
        <v>527</v>
      </c>
      <c r="B92" s="14" t="s">
        <v>545</v>
      </c>
      <c r="C92" s="58" t="s">
        <v>722</v>
      </c>
      <c r="D92" s="58"/>
      <c r="E92" s="58"/>
      <c r="F92" s="58"/>
      <c r="G92" s="14" t="s">
        <v>1189</v>
      </c>
      <c r="H92" s="2">
        <v>41.04</v>
      </c>
      <c r="I92" s="2">
        <v>0</v>
      </c>
      <c r="J92" s="2">
        <f>H92*AO92</f>
        <v>0</v>
      </c>
      <c r="K92" s="2">
        <f>H92*AP92</f>
        <v>0</v>
      </c>
      <c r="L92" s="2">
        <f>H92*I92</f>
        <v>0</v>
      </c>
      <c r="M92" s="7" t="s">
        <v>831</v>
      </c>
      <c r="Z92" s="2">
        <f>IF(AQ92="5",BJ92,0)</f>
        <v>0</v>
      </c>
      <c r="AB92" s="2">
        <f>IF(AQ92="1",BH92,0)</f>
        <v>0</v>
      </c>
      <c r="AC92" s="2">
        <f>IF(AQ92="1",BI92,0)</f>
        <v>0</v>
      </c>
      <c r="AD92" s="2">
        <f>IF(AQ92="7",BH92,0)</f>
        <v>0</v>
      </c>
      <c r="AE92" s="2">
        <f>IF(AQ92="7",BI92,0)</f>
        <v>0</v>
      </c>
      <c r="AF92" s="2">
        <f>IF(AQ92="2",BH92,0)</f>
        <v>0</v>
      </c>
      <c r="AG92" s="2">
        <f>IF(AQ92="2",BI92,0)</f>
        <v>0</v>
      </c>
      <c r="AH92" s="2">
        <f>IF(AQ92="0",BJ92,0)</f>
        <v>0</v>
      </c>
      <c r="AI92" s="19" t="s">
        <v>255</v>
      </c>
      <c r="AJ92" s="2">
        <f>IF(AN92=0,L92,0)</f>
        <v>0</v>
      </c>
      <c r="AK92" s="2">
        <f>IF(AN92=15,L92,0)</f>
        <v>0</v>
      </c>
      <c r="AL92" s="2">
        <f>IF(AN92=21,L92,0)</f>
        <v>0</v>
      </c>
      <c r="AN92" s="2">
        <v>15</v>
      </c>
      <c r="AO92" s="2">
        <f>I92*0.474790654582261</f>
        <v>0</v>
      </c>
      <c r="AP92" s="2">
        <f>I92*(1-0.474790654582261)</f>
        <v>0</v>
      </c>
      <c r="AQ92" s="43" t="s">
        <v>1205</v>
      </c>
      <c r="AV92" s="2">
        <f>AW92+AX92</f>
        <v>0</v>
      </c>
      <c r="AW92" s="2">
        <f>H92*AO92</f>
        <v>0</v>
      </c>
      <c r="AX92" s="2">
        <f>H92*AP92</f>
        <v>0</v>
      </c>
      <c r="AY92" s="43" t="s">
        <v>861</v>
      </c>
      <c r="AZ92" s="43" t="s">
        <v>1313</v>
      </c>
      <c r="BA92" s="19" t="s">
        <v>1155</v>
      </c>
      <c r="BC92" s="2">
        <f>AW92+AX92</f>
        <v>0</v>
      </c>
      <c r="BD92" s="2">
        <f>I92/(100-BE92)*100</f>
        <v>0</v>
      </c>
      <c r="BE92" s="2">
        <v>0</v>
      </c>
      <c r="BF92" s="2">
        <f>92</f>
        <v>92</v>
      </c>
      <c r="BH92" s="2">
        <f>H92*AO92</f>
        <v>0</v>
      </c>
      <c r="BI92" s="2">
        <f>H92*AP92</f>
        <v>0</v>
      </c>
      <c r="BJ92" s="2">
        <f>H92*I92</f>
        <v>0</v>
      </c>
      <c r="BK92" s="2"/>
      <c r="BL92" s="2">
        <v>34</v>
      </c>
    </row>
    <row r="93" spans="1:13" ht="13.5" customHeight="1">
      <c r="A93" s="51"/>
      <c r="B93" s="32" t="s">
        <v>639</v>
      </c>
      <c r="C93" s="75" t="s">
        <v>739</v>
      </c>
      <c r="D93" s="76"/>
      <c r="E93" s="76"/>
      <c r="F93" s="76"/>
      <c r="G93" s="76"/>
      <c r="H93" s="76"/>
      <c r="I93" s="76"/>
      <c r="J93" s="76"/>
      <c r="K93" s="76"/>
      <c r="L93" s="76"/>
      <c r="M93" s="77"/>
    </row>
    <row r="94" spans="1:64" ht="15" customHeight="1">
      <c r="A94" s="15" t="s">
        <v>592</v>
      </c>
      <c r="B94" s="14" t="s">
        <v>82</v>
      </c>
      <c r="C94" s="58" t="s">
        <v>28</v>
      </c>
      <c r="D94" s="58"/>
      <c r="E94" s="58"/>
      <c r="F94" s="58"/>
      <c r="G94" s="14" t="s">
        <v>319</v>
      </c>
      <c r="H94" s="2">
        <v>3</v>
      </c>
      <c r="I94" s="2">
        <v>0</v>
      </c>
      <c r="J94" s="2">
        <f>H94*AO94</f>
        <v>0</v>
      </c>
      <c r="K94" s="2">
        <f>H94*AP94</f>
        <v>0</v>
      </c>
      <c r="L94" s="2">
        <f>H94*I94</f>
        <v>0</v>
      </c>
      <c r="M94" s="7" t="s">
        <v>831</v>
      </c>
      <c r="Z94" s="2">
        <f>IF(AQ94="5",BJ94,0)</f>
        <v>0</v>
      </c>
      <c r="AB94" s="2">
        <f>IF(AQ94="1",BH94,0)</f>
        <v>0</v>
      </c>
      <c r="AC94" s="2">
        <f>IF(AQ94="1",BI94,0)</f>
        <v>0</v>
      </c>
      <c r="AD94" s="2">
        <f>IF(AQ94="7",BH94,0)</f>
        <v>0</v>
      </c>
      <c r="AE94" s="2">
        <f>IF(AQ94="7",BI94,0)</f>
        <v>0</v>
      </c>
      <c r="AF94" s="2">
        <f>IF(AQ94="2",BH94,0)</f>
        <v>0</v>
      </c>
      <c r="AG94" s="2">
        <f>IF(AQ94="2",BI94,0)</f>
        <v>0</v>
      </c>
      <c r="AH94" s="2">
        <f>IF(AQ94="0",BJ94,0)</f>
        <v>0</v>
      </c>
      <c r="AI94" s="19" t="s">
        <v>255</v>
      </c>
      <c r="AJ94" s="2">
        <f>IF(AN94=0,L94,0)</f>
        <v>0</v>
      </c>
      <c r="AK94" s="2">
        <f>IF(AN94=15,L94,0)</f>
        <v>0</v>
      </c>
      <c r="AL94" s="2">
        <f>IF(AN94=21,L94,0)</f>
        <v>0</v>
      </c>
      <c r="AN94" s="2">
        <v>15</v>
      </c>
      <c r="AO94" s="2">
        <f>I94*0</f>
        <v>0</v>
      </c>
      <c r="AP94" s="2">
        <f>I94*(1-0)</f>
        <v>0</v>
      </c>
      <c r="AQ94" s="43" t="s">
        <v>1205</v>
      </c>
      <c r="AV94" s="2">
        <f>AW94+AX94</f>
        <v>0</v>
      </c>
      <c r="AW94" s="2">
        <f>H94*AO94</f>
        <v>0</v>
      </c>
      <c r="AX94" s="2">
        <f>H94*AP94</f>
        <v>0</v>
      </c>
      <c r="AY94" s="43" t="s">
        <v>861</v>
      </c>
      <c r="AZ94" s="43" t="s">
        <v>1313</v>
      </c>
      <c r="BA94" s="19" t="s">
        <v>1155</v>
      </c>
      <c r="BC94" s="2">
        <f>AW94+AX94</f>
        <v>0</v>
      </c>
      <c r="BD94" s="2">
        <f>I94/(100-BE94)*100</f>
        <v>0</v>
      </c>
      <c r="BE94" s="2">
        <v>0</v>
      </c>
      <c r="BF94" s="2">
        <f>94</f>
        <v>94</v>
      </c>
      <c r="BH94" s="2">
        <f>H94*AO94</f>
        <v>0</v>
      </c>
      <c r="BI94" s="2">
        <f>H94*AP94</f>
        <v>0</v>
      </c>
      <c r="BJ94" s="2">
        <f>H94*I94</f>
        <v>0</v>
      </c>
      <c r="BK94" s="2"/>
      <c r="BL94" s="2">
        <v>34</v>
      </c>
    </row>
    <row r="95" spans="1:64" ht="15" customHeight="1">
      <c r="A95" s="15" t="s">
        <v>1107</v>
      </c>
      <c r="B95" s="14" t="s">
        <v>158</v>
      </c>
      <c r="C95" s="58" t="s">
        <v>1073</v>
      </c>
      <c r="D95" s="58"/>
      <c r="E95" s="58"/>
      <c r="F95" s="58"/>
      <c r="G95" s="14" t="s">
        <v>999</v>
      </c>
      <c r="H95" s="2">
        <v>16.5</v>
      </c>
      <c r="I95" s="2">
        <v>0</v>
      </c>
      <c r="J95" s="2">
        <f>H95*AO95</f>
        <v>0</v>
      </c>
      <c r="K95" s="2">
        <f>H95*AP95</f>
        <v>0</v>
      </c>
      <c r="L95" s="2">
        <f>H95*I95</f>
        <v>0</v>
      </c>
      <c r="M95" s="7" t="s">
        <v>831</v>
      </c>
      <c r="Z95" s="2">
        <f>IF(AQ95="5",BJ95,0)</f>
        <v>0</v>
      </c>
      <c r="AB95" s="2">
        <f>IF(AQ95="1",BH95,0)</f>
        <v>0</v>
      </c>
      <c r="AC95" s="2">
        <f>IF(AQ95="1",BI95,0)</f>
        <v>0</v>
      </c>
      <c r="AD95" s="2">
        <f>IF(AQ95="7",BH95,0)</f>
        <v>0</v>
      </c>
      <c r="AE95" s="2">
        <f>IF(AQ95="7",BI95,0)</f>
        <v>0</v>
      </c>
      <c r="AF95" s="2">
        <f>IF(AQ95="2",BH95,0)</f>
        <v>0</v>
      </c>
      <c r="AG95" s="2">
        <f>IF(AQ95="2",BI95,0)</f>
        <v>0</v>
      </c>
      <c r="AH95" s="2">
        <f>IF(AQ95="0",BJ95,0)</f>
        <v>0</v>
      </c>
      <c r="AI95" s="19" t="s">
        <v>255</v>
      </c>
      <c r="AJ95" s="2">
        <f>IF(AN95=0,L95,0)</f>
        <v>0</v>
      </c>
      <c r="AK95" s="2">
        <f>IF(AN95=15,L95,0)</f>
        <v>0</v>
      </c>
      <c r="AL95" s="2">
        <f>IF(AN95=21,L95,0)</f>
        <v>0</v>
      </c>
      <c r="AN95" s="2">
        <v>15</v>
      </c>
      <c r="AO95" s="2">
        <f>I95*0.179421892090988</f>
        <v>0</v>
      </c>
      <c r="AP95" s="2">
        <f>I95*(1-0.179421892090988)</f>
        <v>0</v>
      </c>
      <c r="AQ95" s="43" t="s">
        <v>1205</v>
      </c>
      <c r="AV95" s="2">
        <f>AW95+AX95</f>
        <v>0</v>
      </c>
      <c r="AW95" s="2">
        <f>H95*AO95</f>
        <v>0</v>
      </c>
      <c r="AX95" s="2">
        <f>H95*AP95</f>
        <v>0</v>
      </c>
      <c r="AY95" s="43" t="s">
        <v>861</v>
      </c>
      <c r="AZ95" s="43" t="s">
        <v>1313</v>
      </c>
      <c r="BA95" s="19" t="s">
        <v>1155</v>
      </c>
      <c r="BC95" s="2">
        <f>AW95+AX95</f>
        <v>0</v>
      </c>
      <c r="BD95" s="2">
        <f>I95/(100-BE95)*100</f>
        <v>0</v>
      </c>
      <c r="BE95" s="2">
        <v>0</v>
      </c>
      <c r="BF95" s="2">
        <f>95</f>
        <v>95</v>
      </c>
      <c r="BH95" s="2">
        <f>H95*AO95</f>
        <v>0</v>
      </c>
      <c r="BI95" s="2">
        <f>H95*AP95</f>
        <v>0</v>
      </c>
      <c r="BJ95" s="2">
        <f>H95*I95</f>
        <v>0</v>
      </c>
      <c r="BK95" s="2"/>
      <c r="BL95" s="2">
        <v>34</v>
      </c>
    </row>
    <row r="96" spans="1:13" ht="13.5" customHeight="1">
      <c r="A96" s="51"/>
      <c r="B96" s="32" t="s">
        <v>639</v>
      </c>
      <c r="C96" s="75" t="s">
        <v>1021</v>
      </c>
      <c r="D96" s="76"/>
      <c r="E96" s="76"/>
      <c r="F96" s="76"/>
      <c r="G96" s="76"/>
      <c r="H96" s="76"/>
      <c r="I96" s="76"/>
      <c r="J96" s="76"/>
      <c r="K96" s="76"/>
      <c r="L96" s="76"/>
      <c r="M96" s="77"/>
    </row>
    <row r="97" spans="1:64" ht="15" customHeight="1">
      <c r="A97" s="15" t="s">
        <v>802</v>
      </c>
      <c r="B97" s="14" t="s">
        <v>924</v>
      </c>
      <c r="C97" s="58" t="s">
        <v>1055</v>
      </c>
      <c r="D97" s="58"/>
      <c r="E97" s="58"/>
      <c r="F97" s="58"/>
      <c r="G97" s="14" t="s">
        <v>1189</v>
      </c>
      <c r="H97" s="2">
        <v>11.34</v>
      </c>
      <c r="I97" s="2">
        <v>0</v>
      </c>
      <c r="J97" s="2">
        <f>H97*AO97</f>
        <v>0</v>
      </c>
      <c r="K97" s="2">
        <f>H97*AP97</f>
        <v>0</v>
      </c>
      <c r="L97" s="2">
        <f>H97*I97</f>
        <v>0</v>
      </c>
      <c r="M97" s="7" t="s">
        <v>831</v>
      </c>
      <c r="Z97" s="2">
        <f>IF(AQ97="5",BJ97,0)</f>
        <v>0</v>
      </c>
      <c r="AB97" s="2">
        <f>IF(AQ97="1",BH97,0)</f>
        <v>0</v>
      </c>
      <c r="AC97" s="2">
        <f>IF(AQ97="1",BI97,0)</f>
        <v>0</v>
      </c>
      <c r="AD97" s="2">
        <f>IF(AQ97="7",BH97,0)</f>
        <v>0</v>
      </c>
      <c r="AE97" s="2">
        <f>IF(AQ97="7",BI97,0)</f>
        <v>0</v>
      </c>
      <c r="AF97" s="2">
        <f>IF(AQ97="2",BH97,0)</f>
        <v>0</v>
      </c>
      <c r="AG97" s="2">
        <f>IF(AQ97="2",BI97,0)</f>
        <v>0</v>
      </c>
      <c r="AH97" s="2">
        <f>IF(AQ97="0",BJ97,0)</f>
        <v>0</v>
      </c>
      <c r="AI97" s="19" t="s">
        <v>255</v>
      </c>
      <c r="AJ97" s="2">
        <f>IF(AN97=0,L97,0)</f>
        <v>0</v>
      </c>
      <c r="AK97" s="2">
        <f>IF(AN97=15,L97,0)</f>
        <v>0</v>
      </c>
      <c r="AL97" s="2">
        <f>IF(AN97=21,L97,0)</f>
        <v>0</v>
      </c>
      <c r="AN97" s="2">
        <v>15</v>
      </c>
      <c r="AO97" s="2">
        <f>I97*0.750672639264033</f>
        <v>0</v>
      </c>
      <c r="AP97" s="2">
        <f>I97*(1-0.750672639264033)</f>
        <v>0</v>
      </c>
      <c r="AQ97" s="43" t="s">
        <v>1205</v>
      </c>
      <c r="AV97" s="2">
        <f>AW97+AX97</f>
        <v>0</v>
      </c>
      <c r="AW97" s="2">
        <f>H97*AO97</f>
        <v>0</v>
      </c>
      <c r="AX97" s="2">
        <f>H97*AP97</f>
        <v>0</v>
      </c>
      <c r="AY97" s="43" t="s">
        <v>861</v>
      </c>
      <c r="AZ97" s="43" t="s">
        <v>1313</v>
      </c>
      <c r="BA97" s="19" t="s">
        <v>1155</v>
      </c>
      <c r="BC97" s="2">
        <f>AW97+AX97</f>
        <v>0</v>
      </c>
      <c r="BD97" s="2">
        <f>I97/(100-BE97)*100</f>
        <v>0</v>
      </c>
      <c r="BE97" s="2">
        <v>0</v>
      </c>
      <c r="BF97" s="2">
        <f>97</f>
        <v>97</v>
      </c>
      <c r="BH97" s="2">
        <f>H97*AO97</f>
        <v>0</v>
      </c>
      <c r="BI97" s="2">
        <f>H97*AP97</f>
        <v>0</v>
      </c>
      <c r="BJ97" s="2">
        <f>H97*I97</f>
        <v>0</v>
      </c>
      <c r="BK97" s="2"/>
      <c r="BL97" s="2">
        <v>34</v>
      </c>
    </row>
    <row r="98" spans="1:13" ht="13.5" customHeight="1">
      <c r="A98" s="51"/>
      <c r="B98" s="32" t="s">
        <v>639</v>
      </c>
      <c r="C98" s="75" t="s">
        <v>314</v>
      </c>
      <c r="D98" s="76"/>
      <c r="E98" s="76"/>
      <c r="F98" s="76"/>
      <c r="G98" s="76"/>
      <c r="H98" s="76"/>
      <c r="I98" s="76"/>
      <c r="J98" s="76"/>
      <c r="K98" s="76"/>
      <c r="L98" s="76"/>
      <c r="M98" s="77"/>
    </row>
    <row r="99" spans="1:47" ht="15" customHeight="1">
      <c r="A99" s="48" t="s">
        <v>844</v>
      </c>
      <c r="B99" s="17" t="s">
        <v>735</v>
      </c>
      <c r="C99" s="74" t="s">
        <v>825</v>
      </c>
      <c r="D99" s="74"/>
      <c r="E99" s="74"/>
      <c r="F99" s="74"/>
      <c r="G99" s="40" t="s">
        <v>1110</v>
      </c>
      <c r="H99" s="40" t="s">
        <v>1110</v>
      </c>
      <c r="I99" s="40" t="s">
        <v>1110</v>
      </c>
      <c r="J99" s="23">
        <f>SUM(J100:J102)</f>
        <v>0</v>
      </c>
      <c r="K99" s="23">
        <f>SUM(K100:K102)</f>
        <v>0</v>
      </c>
      <c r="L99" s="23">
        <f>SUM(L100:L102)</f>
        <v>0</v>
      </c>
      <c r="M99" s="37" t="s">
        <v>844</v>
      </c>
      <c r="AI99" s="19" t="s">
        <v>255</v>
      </c>
      <c r="AS99" s="23">
        <f>SUM(AJ100:AJ102)</f>
        <v>0</v>
      </c>
      <c r="AT99" s="23">
        <f>SUM(AK100:AK102)</f>
        <v>0</v>
      </c>
      <c r="AU99" s="23">
        <f>SUM(AL100:AL102)</f>
        <v>0</v>
      </c>
    </row>
    <row r="100" spans="1:64" ht="15" customHeight="1">
      <c r="A100" s="15" t="s">
        <v>768</v>
      </c>
      <c r="B100" s="14" t="s">
        <v>202</v>
      </c>
      <c r="C100" s="58" t="s">
        <v>1193</v>
      </c>
      <c r="D100" s="58"/>
      <c r="E100" s="58"/>
      <c r="F100" s="58"/>
      <c r="G100" s="14" t="s">
        <v>1165</v>
      </c>
      <c r="H100" s="2">
        <v>0.842</v>
      </c>
      <c r="I100" s="2">
        <v>0</v>
      </c>
      <c r="J100" s="2">
        <f>H100*AO100</f>
        <v>0</v>
      </c>
      <c r="K100" s="2">
        <f>H100*AP100</f>
        <v>0</v>
      </c>
      <c r="L100" s="2">
        <f>H100*I100</f>
        <v>0</v>
      </c>
      <c r="M100" s="7" t="s">
        <v>831</v>
      </c>
      <c r="Z100" s="2">
        <f>IF(AQ100="5",BJ100,0)</f>
        <v>0</v>
      </c>
      <c r="AB100" s="2">
        <f>IF(AQ100="1",BH100,0)</f>
        <v>0</v>
      </c>
      <c r="AC100" s="2">
        <f>IF(AQ100="1",BI100,0)</f>
        <v>0</v>
      </c>
      <c r="AD100" s="2">
        <f>IF(AQ100="7",BH100,0)</f>
        <v>0</v>
      </c>
      <c r="AE100" s="2">
        <f>IF(AQ100="7",BI100,0)</f>
        <v>0</v>
      </c>
      <c r="AF100" s="2">
        <f>IF(AQ100="2",BH100,0)</f>
        <v>0</v>
      </c>
      <c r="AG100" s="2">
        <f>IF(AQ100="2",BI100,0)</f>
        <v>0</v>
      </c>
      <c r="AH100" s="2">
        <f>IF(AQ100="0",BJ100,0)</f>
        <v>0</v>
      </c>
      <c r="AI100" s="19" t="s">
        <v>255</v>
      </c>
      <c r="AJ100" s="2">
        <f>IF(AN100=0,L100,0)</f>
        <v>0</v>
      </c>
      <c r="AK100" s="2">
        <f>IF(AN100=15,L100,0)</f>
        <v>0</v>
      </c>
      <c r="AL100" s="2">
        <f>IF(AN100=21,L100,0)</f>
        <v>0</v>
      </c>
      <c r="AN100" s="2">
        <v>15</v>
      </c>
      <c r="AO100" s="2">
        <f>I100*0.666831259509721</f>
        <v>0</v>
      </c>
      <c r="AP100" s="2">
        <f>I100*(1-0.666831259509721)</f>
        <v>0</v>
      </c>
      <c r="AQ100" s="43" t="s">
        <v>1205</v>
      </c>
      <c r="AV100" s="2">
        <f>AW100+AX100</f>
        <v>0</v>
      </c>
      <c r="AW100" s="2">
        <f>H100*AO100</f>
        <v>0</v>
      </c>
      <c r="AX100" s="2">
        <f>H100*AP100</f>
        <v>0</v>
      </c>
      <c r="AY100" s="43" t="s">
        <v>728</v>
      </c>
      <c r="AZ100" s="43" t="s">
        <v>1313</v>
      </c>
      <c r="BA100" s="19" t="s">
        <v>1155</v>
      </c>
      <c r="BC100" s="2">
        <f>AW100+AX100</f>
        <v>0</v>
      </c>
      <c r="BD100" s="2">
        <f>I100/(100-BE100)*100</f>
        <v>0</v>
      </c>
      <c r="BE100" s="2">
        <v>0</v>
      </c>
      <c r="BF100" s="2">
        <f>100</f>
        <v>100</v>
      </c>
      <c r="BH100" s="2">
        <f>H100*AO100</f>
        <v>0</v>
      </c>
      <c r="BI100" s="2">
        <f>H100*AP100</f>
        <v>0</v>
      </c>
      <c r="BJ100" s="2">
        <f>H100*I100</f>
        <v>0</v>
      </c>
      <c r="BK100" s="2"/>
      <c r="BL100" s="2">
        <v>38</v>
      </c>
    </row>
    <row r="101" spans="1:13" ht="13.5" customHeight="1">
      <c r="A101" s="51"/>
      <c r="B101" s="32" t="s">
        <v>639</v>
      </c>
      <c r="C101" s="75" t="s">
        <v>878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7"/>
    </row>
    <row r="102" spans="1:64" ht="15" customHeight="1">
      <c r="A102" s="15" t="s">
        <v>1134</v>
      </c>
      <c r="B102" s="14" t="s">
        <v>482</v>
      </c>
      <c r="C102" s="58" t="s">
        <v>510</v>
      </c>
      <c r="D102" s="58"/>
      <c r="E102" s="58"/>
      <c r="F102" s="58"/>
      <c r="G102" s="14" t="s">
        <v>584</v>
      </c>
      <c r="H102" s="2">
        <v>0.085</v>
      </c>
      <c r="I102" s="2">
        <v>0</v>
      </c>
      <c r="J102" s="2">
        <f>H102*AO102</f>
        <v>0</v>
      </c>
      <c r="K102" s="2">
        <f>H102*AP102</f>
        <v>0</v>
      </c>
      <c r="L102" s="2">
        <f>H102*I102</f>
        <v>0</v>
      </c>
      <c r="M102" s="7" t="s">
        <v>831</v>
      </c>
      <c r="Z102" s="2">
        <f>IF(AQ102="5",BJ102,0)</f>
        <v>0</v>
      </c>
      <c r="AB102" s="2">
        <f>IF(AQ102="1",BH102,0)</f>
        <v>0</v>
      </c>
      <c r="AC102" s="2">
        <f>IF(AQ102="1",BI102,0)</f>
        <v>0</v>
      </c>
      <c r="AD102" s="2">
        <f>IF(AQ102="7",BH102,0)</f>
        <v>0</v>
      </c>
      <c r="AE102" s="2">
        <f>IF(AQ102="7",BI102,0)</f>
        <v>0</v>
      </c>
      <c r="AF102" s="2">
        <f>IF(AQ102="2",BH102,0)</f>
        <v>0</v>
      </c>
      <c r="AG102" s="2">
        <f>IF(AQ102="2",BI102,0)</f>
        <v>0</v>
      </c>
      <c r="AH102" s="2">
        <f>IF(AQ102="0",BJ102,0)</f>
        <v>0</v>
      </c>
      <c r="AI102" s="19" t="s">
        <v>255</v>
      </c>
      <c r="AJ102" s="2">
        <f>IF(AN102=0,L102,0)</f>
        <v>0</v>
      </c>
      <c r="AK102" s="2">
        <f>IF(AN102=15,L102,0)</f>
        <v>0</v>
      </c>
      <c r="AL102" s="2">
        <f>IF(AN102=21,L102,0)</f>
        <v>0</v>
      </c>
      <c r="AN102" s="2">
        <v>15</v>
      </c>
      <c r="AO102" s="2">
        <f>I102*0.827672192618907</f>
        <v>0</v>
      </c>
      <c r="AP102" s="2">
        <f>I102*(1-0.827672192618907)</f>
        <v>0</v>
      </c>
      <c r="AQ102" s="43" t="s">
        <v>1205</v>
      </c>
      <c r="AV102" s="2">
        <f>AW102+AX102</f>
        <v>0</v>
      </c>
      <c r="AW102" s="2">
        <f>H102*AO102</f>
        <v>0</v>
      </c>
      <c r="AX102" s="2">
        <f>H102*AP102</f>
        <v>0</v>
      </c>
      <c r="AY102" s="43" t="s">
        <v>728</v>
      </c>
      <c r="AZ102" s="43" t="s">
        <v>1313</v>
      </c>
      <c r="BA102" s="19" t="s">
        <v>1155</v>
      </c>
      <c r="BC102" s="2">
        <f>AW102+AX102</f>
        <v>0</v>
      </c>
      <c r="BD102" s="2">
        <f>I102/(100-BE102)*100</f>
        <v>0</v>
      </c>
      <c r="BE102" s="2">
        <v>0</v>
      </c>
      <c r="BF102" s="2">
        <f>102</f>
        <v>102</v>
      </c>
      <c r="BH102" s="2">
        <f>H102*AO102</f>
        <v>0</v>
      </c>
      <c r="BI102" s="2">
        <f>H102*AP102</f>
        <v>0</v>
      </c>
      <c r="BJ102" s="2">
        <f>H102*I102</f>
        <v>0</v>
      </c>
      <c r="BK102" s="2"/>
      <c r="BL102" s="2">
        <v>38</v>
      </c>
    </row>
    <row r="103" spans="1:47" ht="15" customHeight="1">
      <c r="A103" s="48" t="s">
        <v>844</v>
      </c>
      <c r="B103" s="17" t="s">
        <v>1191</v>
      </c>
      <c r="C103" s="74" t="s">
        <v>900</v>
      </c>
      <c r="D103" s="74"/>
      <c r="E103" s="74"/>
      <c r="F103" s="74"/>
      <c r="G103" s="40" t="s">
        <v>1110</v>
      </c>
      <c r="H103" s="40" t="s">
        <v>1110</v>
      </c>
      <c r="I103" s="40" t="s">
        <v>1110</v>
      </c>
      <c r="J103" s="23">
        <f>SUM(J104:J127)</f>
        <v>0</v>
      </c>
      <c r="K103" s="23">
        <f>SUM(K104:K127)</f>
        <v>0</v>
      </c>
      <c r="L103" s="23">
        <f>SUM(L104:L127)</f>
        <v>0</v>
      </c>
      <c r="M103" s="37" t="s">
        <v>844</v>
      </c>
      <c r="AI103" s="19" t="s">
        <v>255</v>
      </c>
      <c r="AS103" s="23">
        <f>SUM(AJ104:AJ127)</f>
        <v>0</v>
      </c>
      <c r="AT103" s="23">
        <f>SUM(AK104:AK127)</f>
        <v>0</v>
      </c>
      <c r="AU103" s="23">
        <f>SUM(AL104:AL127)</f>
        <v>0</v>
      </c>
    </row>
    <row r="104" spans="1:64" ht="15" customHeight="1">
      <c r="A104" s="15" t="s">
        <v>717</v>
      </c>
      <c r="B104" s="14" t="s">
        <v>1337</v>
      </c>
      <c r="C104" s="58" t="s">
        <v>991</v>
      </c>
      <c r="D104" s="58"/>
      <c r="E104" s="58"/>
      <c r="F104" s="58"/>
      <c r="G104" s="14" t="s">
        <v>584</v>
      </c>
      <c r="H104" s="2">
        <v>0.407</v>
      </c>
      <c r="I104" s="2">
        <v>0</v>
      </c>
      <c r="J104" s="2">
        <f>H104*AO104</f>
        <v>0</v>
      </c>
      <c r="K104" s="2">
        <f>H104*AP104</f>
        <v>0</v>
      </c>
      <c r="L104" s="2">
        <f>H104*I104</f>
        <v>0</v>
      </c>
      <c r="M104" s="7" t="s">
        <v>831</v>
      </c>
      <c r="Z104" s="2">
        <f>IF(AQ104="5",BJ104,0)</f>
        <v>0</v>
      </c>
      <c r="AB104" s="2">
        <f>IF(AQ104="1",BH104,0)</f>
        <v>0</v>
      </c>
      <c r="AC104" s="2">
        <f>IF(AQ104="1",BI104,0)</f>
        <v>0</v>
      </c>
      <c r="AD104" s="2">
        <f>IF(AQ104="7",BH104,0)</f>
        <v>0</v>
      </c>
      <c r="AE104" s="2">
        <f>IF(AQ104="7",BI104,0)</f>
        <v>0</v>
      </c>
      <c r="AF104" s="2">
        <f>IF(AQ104="2",BH104,0)</f>
        <v>0</v>
      </c>
      <c r="AG104" s="2">
        <f>IF(AQ104="2",BI104,0)</f>
        <v>0</v>
      </c>
      <c r="AH104" s="2">
        <f>IF(AQ104="0",BJ104,0)</f>
        <v>0</v>
      </c>
      <c r="AI104" s="19" t="s">
        <v>255</v>
      </c>
      <c r="AJ104" s="2">
        <f>IF(AN104=0,L104,0)</f>
        <v>0</v>
      </c>
      <c r="AK104" s="2">
        <f>IF(AN104=15,L104,0)</f>
        <v>0</v>
      </c>
      <c r="AL104" s="2">
        <f>IF(AN104=21,L104,0)</f>
        <v>0</v>
      </c>
      <c r="AN104" s="2">
        <v>15</v>
      </c>
      <c r="AO104" s="2">
        <f>I104*0.00229853519801557</f>
        <v>0</v>
      </c>
      <c r="AP104" s="2">
        <f>I104*(1-0.00229853519801557)</f>
        <v>0</v>
      </c>
      <c r="AQ104" s="43" t="s">
        <v>1205</v>
      </c>
      <c r="AV104" s="2">
        <f>AW104+AX104</f>
        <v>0</v>
      </c>
      <c r="AW104" s="2">
        <f>H104*AO104</f>
        <v>0</v>
      </c>
      <c r="AX104" s="2">
        <f>H104*AP104</f>
        <v>0</v>
      </c>
      <c r="AY104" s="43" t="s">
        <v>874</v>
      </c>
      <c r="AZ104" s="43" t="s">
        <v>1317</v>
      </c>
      <c r="BA104" s="19" t="s">
        <v>1155</v>
      </c>
      <c r="BC104" s="2">
        <f>AW104+AX104</f>
        <v>0</v>
      </c>
      <c r="BD104" s="2">
        <f>I104/(100-BE104)*100</f>
        <v>0</v>
      </c>
      <c r="BE104" s="2">
        <v>0</v>
      </c>
      <c r="BF104" s="2">
        <f>104</f>
        <v>104</v>
      </c>
      <c r="BH104" s="2">
        <f>H104*AO104</f>
        <v>0</v>
      </c>
      <c r="BI104" s="2">
        <f>H104*AP104</f>
        <v>0</v>
      </c>
      <c r="BJ104" s="2">
        <f>H104*I104</f>
        <v>0</v>
      </c>
      <c r="BK104" s="2"/>
      <c r="BL104" s="2">
        <v>41</v>
      </c>
    </row>
    <row r="105" spans="1:64" ht="15" customHeight="1">
      <c r="A105" s="15" t="s">
        <v>574</v>
      </c>
      <c r="B105" s="14" t="s">
        <v>175</v>
      </c>
      <c r="C105" s="58" t="s">
        <v>951</v>
      </c>
      <c r="D105" s="58"/>
      <c r="E105" s="58"/>
      <c r="F105" s="58"/>
      <c r="G105" s="14" t="s">
        <v>584</v>
      </c>
      <c r="H105" s="2">
        <v>0.44</v>
      </c>
      <c r="I105" s="2">
        <v>0</v>
      </c>
      <c r="J105" s="2">
        <f>H105*AO105</f>
        <v>0</v>
      </c>
      <c r="K105" s="2">
        <f>H105*AP105</f>
        <v>0</v>
      </c>
      <c r="L105" s="2">
        <f>H105*I105</f>
        <v>0</v>
      </c>
      <c r="M105" s="7" t="s">
        <v>831</v>
      </c>
      <c r="Z105" s="2">
        <f>IF(AQ105="5",BJ105,0)</f>
        <v>0</v>
      </c>
      <c r="AB105" s="2">
        <f>IF(AQ105="1",BH105,0)</f>
        <v>0</v>
      </c>
      <c r="AC105" s="2">
        <f>IF(AQ105="1",BI105,0)</f>
        <v>0</v>
      </c>
      <c r="AD105" s="2">
        <f>IF(AQ105="7",BH105,0)</f>
        <v>0</v>
      </c>
      <c r="AE105" s="2">
        <f>IF(AQ105="7",BI105,0)</f>
        <v>0</v>
      </c>
      <c r="AF105" s="2">
        <f>IF(AQ105="2",BH105,0)</f>
        <v>0</v>
      </c>
      <c r="AG105" s="2">
        <f>IF(AQ105="2",BI105,0)</f>
        <v>0</v>
      </c>
      <c r="AH105" s="2">
        <f>IF(AQ105="0",BJ105,0)</f>
        <v>0</v>
      </c>
      <c r="AI105" s="19" t="s">
        <v>255</v>
      </c>
      <c r="AJ105" s="2">
        <f>IF(AN105=0,L105,0)</f>
        <v>0</v>
      </c>
      <c r="AK105" s="2">
        <f>IF(AN105=15,L105,0)</f>
        <v>0</v>
      </c>
      <c r="AL105" s="2">
        <f>IF(AN105=21,L105,0)</f>
        <v>0</v>
      </c>
      <c r="AN105" s="2">
        <v>15</v>
      </c>
      <c r="AO105" s="2">
        <f>I105*1</f>
        <v>0</v>
      </c>
      <c r="AP105" s="2">
        <f>I105*(1-1)</f>
        <v>0</v>
      </c>
      <c r="AQ105" s="43" t="s">
        <v>1205</v>
      </c>
      <c r="AV105" s="2">
        <f>AW105+AX105</f>
        <v>0</v>
      </c>
      <c r="AW105" s="2">
        <f>H105*AO105</f>
        <v>0</v>
      </c>
      <c r="AX105" s="2">
        <f>H105*AP105</f>
        <v>0</v>
      </c>
      <c r="AY105" s="43" t="s">
        <v>874</v>
      </c>
      <c r="AZ105" s="43" t="s">
        <v>1317</v>
      </c>
      <c r="BA105" s="19" t="s">
        <v>1155</v>
      </c>
      <c r="BC105" s="2">
        <f>AW105+AX105</f>
        <v>0</v>
      </c>
      <c r="BD105" s="2">
        <f>I105/(100-BE105)*100</f>
        <v>0</v>
      </c>
      <c r="BE105" s="2">
        <v>0</v>
      </c>
      <c r="BF105" s="2">
        <f>105</f>
        <v>105</v>
      </c>
      <c r="BH105" s="2">
        <f>H105*AO105</f>
        <v>0</v>
      </c>
      <c r="BI105" s="2">
        <f>H105*AP105</f>
        <v>0</v>
      </c>
      <c r="BJ105" s="2">
        <f>H105*I105</f>
        <v>0</v>
      </c>
      <c r="BK105" s="2"/>
      <c r="BL105" s="2">
        <v>41</v>
      </c>
    </row>
    <row r="106" spans="1:64" ht="15" customHeight="1">
      <c r="A106" s="15" t="s">
        <v>160</v>
      </c>
      <c r="B106" s="14" t="s">
        <v>32</v>
      </c>
      <c r="C106" s="58" t="s">
        <v>866</v>
      </c>
      <c r="D106" s="58"/>
      <c r="E106" s="58"/>
      <c r="F106" s="58"/>
      <c r="G106" s="14" t="s">
        <v>1189</v>
      </c>
      <c r="H106" s="2">
        <v>177.678</v>
      </c>
      <c r="I106" s="2">
        <v>0</v>
      </c>
      <c r="J106" s="2">
        <f>H106*AO106</f>
        <v>0</v>
      </c>
      <c r="K106" s="2">
        <f>H106*AP106</f>
        <v>0</v>
      </c>
      <c r="L106" s="2">
        <f>H106*I106</f>
        <v>0</v>
      </c>
      <c r="M106" s="7" t="s">
        <v>831</v>
      </c>
      <c r="Z106" s="2">
        <f>IF(AQ106="5",BJ106,0)</f>
        <v>0</v>
      </c>
      <c r="AB106" s="2">
        <f>IF(AQ106="1",BH106,0)</f>
        <v>0</v>
      </c>
      <c r="AC106" s="2">
        <f>IF(AQ106="1",BI106,0)</f>
        <v>0</v>
      </c>
      <c r="AD106" s="2">
        <f>IF(AQ106="7",BH106,0)</f>
        <v>0</v>
      </c>
      <c r="AE106" s="2">
        <f>IF(AQ106="7",BI106,0)</f>
        <v>0</v>
      </c>
      <c r="AF106" s="2">
        <f>IF(AQ106="2",BH106,0)</f>
        <v>0</v>
      </c>
      <c r="AG106" s="2">
        <f>IF(AQ106="2",BI106,0)</f>
        <v>0</v>
      </c>
      <c r="AH106" s="2">
        <f>IF(AQ106="0",BJ106,0)</f>
        <v>0</v>
      </c>
      <c r="AI106" s="19" t="s">
        <v>255</v>
      </c>
      <c r="AJ106" s="2">
        <f>IF(AN106=0,L106,0)</f>
        <v>0</v>
      </c>
      <c r="AK106" s="2">
        <f>IF(AN106=15,L106,0)</f>
        <v>0</v>
      </c>
      <c r="AL106" s="2">
        <f>IF(AN106=21,L106,0)</f>
        <v>0</v>
      </c>
      <c r="AN106" s="2">
        <v>15</v>
      </c>
      <c r="AO106" s="2">
        <f>I106*0.802073980575364</f>
        <v>0</v>
      </c>
      <c r="AP106" s="2">
        <f>I106*(1-0.802073980575364)</f>
        <v>0</v>
      </c>
      <c r="AQ106" s="43" t="s">
        <v>1205</v>
      </c>
      <c r="AV106" s="2">
        <f>AW106+AX106</f>
        <v>0</v>
      </c>
      <c r="AW106" s="2">
        <f>H106*AO106</f>
        <v>0</v>
      </c>
      <c r="AX106" s="2">
        <f>H106*AP106</f>
        <v>0</v>
      </c>
      <c r="AY106" s="43" t="s">
        <v>874</v>
      </c>
      <c r="AZ106" s="43" t="s">
        <v>1317</v>
      </c>
      <c r="BA106" s="19" t="s">
        <v>1155</v>
      </c>
      <c r="BC106" s="2">
        <f>AW106+AX106</f>
        <v>0</v>
      </c>
      <c r="BD106" s="2">
        <f>I106/(100-BE106)*100</f>
        <v>0</v>
      </c>
      <c r="BE106" s="2">
        <v>0</v>
      </c>
      <c r="BF106" s="2">
        <f>106</f>
        <v>106</v>
      </c>
      <c r="BH106" s="2">
        <f>H106*AO106</f>
        <v>0</v>
      </c>
      <c r="BI106" s="2">
        <f>H106*AP106</f>
        <v>0</v>
      </c>
      <c r="BJ106" s="2">
        <f>H106*I106</f>
        <v>0</v>
      </c>
      <c r="BK106" s="2"/>
      <c r="BL106" s="2">
        <v>41</v>
      </c>
    </row>
    <row r="107" spans="1:13" ht="13.5" customHeight="1">
      <c r="A107" s="51"/>
      <c r="B107" s="32" t="s">
        <v>639</v>
      </c>
      <c r="C107" s="75" t="s">
        <v>36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7"/>
    </row>
    <row r="108" spans="1:64" ht="15" customHeight="1">
      <c r="A108" s="15" t="s">
        <v>875</v>
      </c>
      <c r="B108" s="14" t="s">
        <v>339</v>
      </c>
      <c r="C108" s="58" t="s">
        <v>1157</v>
      </c>
      <c r="D108" s="58"/>
      <c r="E108" s="58"/>
      <c r="F108" s="58"/>
      <c r="G108" s="14" t="s">
        <v>1189</v>
      </c>
      <c r="H108" s="2">
        <v>2.006</v>
      </c>
      <c r="I108" s="2">
        <v>0</v>
      </c>
      <c r="J108" s="2">
        <f>H108*AO108</f>
        <v>0</v>
      </c>
      <c r="K108" s="2">
        <f>H108*AP108</f>
        <v>0</v>
      </c>
      <c r="L108" s="2">
        <f>H108*I108</f>
        <v>0</v>
      </c>
      <c r="M108" s="7" t="s">
        <v>831</v>
      </c>
      <c r="Z108" s="2">
        <f>IF(AQ108="5",BJ108,0)</f>
        <v>0</v>
      </c>
      <c r="AB108" s="2">
        <f>IF(AQ108="1",BH108,0)</f>
        <v>0</v>
      </c>
      <c r="AC108" s="2">
        <f>IF(AQ108="1",BI108,0)</f>
        <v>0</v>
      </c>
      <c r="AD108" s="2">
        <f>IF(AQ108="7",BH108,0)</f>
        <v>0</v>
      </c>
      <c r="AE108" s="2">
        <f>IF(AQ108="7",BI108,0)</f>
        <v>0</v>
      </c>
      <c r="AF108" s="2">
        <f>IF(AQ108="2",BH108,0)</f>
        <v>0</v>
      </c>
      <c r="AG108" s="2">
        <f>IF(AQ108="2",BI108,0)</f>
        <v>0</v>
      </c>
      <c r="AH108" s="2">
        <f>IF(AQ108="0",BJ108,0)</f>
        <v>0</v>
      </c>
      <c r="AI108" s="19" t="s">
        <v>255</v>
      </c>
      <c r="AJ108" s="2">
        <f>IF(AN108=0,L108,0)</f>
        <v>0</v>
      </c>
      <c r="AK108" s="2">
        <f>IF(AN108=15,L108,0)</f>
        <v>0</v>
      </c>
      <c r="AL108" s="2">
        <f>IF(AN108=21,L108,0)</f>
        <v>0</v>
      </c>
      <c r="AN108" s="2">
        <v>15</v>
      </c>
      <c r="AO108" s="2">
        <f>I108*0.385799377967794</f>
        <v>0</v>
      </c>
      <c r="AP108" s="2">
        <f>I108*(1-0.385799377967794)</f>
        <v>0</v>
      </c>
      <c r="AQ108" s="43" t="s">
        <v>1205</v>
      </c>
      <c r="AV108" s="2">
        <f>AW108+AX108</f>
        <v>0</v>
      </c>
      <c r="AW108" s="2">
        <f>H108*AO108</f>
        <v>0</v>
      </c>
      <c r="AX108" s="2">
        <f>H108*AP108</f>
        <v>0</v>
      </c>
      <c r="AY108" s="43" t="s">
        <v>874</v>
      </c>
      <c r="AZ108" s="43" t="s">
        <v>1317</v>
      </c>
      <c r="BA108" s="19" t="s">
        <v>1155</v>
      </c>
      <c r="BC108" s="2">
        <f>AW108+AX108</f>
        <v>0</v>
      </c>
      <c r="BD108" s="2">
        <f>I108/(100-BE108)*100</f>
        <v>0</v>
      </c>
      <c r="BE108" s="2">
        <v>0</v>
      </c>
      <c r="BF108" s="2">
        <f>108</f>
        <v>108</v>
      </c>
      <c r="BH108" s="2">
        <f>H108*AO108</f>
        <v>0</v>
      </c>
      <c r="BI108" s="2">
        <f>H108*AP108</f>
        <v>0</v>
      </c>
      <c r="BJ108" s="2">
        <f>H108*I108</f>
        <v>0</v>
      </c>
      <c r="BK108" s="2"/>
      <c r="BL108" s="2">
        <v>41</v>
      </c>
    </row>
    <row r="109" spans="1:13" ht="13.5" customHeight="1">
      <c r="A109" s="51"/>
      <c r="B109" s="32" t="s">
        <v>639</v>
      </c>
      <c r="C109" s="75" t="s">
        <v>177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7"/>
    </row>
    <row r="110" spans="1:64" ht="15" customHeight="1">
      <c r="A110" s="15" t="s">
        <v>1343</v>
      </c>
      <c r="B110" s="14" t="s">
        <v>225</v>
      </c>
      <c r="C110" s="58" t="s">
        <v>716</v>
      </c>
      <c r="D110" s="58"/>
      <c r="E110" s="58"/>
      <c r="F110" s="58"/>
      <c r="G110" s="14" t="s">
        <v>1165</v>
      </c>
      <c r="H110" s="2">
        <v>8.497</v>
      </c>
      <c r="I110" s="2">
        <v>0</v>
      </c>
      <c r="J110" s="2">
        <f>H110*AO110</f>
        <v>0</v>
      </c>
      <c r="K110" s="2">
        <f>H110*AP110</f>
        <v>0</v>
      </c>
      <c r="L110" s="2">
        <f>H110*I110</f>
        <v>0</v>
      </c>
      <c r="M110" s="7" t="s">
        <v>831</v>
      </c>
      <c r="Z110" s="2">
        <f>IF(AQ110="5",BJ110,0)</f>
        <v>0</v>
      </c>
      <c r="AB110" s="2">
        <f>IF(AQ110="1",BH110,0)</f>
        <v>0</v>
      </c>
      <c r="AC110" s="2">
        <f>IF(AQ110="1",BI110,0)</f>
        <v>0</v>
      </c>
      <c r="AD110" s="2">
        <f>IF(AQ110="7",BH110,0)</f>
        <v>0</v>
      </c>
      <c r="AE110" s="2">
        <f>IF(AQ110="7",BI110,0)</f>
        <v>0</v>
      </c>
      <c r="AF110" s="2">
        <f>IF(AQ110="2",BH110,0)</f>
        <v>0</v>
      </c>
      <c r="AG110" s="2">
        <f>IF(AQ110="2",BI110,0)</f>
        <v>0</v>
      </c>
      <c r="AH110" s="2">
        <f>IF(AQ110="0",BJ110,0)</f>
        <v>0</v>
      </c>
      <c r="AI110" s="19" t="s">
        <v>255</v>
      </c>
      <c r="AJ110" s="2">
        <f>IF(AN110=0,L110,0)</f>
        <v>0</v>
      </c>
      <c r="AK110" s="2">
        <f>IF(AN110=15,L110,0)</f>
        <v>0</v>
      </c>
      <c r="AL110" s="2">
        <f>IF(AN110=21,L110,0)</f>
        <v>0</v>
      </c>
      <c r="AN110" s="2">
        <v>15</v>
      </c>
      <c r="AO110" s="2">
        <f>I110*0.824411136153293</f>
        <v>0</v>
      </c>
      <c r="AP110" s="2">
        <f>I110*(1-0.824411136153293)</f>
        <v>0</v>
      </c>
      <c r="AQ110" s="43" t="s">
        <v>1205</v>
      </c>
      <c r="AV110" s="2">
        <f>AW110+AX110</f>
        <v>0</v>
      </c>
      <c r="AW110" s="2">
        <f>H110*AO110</f>
        <v>0</v>
      </c>
      <c r="AX110" s="2">
        <f>H110*AP110</f>
        <v>0</v>
      </c>
      <c r="AY110" s="43" t="s">
        <v>874</v>
      </c>
      <c r="AZ110" s="43" t="s">
        <v>1317</v>
      </c>
      <c r="BA110" s="19" t="s">
        <v>1155</v>
      </c>
      <c r="BC110" s="2">
        <f>AW110+AX110</f>
        <v>0</v>
      </c>
      <c r="BD110" s="2">
        <f>I110/(100-BE110)*100</f>
        <v>0</v>
      </c>
      <c r="BE110" s="2">
        <v>0</v>
      </c>
      <c r="BF110" s="2">
        <f>110</f>
        <v>110</v>
      </c>
      <c r="BH110" s="2">
        <f>H110*AO110</f>
        <v>0</v>
      </c>
      <c r="BI110" s="2">
        <f>H110*AP110</f>
        <v>0</v>
      </c>
      <c r="BJ110" s="2">
        <f>H110*I110</f>
        <v>0</v>
      </c>
      <c r="BK110" s="2"/>
      <c r="BL110" s="2">
        <v>41</v>
      </c>
    </row>
    <row r="111" spans="1:13" ht="13.5" customHeight="1">
      <c r="A111" s="51"/>
      <c r="B111" s="32" t="s">
        <v>639</v>
      </c>
      <c r="C111" s="75" t="s">
        <v>474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7"/>
    </row>
    <row r="112" spans="1:64" ht="15" customHeight="1">
      <c r="A112" s="15" t="s">
        <v>296</v>
      </c>
      <c r="B112" s="14" t="s">
        <v>1354</v>
      </c>
      <c r="C112" s="58" t="s">
        <v>745</v>
      </c>
      <c r="D112" s="58"/>
      <c r="E112" s="58"/>
      <c r="F112" s="58"/>
      <c r="G112" s="14" t="s">
        <v>1189</v>
      </c>
      <c r="H112" s="2">
        <v>64.225</v>
      </c>
      <c r="I112" s="2">
        <v>0</v>
      </c>
      <c r="J112" s="2">
        <f>H112*AO112</f>
        <v>0</v>
      </c>
      <c r="K112" s="2">
        <f>H112*AP112</f>
        <v>0</v>
      </c>
      <c r="L112" s="2">
        <f>H112*I112</f>
        <v>0</v>
      </c>
      <c r="M112" s="7" t="s">
        <v>831</v>
      </c>
      <c r="Z112" s="2">
        <f>IF(AQ112="5",BJ112,0)</f>
        <v>0</v>
      </c>
      <c r="AB112" s="2">
        <f>IF(AQ112="1",BH112,0)</f>
        <v>0</v>
      </c>
      <c r="AC112" s="2">
        <f>IF(AQ112="1",BI112,0)</f>
        <v>0</v>
      </c>
      <c r="AD112" s="2">
        <f>IF(AQ112="7",BH112,0)</f>
        <v>0</v>
      </c>
      <c r="AE112" s="2">
        <f>IF(AQ112="7",BI112,0)</f>
        <v>0</v>
      </c>
      <c r="AF112" s="2">
        <f>IF(AQ112="2",BH112,0)</f>
        <v>0</v>
      </c>
      <c r="AG112" s="2">
        <f>IF(AQ112="2",BI112,0)</f>
        <v>0</v>
      </c>
      <c r="AH112" s="2">
        <f>IF(AQ112="0",BJ112,0)</f>
        <v>0</v>
      </c>
      <c r="AI112" s="19" t="s">
        <v>255</v>
      </c>
      <c r="AJ112" s="2">
        <f>IF(AN112=0,L112,0)</f>
        <v>0</v>
      </c>
      <c r="AK112" s="2">
        <f>IF(AN112=15,L112,0)</f>
        <v>0</v>
      </c>
      <c r="AL112" s="2">
        <f>IF(AN112=21,L112,0)</f>
        <v>0</v>
      </c>
      <c r="AN112" s="2">
        <v>15</v>
      </c>
      <c r="AO112" s="2">
        <f>I112*0.207164782604276</f>
        <v>0</v>
      </c>
      <c r="AP112" s="2">
        <f>I112*(1-0.207164782604276)</f>
        <v>0</v>
      </c>
      <c r="AQ112" s="43" t="s">
        <v>1205</v>
      </c>
      <c r="AV112" s="2">
        <f>AW112+AX112</f>
        <v>0</v>
      </c>
      <c r="AW112" s="2">
        <f>H112*AO112</f>
        <v>0</v>
      </c>
      <c r="AX112" s="2">
        <f>H112*AP112</f>
        <v>0</v>
      </c>
      <c r="AY112" s="43" t="s">
        <v>874</v>
      </c>
      <c r="AZ112" s="43" t="s">
        <v>1317</v>
      </c>
      <c r="BA112" s="19" t="s">
        <v>1155</v>
      </c>
      <c r="BC112" s="2">
        <f>AW112+AX112</f>
        <v>0</v>
      </c>
      <c r="BD112" s="2">
        <f>I112/(100-BE112)*100</f>
        <v>0</v>
      </c>
      <c r="BE112" s="2">
        <v>0</v>
      </c>
      <c r="BF112" s="2">
        <f>112</f>
        <v>112</v>
      </c>
      <c r="BH112" s="2">
        <f>H112*AO112</f>
        <v>0</v>
      </c>
      <c r="BI112" s="2">
        <f>H112*AP112</f>
        <v>0</v>
      </c>
      <c r="BJ112" s="2">
        <f>H112*I112</f>
        <v>0</v>
      </c>
      <c r="BK112" s="2"/>
      <c r="BL112" s="2">
        <v>41</v>
      </c>
    </row>
    <row r="113" spans="1:64" ht="15" customHeight="1">
      <c r="A113" s="15" t="s">
        <v>614</v>
      </c>
      <c r="B113" s="14" t="s">
        <v>599</v>
      </c>
      <c r="C113" s="58" t="s">
        <v>46</v>
      </c>
      <c r="D113" s="58"/>
      <c r="E113" s="58"/>
      <c r="F113" s="58"/>
      <c r="G113" s="14" t="s">
        <v>1189</v>
      </c>
      <c r="H113" s="2">
        <v>64.225</v>
      </c>
      <c r="I113" s="2">
        <v>0</v>
      </c>
      <c r="J113" s="2">
        <f>H113*AO113</f>
        <v>0</v>
      </c>
      <c r="K113" s="2">
        <f>H113*AP113</f>
        <v>0</v>
      </c>
      <c r="L113" s="2">
        <f>H113*I113</f>
        <v>0</v>
      </c>
      <c r="M113" s="7" t="s">
        <v>831</v>
      </c>
      <c r="Z113" s="2">
        <f>IF(AQ113="5",BJ113,0)</f>
        <v>0</v>
      </c>
      <c r="AB113" s="2">
        <f>IF(AQ113="1",BH113,0)</f>
        <v>0</v>
      </c>
      <c r="AC113" s="2">
        <f>IF(AQ113="1",BI113,0)</f>
        <v>0</v>
      </c>
      <c r="AD113" s="2">
        <f>IF(AQ113="7",BH113,0)</f>
        <v>0</v>
      </c>
      <c r="AE113" s="2">
        <f>IF(AQ113="7",BI113,0)</f>
        <v>0</v>
      </c>
      <c r="AF113" s="2">
        <f>IF(AQ113="2",BH113,0)</f>
        <v>0</v>
      </c>
      <c r="AG113" s="2">
        <f>IF(AQ113="2",BI113,0)</f>
        <v>0</v>
      </c>
      <c r="AH113" s="2">
        <f>IF(AQ113="0",BJ113,0)</f>
        <v>0</v>
      </c>
      <c r="AI113" s="19" t="s">
        <v>255</v>
      </c>
      <c r="AJ113" s="2">
        <f>IF(AN113=0,L113,0)</f>
        <v>0</v>
      </c>
      <c r="AK113" s="2">
        <f>IF(AN113=15,L113,0)</f>
        <v>0</v>
      </c>
      <c r="AL113" s="2">
        <f>IF(AN113=21,L113,0)</f>
        <v>0</v>
      </c>
      <c r="AN113" s="2">
        <v>15</v>
      </c>
      <c r="AO113" s="2">
        <f>I113*0</f>
        <v>0</v>
      </c>
      <c r="AP113" s="2">
        <f>I113*(1-0)</f>
        <v>0</v>
      </c>
      <c r="AQ113" s="43" t="s">
        <v>1205</v>
      </c>
      <c r="AV113" s="2">
        <f>AW113+AX113</f>
        <v>0</v>
      </c>
      <c r="AW113" s="2">
        <f>H113*AO113</f>
        <v>0</v>
      </c>
      <c r="AX113" s="2">
        <f>H113*AP113</f>
        <v>0</v>
      </c>
      <c r="AY113" s="43" t="s">
        <v>874</v>
      </c>
      <c r="AZ113" s="43" t="s">
        <v>1317</v>
      </c>
      <c r="BA113" s="19" t="s">
        <v>1155</v>
      </c>
      <c r="BC113" s="2">
        <f>AW113+AX113</f>
        <v>0</v>
      </c>
      <c r="BD113" s="2">
        <f>I113/(100-BE113)*100</f>
        <v>0</v>
      </c>
      <c r="BE113" s="2">
        <v>0</v>
      </c>
      <c r="BF113" s="2">
        <f>113</f>
        <v>113</v>
      </c>
      <c r="BH113" s="2">
        <f>H113*AO113</f>
        <v>0</v>
      </c>
      <c r="BI113" s="2">
        <f>H113*AP113</f>
        <v>0</v>
      </c>
      <c r="BJ113" s="2">
        <f>H113*I113</f>
        <v>0</v>
      </c>
      <c r="BK113" s="2"/>
      <c r="BL113" s="2">
        <v>41</v>
      </c>
    </row>
    <row r="114" spans="1:64" ht="15" customHeight="1">
      <c r="A114" s="15" t="s">
        <v>1331</v>
      </c>
      <c r="B114" s="14" t="s">
        <v>782</v>
      </c>
      <c r="C114" s="58" t="s">
        <v>63</v>
      </c>
      <c r="D114" s="58"/>
      <c r="E114" s="58"/>
      <c r="F114" s="58"/>
      <c r="G114" s="14" t="s">
        <v>584</v>
      </c>
      <c r="H114" s="2">
        <v>1.171</v>
      </c>
      <c r="I114" s="2">
        <v>0</v>
      </c>
      <c r="J114" s="2">
        <f>H114*AO114</f>
        <v>0</v>
      </c>
      <c r="K114" s="2">
        <f>H114*AP114</f>
        <v>0</v>
      </c>
      <c r="L114" s="2">
        <f>H114*I114</f>
        <v>0</v>
      </c>
      <c r="M114" s="7" t="s">
        <v>831</v>
      </c>
      <c r="Z114" s="2">
        <f>IF(AQ114="5",BJ114,0)</f>
        <v>0</v>
      </c>
      <c r="AB114" s="2">
        <f>IF(AQ114="1",BH114,0)</f>
        <v>0</v>
      </c>
      <c r="AC114" s="2">
        <f>IF(AQ114="1",BI114,0)</f>
        <v>0</v>
      </c>
      <c r="AD114" s="2">
        <f>IF(AQ114="7",BH114,0)</f>
        <v>0</v>
      </c>
      <c r="AE114" s="2">
        <f>IF(AQ114="7",BI114,0)</f>
        <v>0</v>
      </c>
      <c r="AF114" s="2">
        <f>IF(AQ114="2",BH114,0)</f>
        <v>0</v>
      </c>
      <c r="AG114" s="2">
        <f>IF(AQ114="2",BI114,0)</f>
        <v>0</v>
      </c>
      <c r="AH114" s="2">
        <f>IF(AQ114="0",BJ114,0)</f>
        <v>0</v>
      </c>
      <c r="AI114" s="19" t="s">
        <v>255</v>
      </c>
      <c r="AJ114" s="2">
        <f>IF(AN114=0,L114,0)</f>
        <v>0</v>
      </c>
      <c r="AK114" s="2">
        <f>IF(AN114=15,L114,0)</f>
        <v>0</v>
      </c>
      <c r="AL114" s="2">
        <f>IF(AN114=21,L114,0)</f>
        <v>0</v>
      </c>
      <c r="AN114" s="2">
        <v>15</v>
      </c>
      <c r="AO114" s="2">
        <f>I114*0.746933764608475</f>
        <v>0</v>
      </c>
      <c r="AP114" s="2">
        <f>I114*(1-0.746933764608475)</f>
        <v>0</v>
      </c>
      <c r="AQ114" s="43" t="s">
        <v>1205</v>
      </c>
      <c r="AV114" s="2">
        <f>AW114+AX114</f>
        <v>0</v>
      </c>
      <c r="AW114" s="2">
        <f>H114*AO114</f>
        <v>0</v>
      </c>
      <c r="AX114" s="2">
        <f>H114*AP114</f>
        <v>0</v>
      </c>
      <c r="AY114" s="43" t="s">
        <v>874</v>
      </c>
      <c r="AZ114" s="43" t="s">
        <v>1317</v>
      </c>
      <c r="BA114" s="19" t="s">
        <v>1155</v>
      </c>
      <c r="BC114" s="2">
        <f>AW114+AX114</f>
        <v>0</v>
      </c>
      <c r="BD114" s="2">
        <f>I114/(100-BE114)*100</f>
        <v>0</v>
      </c>
      <c r="BE114" s="2">
        <v>0</v>
      </c>
      <c r="BF114" s="2">
        <f>114</f>
        <v>114</v>
      </c>
      <c r="BH114" s="2">
        <f>H114*AO114</f>
        <v>0</v>
      </c>
      <c r="BI114" s="2">
        <f>H114*AP114</f>
        <v>0</v>
      </c>
      <c r="BJ114" s="2">
        <f>H114*I114</f>
        <v>0</v>
      </c>
      <c r="BK114" s="2"/>
      <c r="BL114" s="2">
        <v>41</v>
      </c>
    </row>
    <row r="115" spans="1:64" ht="15" customHeight="1">
      <c r="A115" s="15" t="s">
        <v>1264</v>
      </c>
      <c r="B115" s="14" t="s">
        <v>225</v>
      </c>
      <c r="C115" s="58" t="s">
        <v>716</v>
      </c>
      <c r="D115" s="58"/>
      <c r="E115" s="58"/>
      <c r="F115" s="58"/>
      <c r="G115" s="14" t="s">
        <v>1165</v>
      </c>
      <c r="H115" s="2">
        <v>4.604</v>
      </c>
      <c r="I115" s="2">
        <v>0</v>
      </c>
      <c r="J115" s="2">
        <f>H115*AO115</f>
        <v>0</v>
      </c>
      <c r="K115" s="2">
        <f>H115*AP115</f>
        <v>0</v>
      </c>
      <c r="L115" s="2">
        <f>H115*I115</f>
        <v>0</v>
      </c>
      <c r="M115" s="7" t="s">
        <v>831</v>
      </c>
      <c r="Z115" s="2">
        <f>IF(AQ115="5",BJ115,0)</f>
        <v>0</v>
      </c>
      <c r="AB115" s="2">
        <f>IF(AQ115="1",BH115,0)</f>
        <v>0</v>
      </c>
      <c r="AC115" s="2">
        <f>IF(AQ115="1",BI115,0)</f>
        <v>0</v>
      </c>
      <c r="AD115" s="2">
        <f>IF(AQ115="7",BH115,0)</f>
        <v>0</v>
      </c>
      <c r="AE115" s="2">
        <f>IF(AQ115="7",BI115,0)</f>
        <v>0</v>
      </c>
      <c r="AF115" s="2">
        <f>IF(AQ115="2",BH115,0)</f>
        <v>0</v>
      </c>
      <c r="AG115" s="2">
        <f>IF(AQ115="2",BI115,0)</f>
        <v>0</v>
      </c>
      <c r="AH115" s="2">
        <f>IF(AQ115="0",BJ115,0)</f>
        <v>0</v>
      </c>
      <c r="AI115" s="19" t="s">
        <v>255</v>
      </c>
      <c r="AJ115" s="2">
        <f>IF(AN115=0,L115,0)</f>
        <v>0</v>
      </c>
      <c r="AK115" s="2">
        <f>IF(AN115=15,L115,0)</f>
        <v>0</v>
      </c>
      <c r="AL115" s="2">
        <f>IF(AN115=21,L115,0)</f>
        <v>0</v>
      </c>
      <c r="AN115" s="2">
        <v>15</v>
      </c>
      <c r="AO115" s="2">
        <f>I115*0.824409324933442</f>
        <v>0</v>
      </c>
      <c r="AP115" s="2">
        <f>I115*(1-0.824409324933442)</f>
        <v>0</v>
      </c>
      <c r="AQ115" s="43" t="s">
        <v>1205</v>
      </c>
      <c r="AV115" s="2">
        <f>AW115+AX115</f>
        <v>0</v>
      </c>
      <c r="AW115" s="2">
        <f>H115*AO115</f>
        <v>0</v>
      </c>
      <c r="AX115" s="2">
        <f>H115*AP115</f>
        <v>0</v>
      </c>
      <c r="AY115" s="43" t="s">
        <v>874</v>
      </c>
      <c r="AZ115" s="43" t="s">
        <v>1317</v>
      </c>
      <c r="BA115" s="19" t="s">
        <v>1155</v>
      </c>
      <c r="BC115" s="2">
        <f>AW115+AX115</f>
        <v>0</v>
      </c>
      <c r="BD115" s="2">
        <f>I115/(100-BE115)*100</f>
        <v>0</v>
      </c>
      <c r="BE115" s="2">
        <v>0</v>
      </c>
      <c r="BF115" s="2">
        <f>115</f>
        <v>115</v>
      </c>
      <c r="BH115" s="2">
        <f>H115*AO115</f>
        <v>0</v>
      </c>
      <c r="BI115" s="2">
        <f>H115*AP115</f>
        <v>0</v>
      </c>
      <c r="BJ115" s="2">
        <f>H115*I115</f>
        <v>0</v>
      </c>
      <c r="BK115" s="2"/>
      <c r="BL115" s="2">
        <v>41</v>
      </c>
    </row>
    <row r="116" spans="1:13" ht="13.5" customHeight="1">
      <c r="A116" s="51"/>
      <c r="B116" s="32" t="s">
        <v>639</v>
      </c>
      <c r="C116" s="75" t="s">
        <v>657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7"/>
    </row>
    <row r="117" spans="1:64" ht="15" customHeight="1">
      <c r="A117" s="15" t="s">
        <v>19</v>
      </c>
      <c r="B117" s="14" t="s">
        <v>1354</v>
      </c>
      <c r="C117" s="58" t="s">
        <v>745</v>
      </c>
      <c r="D117" s="58"/>
      <c r="E117" s="58"/>
      <c r="F117" s="58"/>
      <c r="G117" s="14" t="s">
        <v>1189</v>
      </c>
      <c r="H117" s="2">
        <v>33</v>
      </c>
      <c r="I117" s="2">
        <v>0</v>
      </c>
      <c r="J117" s="2">
        <f>H117*AO117</f>
        <v>0</v>
      </c>
      <c r="K117" s="2">
        <f>H117*AP117</f>
        <v>0</v>
      </c>
      <c r="L117" s="2">
        <f>H117*I117</f>
        <v>0</v>
      </c>
      <c r="M117" s="7" t="s">
        <v>831</v>
      </c>
      <c r="Z117" s="2">
        <f>IF(AQ117="5",BJ117,0)</f>
        <v>0</v>
      </c>
      <c r="AB117" s="2">
        <f>IF(AQ117="1",BH117,0)</f>
        <v>0</v>
      </c>
      <c r="AC117" s="2">
        <f>IF(AQ117="1",BI117,0)</f>
        <v>0</v>
      </c>
      <c r="AD117" s="2">
        <f>IF(AQ117="7",BH117,0)</f>
        <v>0</v>
      </c>
      <c r="AE117" s="2">
        <f>IF(AQ117="7",BI117,0)</f>
        <v>0</v>
      </c>
      <c r="AF117" s="2">
        <f>IF(AQ117="2",BH117,0)</f>
        <v>0</v>
      </c>
      <c r="AG117" s="2">
        <f>IF(AQ117="2",BI117,0)</f>
        <v>0</v>
      </c>
      <c r="AH117" s="2">
        <f>IF(AQ117="0",BJ117,0)</f>
        <v>0</v>
      </c>
      <c r="AI117" s="19" t="s">
        <v>255</v>
      </c>
      <c r="AJ117" s="2">
        <f>IF(AN117=0,L117,0)</f>
        <v>0</v>
      </c>
      <c r="AK117" s="2">
        <f>IF(AN117=15,L117,0)</f>
        <v>0</v>
      </c>
      <c r="AL117" s="2">
        <f>IF(AN117=21,L117,0)</f>
        <v>0</v>
      </c>
      <c r="AN117" s="2">
        <v>15</v>
      </c>
      <c r="AO117" s="2">
        <f>I117*0.207164055080722</f>
        <v>0</v>
      </c>
      <c r="AP117" s="2">
        <f>I117*(1-0.207164055080722)</f>
        <v>0</v>
      </c>
      <c r="AQ117" s="43" t="s">
        <v>1205</v>
      </c>
      <c r="AV117" s="2">
        <f>AW117+AX117</f>
        <v>0</v>
      </c>
      <c r="AW117" s="2">
        <f>H117*AO117</f>
        <v>0</v>
      </c>
      <c r="AX117" s="2">
        <f>H117*AP117</f>
        <v>0</v>
      </c>
      <c r="AY117" s="43" t="s">
        <v>874</v>
      </c>
      <c r="AZ117" s="43" t="s">
        <v>1317</v>
      </c>
      <c r="BA117" s="19" t="s">
        <v>1155</v>
      </c>
      <c r="BC117" s="2">
        <f>AW117+AX117</f>
        <v>0</v>
      </c>
      <c r="BD117" s="2">
        <f>I117/(100-BE117)*100</f>
        <v>0</v>
      </c>
      <c r="BE117" s="2">
        <v>0</v>
      </c>
      <c r="BF117" s="2">
        <f>117</f>
        <v>117</v>
      </c>
      <c r="BH117" s="2">
        <f>H117*AO117</f>
        <v>0</v>
      </c>
      <c r="BI117" s="2">
        <f>H117*AP117</f>
        <v>0</v>
      </c>
      <c r="BJ117" s="2">
        <f>H117*I117</f>
        <v>0</v>
      </c>
      <c r="BK117" s="2"/>
      <c r="BL117" s="2">
        <v>41</v>
      </c>
    </row>
    <row r="118" spans="1:64" ht="15" customHeight="1">
      <c r="A118" s="15" t="s">
        <v>224</v>
      </c>
      <c r="B118" s="14" t="s">
        <v>599</v>
      </c>
      <c r="C118" s="58" t="s">
        <v>46</v>
      </c>
      <c r="D118" s="58"/>
      <c r="E118" s="58"/>
      <c r="F118" s="58"/>
      <c r="G118" s="14" t="s">
        <v>1189</v>
      </c>
      <c r="H118" s="2">
        <v>33</v>
      </c>
      <c r="I118" s="2">
        <v>0</v>
      </c>
      <c r="J118" s="2">
        <f>H118*AO118</f>
        <v>0</v>
      </c>
      <c r="K118" s="2">
        <f>H118*AP118</f>
        <v>0</v>
      </c>
      <c r="L118" s="2">
        <f>H118*I118</f>
        <v>0</v>
      </c>
      <c r="M118" s="7" t="s">
        <v>831</v>
      </c>
      <c r="Z118" s="2">
        <f>IF(AQ118="5",BJ118,0)</f>
        <v>0</v>
      </c>
      <c r="AB118" s="2">
        <f>IF(AQ118="1",BH118,0)</f>
        <v>0</v>
      </c>
      <c r="AC118" s="2">
        <f>IF(AQ118="1",BI118,0)</f>
        <v>0</v>
      </c>
      <c r="AD118" s="2">
        <f>IF(AQ118="7",BH118,0)</f>
        <v>0</v>
      </c>
      <c r="AE118" s="2">
        <f>IF(AQ118="7",BI118,0)</f>
        <v>0</v>
      </c>
      <c r="AF118" s="2">
        <f>IF(AQ118="2",BH118,0)</f>
        <v>0</v>
      </c>
      <c r="AG118" s="2">
        <f>IF(AQ118="2",BI118,0)</f>
        <v>0</v>
      </c>
      <c r="AH118" s="2">
        <f>IF(AQ118="0",BJ118,0)</f>
        <v>0</v>
      </c>
      <c r="AI118" s="19" t="s">
        <v>255</v>
      </c>
      <c r="AJ118" s="2">
        <f>IF(AN118=0,L118,0)</f>
        <v>0</v>
      </c>
      <c r="AK118" s="2">
        <f>IF(AN118=15,L118,0)</f>
        <v>0</v>
      </c>
      <c r="AL118" s="2">
        <f>IF(AN118=21,L118,0)</f>
        <v>0</v>
      </c>
      <c r="AN118" s="2">
        <v>15</v>
      </c>
      <c r="AO118" s="2">
        <f>I118*0</f>
        <v>0</v>
      </c>
      <c r="AP118" s="2">
        <f>I118*(1-0)</f>
        <v>0</v>
      </c>
      <c r="AQ118" s="43" t="s">
        <v>1205</v>
      </c>
      <c r="AV118" s="2">
        <f>AW118+AX118</f>
        <v>0</v>
      </c>
      <c r="AW118" s="2">
        <f>H118*AO118</f>
        <v>0</v>
      </c>
      <c r="AX118" s="2">
        <f>H118*AP118</f>
        <v>0</v>
      </c>
      <c r="AY118" s="43" t="s">
        <v>874</v>
      </c>
      <c r="AZ118" s="43" t="s">
        <v>1317</v>
      </c>
      <c r="BA118" s="19" t="s">
        <v>1155</v>
      </c>
      <c r="BC118" s="2">
        <f>AW118+AX118</f>
        <v>0</v>
      </c>
      <c r="BD118" s="2">
        <f>I118/(100-BE118)*100</f>
        <v>0</v>
      </c>
      <c r="BE118" s="2">
        <v>0</v>
      </c>
      <c r="BF118" s="2">
        <f>118</f>
        <v>118</v>
      </c>
      <c r="BH118" s="2">
        <f>H118*AO118</f>
        <v>0</v>
      </c>
      <c r="BI118" s="2">
        <f>H118*AP118</f>
        <v>0</v>
      </c>
      <c r="BJ118" s="2">
        <f>H118*I118</f>
        <v>0</v>
      </c>
      <c r="BK118" s="2"/>
      <c r="BL118" s="2">
        <v>41</v>
      </c>
    </row>
    <row r="119" spans="1:64" ht="15" customHeight="1">
      <c r="A119" s="15" t="s">
        <v>272</v>
      </c>
      <c r="B119" s="14" t="s">
        <v>782</v>
      </c>
      <c r="C119" s="58" t="s">
        <v>63</v>
      </c>
      <c r="D119" s="58"/>
      <c r="E119" s="58"/>
      <c r="F119" s="58"/>
      <c r="G119" s="14" t="s">
        <v>584</v>
      </c>
      <c r="H119" s="2">
        <v>0.466</v>
      </c>
      <c r="I119" s="2">
        <v>0</v>
      </c>
      <c r="J119" s="2">
        <f>H119*AO119</f>
        <v>0</v>
      </c>
      <c r="K119" s="2">
        <f>H119*AP119</f>
        <v>0</v>
      </c>
      <c r="L119" s="2">
        <f>H119*I119</f>
        <v>0</v>
      </c>
      <c r="M119" s="7" t="s">
        <v>831</v>
      </c>
      <c r="Z119" s="2">
        <f>IF(AQ119="5",BJ119,0)</f>
        <v>0</v>
      </c>
      <c r="AB119" s="2">
        <f>IF(AQ119="1",BH119,0)</f>
        <v>0</v>
      </c>
      <c r="AC119" s="2">
        <f>IF(AQ119="1",BI119,0)</f>
        <v>0</v>
      </c>
      <c r="AD119" s="2">
        <f>IF(AQ119="7",BH119,0)</f>
        <v>0</v>
      </c>
      <c r="AE119" s="2">
        <f>IF(AQ119="7",BI119,0)</f>
        <v>0</v>
      </c>
      <c r="AF119" s="2">
        <f>IF(AQ119="2",BH119,0)</f>
        <v>0</v>
      </c>
      <c r="AG119" s="2">
        <f>IF(AQ119="2",BI119,0)</f>
        <v>0</v>
      </c>
      <c r="AH119" s="2">
        <f>IF(AQ119="0",BJ119,0)</f>
        <v>0</v>
      </c>
      <c r="AI119" s="19" t="s">
        <v>255</v>
      </c>
      <c r="AJ119" s="2">
        <f>IF(AN119=0,L119,0)</f>
        <v>0</v>
      </c>
      <c r="AK119" s="2">
        <f>IF(AN119=15,L119,0)</f>
        <v>0</v>
      </c>
      <c r="AL119" s="2">
        <f>IF(AN119=21,L119,0)</f>
        <v>0</v>
      </c>
      <c r="AN119" s="2">
        <v>15</v>
      </c>
      <c r="AO119" s="2">
        <f>I119*0.746932640497692</f>
        <v>0</v>
      </c>
      <c r="AP119" s="2">
        <f>I119*(1-0.746932640497692)</f>
        <v>0</v>
      </c>
      <c r="AQ119" s="43" t="s">
        <v>1205</v>
      </c>
      <c r="AV119" s="2">
        <f>AW119+AX119</f>
        <v>0</v>
      </c>
      <c r="AW119" s="2">
        <f>H119*AO119</f>
        <v>0</v>
      </c>
      <c r="AX119" s="2">
        <f>H119*AP119</f>
        <v>0</v>
      </c>
      <c r="AY119" s="43" t="s">
        <v>874</v>
      </c>
      <c r="AZ119" s="43" t="s">
        <v>1317</v>
      </c>
      <c r="BA119" s="19" t="s">
        <v>1155</v>
      </c>
      <c r="BC119" s="2">
        <f>AW119+AX119</f>
        <v>0</v>
      </c>
      <c r="BD119" s="2">
        <f>I119/(100-BE119)*100</f>
        <v>0</v>
      </c>
      <c r="BE119" s="2">
        <v>0</v>
      </c>
      <c r="BF119" s="2">
        <f>119</f>
        <v>119</v>
      </c>
      <c r="BH119" s="2">
        <f>H119*AO119</f>
        <v>0</v>
      </c>
      <c r="BI119" s="2">
        <f>H119*AP119</f>
        <v>0</v>
      </c>
      <c r="BJ119" s="2">
        <f>H119*I119</f>
        <v>0</v>
      </c>
      <c r="BK119" s="2"/>
      <c r="BL119" s="2">
        <v>41</v>
      </c>
    </row>
    <row r="120" spans="1:64" ht="15" customHeight="1">
      <c r="A120" s="15" t="s">
        <v>953</v>
      </c>
      <c r="B120" s="14" t="s">
        <v>1337</v>
      </c>
      <c r="C120" s="58" t="s">
        <v>991</v>
      </c>
      <c r="D120" s="58"/>
      <c r="E120" s="58"/>
      <c r="F120" s="58"/>
      <c r="G120" s="14" t="s">
        <v>584</v>
      </c>
      <c r="H120" s="2">
        <v>0.083</v>
      </c>
      <c r="I120" s="2">
        <v>0</v>
      </c>
      <c r="J120" s="2">
        <f>H120*AO120</f>
        <v>0</v>
      </c>
      <c r="K120" s="2">
        <f>H120*AP120</f>
        <v>0</v>
      </c>
      <c r="L120" s="2">
        <f>H120*I120</f>
        <v>0</v>
      </c>
      <c r="M120" s="7" t="s">
        <v>831</v>
      </c>
      <c r="Z120" s="2">
        <f>IF(AQ120="5",BJ120,0)</f>
        <v>0</v>
      </c>
      <c r="AB120" s="2">
        <f>IF(AQ120="1",BH120,0)</f>
        <v>0</v>
      </c>
      <c r="AC120" s="2">
        <f>IF(AQ120="1",BI120,0)</f>
        <v>0</v>
      </c>
      <c r="AD120" s="2">
        <f>IF(AQ120="7",BH120,0)</f>
        <v>0</v>
      </c>
      <c r="AE120" s="2">
        <f>IF(AQ120="7",BI120,0)</f>
        <v>0</v>
      </c>
      <c r="AF120" s="2">
        <f>IF(AQ120="2",BH120,0)</f>
        <v>0</v>
      </c>
      <c r="AG120" s="2">
        <f>IF(AQ120="2",BI120,0)</f>
        <v>0</v>
      </c>
      <c r="AH120" s="2">
        <f>IF(AQ120="0",BJ120,0)</f>
        <v>0</v>
      </c>
      <c r="AI120" s="19" t="s">
        <v>255</v>
      </c>
      <c r="AJ120" s="2">
        <f>IF(AN120=0,L120,0)</f>
        <v>0</v>
      </c>
      <c r="AK120" s="2">
        <f>IF(AN120=15,L120,0)</f>
        <v>0</v>
      </c>
      <c r="AL120" s="2">
        <f>IF(AN120=21,L120,0)</f>
        <v>0</v>
      </c>
      <c r="AN120" s="2">
        <v>15</v>
      </c>
      <c r="AO120" s="2">
        <f>I120*0.0022984481493132</f>
        <v>0</v>
      </c>
      <c r="AP120" s="2">
        <f>I120*(1-0.0022984481493132)</f>
        <v>0</v>
      </c>
      <c r="AQ120" s="43" t="s">
        <v>1205</v>
      </c>
      <c r="AV120" s="2">
        <f>AW120+AX120</f>
        <v>0</v>
      </c>
      <c r="AW120" s="2">
        <f>H120*AO120</f>
        <v>0</v>
      </c>
      <c r="AX120" s="2">
        <f>H120*AP120</f>
        <v>0</v>
      </c>
      <c r="AY120" s="43" t="s">
        <v>874</v>
      </c>
      <c r="AZ120" s="43" t="s">
        <v>1317</v>
      </c>
      <c r="BA120" s="19" t="s">
        <v>1155</v>
      </c>
      <c r="BC120" s="2">
        <f>AW120+AX120</f>
        <v>0</v>
      </c>
      <c r="BD120" s="2">
        <f>I120/(100-BE120)*100</f>
        <v>0</v>
      </c>
      <c r="BE120" s="2">
        <v>0</v>
      </c>
      <c r="BF120" s="2">
        <f>120</f>
        <v>120</v>
      </c>
      <c r="BH120" s="2">
        <f>H120*AO120</f>
        <v>0</v>
      </c>
      <c r="BI120" s="2">
        <f>H120*AP120</f>
        <v>0</v>
      </c>
      <c r="BJ120" s="2">
        <f>H120*I120</f>
        <v>0</v>
      </c>
      <c r="BK120" s="2"/>
      <c r="BL120" s="2">
        <v>41</v>
      </c>
    </row>
    <row r="121" spans="1:13" ht="13.5" customHeight="1">
      <c r="A121" s="51"/>
      <c r="B121" s="32" t="s">
        <v>639</v>
      </c>
      <c r="C121" s="75" t="s">
        <v>314</v>
      </c>
      <c r="D121" s="76"/>
      <c r="E121" s="76"/>
      <c r="F121" s="76"/>
      <c r="G121" s="76"/>
      <c r="H121" s="76"/>
      <c r="I121" s="76"/>
      <c r="J121" s="76"/>
      <c r="K121" s="76"/>
      <c r="L121" s="76"/>
      <c r="M121" s="77"/>
    </row>
    <row r="122" spans="1:64" ht="15" customHeight="1">
      <c r="A122" s="15" t="s">
        <v>109</v>
      </c>
      <c r="B122" s="14" t="s">
        <v>175</v>
      </c>
      <c r="C122" s="58" t="s">
        <v>951</v>
      </c>
      <c r="D122" s="58"/>
      <c r="E122" s="58"/>
      <c r="F122" s="58"/>
      <c r="G122" s="14" t="s">
        <v>584</v>
      </c>
      <c r="H122" s="2">
        <v>0.09</v>
      </c>
      <c r="I122" s="2">
        <v>0</v>
      </c>
      <c r="J122" s="2">
        <f>H122*AO122</f>
        <v>0</v>
      </c>
      <c r="K122" s="2">
        <f>H122*AP122</f>
        <v>0</v>
      </c>
      <c r="L122" s="2">
        <f>H122*I122</f>
        <v>0</v>
      </c>
      <c r="M122" s="7" t="s">
        <v>831</v>
      </c>
      <c r="Z122" s="2">
        <f>IF(AQ122="5",BJ122,0)</f>
        <v>0</v>
      </c>
      <c r="AB122" s="2">
        <f>IF(AQ122="1",BH122,0)</f>
        <v>0</v>
      </c>
      <c r="AC122" s="2">
        <f>IF(AQ122="1",BI122,0)</f>
        <v>0</v>
      </c>
      <c r="AD122" s="2">
        <f>IF(AQ122="7",BH122,0)</f>
        <v>0</v>
      </c>
      <c r="AE122" s="2">
        <f>IF(AQ122="7",BI122,0)</f>
        <v>0</v>
      </c>
      <c r="AF122" s="2">
        <f>IF(AQ122="2",BH122,0)</f>
        <v>0</v>
      </c>
      <c r="AG122" s="2">
        <f>IF(AQ122="2",BI122,0)</f>
        <v>0</v>
      </c>
      <c r="AH122" s="2">
        <f>IF(AQ122="0",BJ122,0)</f>
        <v>0</v>
      </c>
      <c r="AI122" s="19" t="s">
        <v>255</v>
      </c>
      <c r="AJ122" s="2">
        <f>IF(AN122=0,L122,0)</f>
        <v>0</v>
      </c>
      <c r="AK122" s="2">
        <f>IF(AN122=15,L122,0)</f>
        <v>0</v>
      </c>
      <c r="AL122" s="2">
        <f>IF(AN122=21,L122,0)</f>
        <v>0</v>
      </c>
      <c r="AN122" s="2">
        <v>15</v>
      </c>
      <c r="AO122" s="2">
        <f>I122*1</f>
        <v>0</v>
      </c>
      <c r="AP122" s="2">
        <f>I122*(1-1)</f>
        <v>0</v>
      </c>
      <c r="AQ122" s="43" t="s">
        <v>1205</v>
      </c>
      <c r="AV122" s="2">
        <f>AW122+AX122</f>
        <v>0</v>
      </c>
      <c r="AW122" s="2">
        <f>H122*AO122</f>
        <v>0</v>
      </c>
      <c r="AX122" s="2">
        <f>H122*AP122</f>
        <v>0</v>
      </c>
      <c r="AY122" s="43" t="s">
        <v>874</v>
      </c>
      <c r="AZ122" s="43" t="s">
        <v>1317</v>
      </c>
      <c r="BA122" s="19" t="s">
        <v>1155</v>
      </c>
      <c r="BC122" s="2">
        <f>AW122+AX122</f>
        <v>0</v>
      </c>
      <c r="BD122" s="2">
        <f>I122/(100-BE122)*100</f>
        <v>0</v>
      </c>
      <c r="BE122" s="2">
        <v>0</v>
      </c>
      <c r="BF122" s="2">
        <f>122</f>
        <v>122</v>
      </c>
      <c r="BH122" s="2">
        <f>H122*AO122</f>
        <v>0</v>
      </c>
      <c r="BI122" s="2">
        <f>H122*AP122</f>
        <v>0</v>
      </c>
      <c r="BJ122" s="2">
        <f>H122*I122</f>
        <v>0</v>
      </c>
      <c r="BK122" s="2"/>
      <c r="BL122" s="2">
        <v>41</v>
      </c>
    </row>
    <row r="123" spans="1:64" ht="15" customHeight="1">
      <c r="A123" s="15" t="s">
        <v>942</v>
      </c>
      <c r="B123" s="14" t="s">
        <v>225</v>
      </c>
      <c r="C123" s="58" t="s">
        <v>716</v>
      </c>
      <c r="D123" s="58"/>
      <c r="E123" s="58"/>
      <c r="F123" s="58"/>
      <c r="G123" s="14" t="s">
        <v>1165</v>
      </c>
      <c r="H123" s="2">
        <v>1.523</v>
      </c>
      <c r="I123" s="2">
        <v>0</v>
      </c>
      <c r="J123" s="2">
        <f>H123*AO123</f>
        <v>0</v>
      </c>
      <c r="K123" s="2">
        <f>H123*AP123</f>
        <v>0</v>
      </c>
      <c r="L123" s="2">
        <f>H123*I123</f>
        <v>0</v>
      </c>
      <c r="M123" s="7" t="s">
        <v>831</v>
      </c>
      <c r="Z123" s="2">
        <f>IF(AQ123="5",BJ123,0)</f>
        <v>0</v>
      </c>
      <c r="AB123" s="2">
        <f>IF(AQ123="1",BH123,0)</f>
        <v>0</v>
      </c>
      <c r="AC123" s="2">
        <f>IF(AQ123="1",BI123,0)</f>
        <v>0</v>
      </c>
      <c r="AD123" s="2">
        <f>IF(AQ123="7",BH123,0)</f>
        <v>0</v>
      </c>
      <c r="AE123" s="2">
        <f>IF(AQ123="7",BI123,0)</f>
        <v>0</v>
      </c>
      <c r="AF123" s="2">
        <f>IF(AQ123="2",BH123,0)</f>
        <v>0</v>
      </c>
      <c r="AG123" s="2">
        <f>IF(AQ123="2",BI123,0)</f>
        <v>0</v>
      </c>
      <c r="AH123" s="2">
        <f>IF(AQ123="0",BJ123,0)</f>
        <v>0</v>
      </c>
      <c r="AI123" s="19" t="s">
        <v>255</v>
      </c>
      <c r="AJ123" s="2">
        <f>IF(AN123=0,L123,0)</f>
        <v>0</v>
      </c>
      <c r="AK123" s="2">
        <f>IF(AN123=15,L123,0)</f>
        <v>0</v>
      </c>
      <c r="AL123" s="2">
        <f>IF(AN123=21,L123,0)</f>
        <v>0</v>
      </c>
      <c r="AN123" s="2">
        <v>15</v>
      </c>
      <c r="AO123" s="2">
        <f>I123*0.82440493880283</f>
        <v>0</v>
      </c>
      <c r="AP123" s="2">
        <f>I123*(1-0.82440493880283)</f>
        <v>0</v>
      </c>
      <c r="AQ123" s="43" t="s">
        <v>1205</v>
      </c>
      <c r="AV123" s="2">
        <f>AW123+AX123</f>
        <v>0</v>
      </c>
      <c r="AW123" s="2">
        <f>H123*AO123</f>
        <v>0</v>
      </c>
      <c r="AX123" s="2">
        <f>H123*AP123</f>
        <v>0</v>
      </c>
      <c r="AY123" s="43" t="s">
        <v>874</v>
      </c>
      <c r="AZ123" s="43" t="s">
        <v>1317</v>
      </c>
      <c r="BA123" s="19" t="s">
        <v>1155</v>
      </c>
      <c r="BC123" s="2">
        <f>AW123+AX123</f>
        <v>0</v>
      </c>
      <c r="BD123" s="2">
        <f>I123/(100-BE123)*100</f>
        <v>0</v>
      </c>
      <c r="BE123" s="2">
        <v>0</v>
      </c>
      <c r="BF123" s="2">
        <f>123</f>
        <v>123</v>
      </c>
      <c r="BH123" s="2">
        <f>H123*AO123</f>
        <v>0</v>
      </c>
      <c r="BI123" s="2">
        <f>H123*AP123</f>
        <v>0</v>
      </c>
      <c r="BJ123" s="2">
        <f>H123*I123</f>
        <v>0</v>
      </c>
      <c r="BK123" s="2"/>
      <c r="BL123" s="2">
        <v>41</v>
      </c>
    </row>
    <row r="124" spans="1:13" ht="13.5" customHeight="1">
      <c r="A124" s="51"/>
      <c r="B124" s="32" t="s">
        <v>639</v>
      </c>
      <c r="C124" s="75" t="s">
        <v>168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7"/>
    </row>
    <row r="125" spans="1:64" ht="15" customHeight="1">
      <c r="A125" s="15" t="s">
        <v>755</v>
      </c>
      <c r="B125" s="14" t="s">
        <v>1354</v>
      </c>
      <c r="C125" s="58" t="s">
        <v>745</v>
      </c>
      <c r="D125" s="58"/>
      <c r="E125" s="58"/>
      <c r="F125" s="58"/>
      <c r="G125" s="14" t="s">
        <v>1189</v>
      </c>
      <c r="H125" s="2">
        <v>25.38</v>
      </c>
      <c r="I125" s="2">
        <v>0</v>
      </c>
      <c r="J125" s="2">
        <f>H125*AO125</f>
        <v>0</v>
      </c>
      <c r="K125" s="2">
        <f>H125*AP125</f>
        <v>0</v>
      </c>
      <c r="L125" s="2">
        <f>H125*I125</f>
        <v>0</v>
      </c>
      <c r="M125" s="7" t="s">
        <v>831</v>
      </c>
      <c r="Z125" s="2">
        <f>IF(AQ125="5",BJ125,0)</f>
        <v>0</v>
      </c>
      <c r="AB125" s="2">
        <f>IF(AQ125="1",BH125,0)</f>
        <v>0</v>
      </c>
      <c r="AC125" s="2">
        <f>IF(AQ125="1",BI125,0)</f>
        <v>0</v>
      </c>
      <c r="AD125" s="2">
        <f>IF(AQ125="7",BH125,0)</f>
        <v>0</v>
      </c>
      <c r="AE125" s="2">
        <f>IF(AQ125="7",BI125,0)</f>
        <v>0</v>
      </c>
      <c r="AF125" s="2">
        <f>IF(AQ125="2",BH125,0)</f>
        <v>0</v>
      </c>
      <c r="AG125" s="2">
        <f>IF(AQ125="2",BI125,0)</f>
        <v>0</v>
      </c>
      <c r="AH125" s="2">
        <f>IF(AQ125="0",BJ125,0)</f>
        <v>0</v>
      </c>
      <c r="AI125" s="19" t="s">
        <v>255</v>
      </c>
      <c r="AJ125" s="2">
        <f>IF(AN125=0,L125,0)</f>
        <v>0</v>
      </c>
      <c r="AK125" s="2">
        <f>IF(AN125=15,L125,0)</f>
        <v>0</v>
      </c>
      <c r="AL125" s="2">
        <f>IF(AN125=21,L125,0)</f>
        <v>0</v>
      </c>
      <c r="AN125" s="2">
        <v>15</v>
      </c>
      <c r="AO125" s="2">
        <f>I125*0.207163686877782</f>
        <v>0</v>
      </c>
      <c r="AP125" s="2">
        <f>I125*(1-0.207163686877782)</f>
        <v>0</v>
      </c>
      <c r="AQ125" s="43" t="s">
        <v>1205</v>
      </c>
      <c r="AV125" s="2">
        <f>AW125+AX125</f>
        <v>0</v>
      </c>
      <c r="AW125" s="2">
        <f>H125*AO125</f>
        <v>0</v>
      </c>
      <c r="AX125" s="2">
        <f>H125*AP125</f>
        <v>0</v>
      </c>
      <c r="AY125" s="43" t="s">
        <v>874</v>
      </c>
      <c r="AZ125" s="43" t="s">
        <v>1317</v>
      </c>
      <c r="BA125" s="19" t="s">
        <v>1155</v>
      </c>
      <c r="BC125" s="2">
        <f>AW125+AX125</f>
        <v>0</v>
      </c>
      <c r="BD125" s="2">
        <f>I125/(100-BE125)*100</f>
        <v>0</v>
      </c>
      <c r="BE125" s="2">
        <v>0</v>
      </c>
      <c r="BF125" s="2">
        <f>125</f>
        <v>125</v>
      </c>
      <c r="BH125" s="2">
        <f>H125*AO125</f>
        <v>0</v>
      </c>
      <c r="BI125" s="2">
        <f>H125*AP125</f>
        <v>0</v>
      </c>
      <c r="BJ125" s="2">
        <f>H125*I125</f>
        <v>0</v>
      </c>
      <c r="BK125" s="2"/>
      <c r="BL125" s="2">
        <v>41</v>
      </c>
    </row>
    <row r="126" spans="1:64" ht="15" customHeight="1">
      <c r="A126" s="15" t="s">
        <v>1224</v>
      </c>
      <c r="B126" s="14" t="s">
        <v>599</v>
      </c>
      <c r="C126" s="58" t="s">
        <v>46</v>
      </c>
      <c r="D126" s="58"/>
      <c r="E126" s="58"/>
      <c r="F126" s="58"/>
      <c r="G126" s="14" t="s">
        <v>1189</v>
      </c>
      <c r="H126" s="2">
        <v>25.38</v>
      </c>
      <c r="I126" s="2">
        <v>0</v>
      </c>
      <c r="J126" s="2">
        <f>H126*AO126</f>
        <v>0</v>
      </c>
      <c r="K126" s="2">
        <f>H126*AP126</f>
        <v>0</v>
      </c>
      <c r="L126" s="2">
        <f>H126*I126</f>
        <v>0</v>
      </c>
      <c r="M126" s="7" t="s">
        <v>831</v>
      </c>
      <c r="Z126" s="2">
        <f>IF(AQ126="5",BJ126,0)</f>
        <v>0</v>
      </c>
      <c r="AB126" s="2">
        <f>IF(AQ126="1",BH126,0)</f>
        <v>0</v>
      </c>
      <c r="AC126" s="2">
        <f>IF(AQ126="1",BI126,0)</f>
        <v>0</v>
      </c>
      <c r="AD126" s="2">
        <f>IF(AQ126="7",BH126,0)</f>
        <v>0</v>
      </c>
      <c r="AE126" s="2">
        <f>IF(AQ126="7",BI126,0)</f>
        <v>0</v>
      </c>
      <c r="AF126" s="2">
        <f>IF(AQ126="2",BH126,0)</f>
        <v>0</v>
      </c>
      <c r="AG126" s="2">
        <f>IF(AQ126="2",BI126,0)</f>
        <v>0</v>
      </c>
      <c r="AH126" s="2">
        <f>IF(AQ126="0",BJ126,0)</f>
        <v>0</v>
      </c>
      <c r="AI126" s="19" t="s">
        <v>255</v>
      </c>
      <c r="AJ126" s="2">
        <f>IF(AN126=0,L126,0)</f>
        <v>0</v>
      </c>
      <c r="AK126" s="2">
        <f>IF(AN126=15,L126,0)</f>
        <v>0</v>
      </c>
      <c r="AL126" s="2">
        <f>IF(AN126=21,L126,0)</f>
        <v>0</v>
      </c>
      <c r="AN126" s="2">
        <v>15</v>
      </c>
      <c r="AO126" s="2">
        <f>I126*0</f>
        <v>0</v>
      </c>
      <c r="AP126" s="2">
        <f>I126*(1-0)</f>
        <v>0</v>
      </c>
      <c r="AQ126" s="43" t="s">
        <v>1205</v>
      </c>
      <c r="AV126" s="2">
        <f>AW126+AX126</f>
        <v>0</v>
      </c>
      <c r="AW126" s="2">
        <f>H126*AO126</f>
        <v>0</v>
      </c>
      <c r="AX126" s="2">
        <f>H126*AP126</f>
        <v>0</v>
      </c>
      <c r="AY126" s="43" t="s">
        <v>874</v>
      </c>
      <c r="AZ126" s="43" t="s">
        <v>1317</v>
      </c>
      <c r="BA126" s="19" t="s">
        <v>1155</v>
      </c>
      <c r="BC126" s="2">
        <f>AW126+AX126</f>
        <v>0</v>
      </c>
      <c r="BD126" s="2">
        <f>I126/(100-BE126)*100</f>
        <v>0</v>
      </c>
      <c r="BE126" s="2">
        <v>0</v>
      </c>
      <c r="BF126" s="2">
        <f>126</f>
        <v>126</v>
      </c>
      <c r="BH126" s="2">
        <f>H126*AO126</f>
        <v>0</v>
      </c>
      <c r="BI126" s="2">
        <f>H126*AP126</f>
        <v>0</v>
      </c>
      <c r="BJ126" s="2">
        <f>H126*I126</f>
        <v>0</v>
      </c>
      <c r="BK126" s="2"/>
      <c r="BL126" s="2">
        <v>41</v>
      </c>
    </row>
    <row r="127" spans="1:64" ht="15" customHeight="1">
      <c r="A127" s="15" t="s">
        <v>1106</v>
      </c>
      <c r="B127" s="14" t="s">
        <v>782</v>
      </c>
      <c r="C127" s="58" t="s">
        <v>63</v>
      </c>
      <c r="D127" s="58"/>
      <c r="E127" s="58"/>
      <c r="F127" s="58"/>
      <c r="G127" s="14" t="s">
        <v>584</v>
      </c>
      <c r="H127" s="2">
        <v>0.137</v>
      </c>
      <c r="I127" s="2">
        <v>0</v>
      </c>
      <c r="J127" s="2">
        <f>H127*AO127</f>
        <v>0</v>
      </c>
      <c r="K127" s="2">
        <f>H127*AP127</f>
        <v>0</v>
      </c>
      <c r="L127" s="2">
        <f>H127*I127</f>
        <v>0</v>
      </c>
      <c r="M127" s="7" t="s">
        <v>831</v>
      </c>
      <c r="Z127" s="2">
        <f>IF(AQ127="5",BJ127,0)</f>
        <v>0</v>
      </c>
      <c r="AB127" s="2">
        <f>IF(AQ127="1",BH127,0)</f>
        <v>0</v>
      </c>
      <c r="AC127" s="2">
        <f>IF(AQ127="1",BI127,0)</f>
        <v>0</v>
      </c>
      <c r="AD127" s="2">
        <f>IF(AQ127="7",BH127,0)</f>
        <v>0</v>
      </c>
      <c r="AE127" s="2">
        <f>IF(AQ127="7",BI127,0)</f>
        <v>0</v>
      </c>
      <c r="AF127" s="2">
        <f>IF(AQ127="2",BH127,0)</f>
        <v>0</v>
      </c>
      <c r="AG127" s="2">
        <f>IF(AQ127="2",BI127,0)</f>
        <v>0</v>
      </c>
      <c r="AH127" s="2">
        <f>IF(AQ127="0",BJ127,0)</f>
        <v>0</v>
      </c>
      <c r="AI127" s="19" t="s">
        <v>255</v>
      </c>
      <c r="AJ127" s="2">
        <f>IF(AN127=0,L127,0)</f>
        <v>0</v>
      </c>
      <c r="AK127" s="2">
        <f>IF(AN127=15,L127,0)</f>
        <v>0</v>
      </c>
      <c r="AL127" s="2">
        <f>IF(AN127=21,L127,0)</f>
        <v>0</v>
      </c>
      <c r="AN127" s="2">
        <v>15</v>
      </c>
      <c r="AO127" s="2">
        <f>I127*0.746931054671586</f>
        <v>0</v>
      </c>
      <c r="AP127" s="2">
        <f>I127*(1-0.746931054671586)</f>
        <v>0</v>
      </c>
      <c r="AQ127" s="43" t="s">
        <v>1205</v>
      </c>
      <c r="AV127" s="2">
        <f>AW127+AX127</f>
        <v>0</v>
      </c>
      <c r="AW127" s="2">
        <f>H127*AO127</f>
        <v>0</v>
      </c>
      <c r="AX127" s="2">
        <f>H127*AP127</f>
        <v>0</v>
      </c>
      <c r="AY127" s="43" t="s">
        <v>874</v>
      </c>
      <c r="AZ127" s="43" t="s">
        <v>1317</v>
      </c>
      <c r="BA127" s="19" t="s">
        <v>1155</v>
      </c>
      <c r="BC127" s="2">
        <f>AW127+AX127</f>
        <v>0</v>
      </c>
      <c r="BD127" s="2">
        <f>I127/(100-BE127)*100</f>
        <v>0</v>
      </c>
      <c r="BE127" s="2">
        <v>0</v>
      </c>
      <c r="BF127" s="2">
        <f>127</f>
        <v>127</v>
      </c>
      <c r="BH127" s="2">
        <f>H127*AO127</f>
        <v>0</v>
      </c>
      <c r="BI127" s="2">
        <f>H127*AP127</f>
        <v>0</v>
      </c>
      <c r="BJ127" s="2">
        <f>H127*I127</f>
        <v>0</v>
      </c>
      <c r="BK127" s="2"/>
      <c r="BL127" s="2">
        <v>41</v>
      </c>
    </row>
    <row r="128" spans="1:47" ht="15" customHeight="1">
      <c r="A128" s="48" t="s">
        <v>844</v>
      </c>
      <c r="B128" s="17" t="s">
        <v>426</v>
      </c>
      <c r="C128" s="74" t="s">
        <v>498</v>
      </c>
      <c r="D128" s="74"/>
      <c r="E128" s="74"/>
      <c r="F128" s="74"/>
      <c r="G128" s="40" t="s">
        <v>1110</v>
      </c>
      <c r="H128" s="40" t="s">
        <v>1110</v>
      </c>
      <c r="I128" s="40" t="s">
        <v>1110</v>
      </c>
      <c r="J128" s="23">
        <f>SUM(J129:J129)</f>
        <v>0</v>
      </c>
      <c r="K128" s="23">
        <f>SUM(K129:K129)</f>
        <v>0</v>
      </c>
      <c r="L128" s="23">
        <f>SUM(L129:L129)</f>
        <v>0</v>
      </c>
      <c r="M128" s="37" t="s">
        <v>844</v>
      </c>
      <c r="AI128" s="19" t="s">
        <v>255</v>
      </c>
      <c r="AS128" s="23">
        <f>SUM(AJ129:AJ129)</f>
        <v>0</v>
      </c>
      <c r="AT128" s="23">
        <f>SUM(AK129:AK129)</f>
        <v>0</v>
      </c>
      <c r="AU128" s="23">
        <f>SUM(AL129:AL129)</f>
        <v>0</v>
      </c>
    </row>
    <row r="129" spans="1:64" ht="15" customHeight="1">
      <c r="A129" s="15" t="s">
        <v>810</v>
      </c>
      <c r="B129" s="14" t="s">
        <v>708</v>
      </c>
      <c r="C129" s="58" t="s">
        <v>530</v>
      </c>
      <c r="D129" s="58"/>
      <c r="E129" s="58"/>
      <c r="F129" s="58"/>
      <c r="G129" s="14" t="s">
        <v>1136</v>
      </c>
      <c r="H129" s="2">
        <v>22.5</v>
      </c>
      <c r="I129" s="2">
        <v>0</v>
      </c>
      <c r="J129" s="2">
        <f>H129*AO129</f>
        <v>0</v>
      </c>
      <c r="K129" s="2">
        <f>H129*AP129</f>
        <v>0</v>
      </c>
      <c r="L129" s="2">
        <f>H129*I129</f>
        <v>0</v>
      </c>
      <c r="M129" s="7" t="s">
        <v>831</v>
      </c>
      <c r="Z129" s="2">
        <f>IF(AQ129="5",BJ129,0)</f>
        <v>0</v>
      </c>
      <c r="AB129" s="2">
        <f>IF(AQ129="1",BH129,0)</f>
        <v>0</v>
      </c>
      <c r="AC129" s="2">
        <f>IF(AQ129="1",BI129,0)</f>
        <v>0</v>
      </c>
      <c r="AD129" s="2">
        <f>IF(AQ129="7",BH129,0)</f>
        <v>0</v>
      </c>
      <c r="AE129" s="2">
        <f>IF(AQ129="7",BI129,0)</f>
        <v>0</v>
      </c>
      <c r="AF129" s="2">
        <f>IF(AQ129="2",BH129,0)</f>
        <v>0</v>
      </c>
      <c r="AG129" s="2">
        <f>IF(AQ129="2",BI129,0)</f>
        <v>0</v>
      </c>
      <c r="AH129" s="2">
        <f>IF(AQ129="0",BJ129,0)</f>
        <v>0</v>
      </c>
      <c r="AI129" s="19" t="s">
        <v>255</v>
      </c>
      <c r="AJ129" s="2">
        <f>IF(AN129=0,L129,0)</f>
        <v>0</v>
      </c>
      <c r="AK129" s="2">
        <f>IF(AN129=15,L129,0)</f>
        <v>0</v>
      </c>
      <c r="AL129" s="2">
        <f>IF(AN129=21,L129,0)</f>
        <v>0</v>
      </c>
      <c r="AN129" s="2">
        <v>15</v>
      </c>
      <c r="AO129" s="2">
        <f>I129*0.488517662665224</f>
        <v>0</v>
      </c>
      <c r="AP129" s="2">
        <f>I129*(1-0.488517662665224)</f>
        <v>0</v>
      </c>
      <c r="AQ129" s="43" t="s">
        <v>1205</v>
      </c>
      <c r="AV129" s="2">
        <f>AW129+AX129</f>
        <v>0</v>
      </c>
      <c r="AW129" s="2">
        <f>H129*AO129</f>
        <v>0</v>
      </c>
      <c r="AX129" s="2">
        <f>H129*AP129</f>
        <v>0</v>
      </c>
      <c r="AY129" s="43" t="s">
        <v>1342</v>
      </c>
      <c r="AZ129" s="43" t="s">
        <v>1317</v>
      </c>
      <c r="BA129" s="19" t="s">
        <v>1155</v>
      </c>
      <c r="BC129" s="2">
        <f>AW129+AX129</f>
        <v>0</v>
      </c>
      <c r="BD129" s="2">
        <f>I129/(100-BE129)*100</f>
        <v>0</v>
      </c>
      <c r="BE129" s="2">
        <v>0</v>
      </c>
      <c r="BF129" s="2">
        <f>129</f>
        <v>129</v>
      </c>
      <c r="BH129" s="2">
        <f>H129*AO129</f>
        <v>0</v>
      </c>
      <c r="BI129" s="2">
        <f>H129*AP129</f>
        <v>0</v>
      </c>
      <c r="BJ129" s="2">
        <f>H129*I129</f>
        <v>0</v>
      </c>
      <c r="BK129" s="2"/>
      <c r="BL129" s="2">
        <v>43</v>
      </c>
    </row>
    <row r="130" spans="1:13" ht="13.5" customHeight="1">
      <c r="A130" s="51"/>
      <c r="B130" s="32" t="s">
        <v>639</v>
      </c>
      <c r="C130" s="75" t="s">
        <v>421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7"/>
    </row>
    <row r="131" spans="1:47" ht="15" customHeight="1">
      <c r="A131" s="48" t="s">
        <v>844</v>
      </c>
      <c r="B131" s="17" t="s">
        <v>768</v>
      </c>
      <c r="C131" s="74" t="s">
        <v>811</v>
      </c>
      <c r="D131" s="74"/>
      <c r="E131" s="74"/>
      <c r="F131" s="74"/>
      <c r="G131" s="40" t="s">
        <v>1110</v>
      </c>
      <c r="H131" s="40" t="s">
        <v>1110</v>
      </c>
      <c r="I131" s="40" t="s">
        <v>1110</v>
      </c>
      <c r="J131" s="23">
        <f>SUM(J132:J132)</f>
        <v>0</v>
      </c>
      <c r="K131" s="23">
        <f>SUM(K132:K132)</f>
        <v>0</v>
      </c>
      <c r="L131" s="23">
        <f>SUM(L132:L132)</f>
        <v>0</v>
      </c>
      <c r="M131" s="37" t="s">
        <v>844</v>
      </c>
      <c r="AI131" s="19" t="s">
        <v>255</v>
      </c>
      <c r="AS131" s="23">
        <f>SUM(AJ132:AJ132)</f>
        <v>0</v>
      </c>
      <c r="AT131" s="23">
        <f>SUM(AK132:AK132)</f>
        <v>0</v>
      </c>
      <c r="AU131" s="23">
        <f>SUM(AL132:AL132)</f>
        <v>0</v>
      </c>
    </row>
    <row r="132" spans="1:64" ht="15" customHeight="1">
      <c r="A132" s="15" t="s">
        <v>636</v>
      </c>
      <c r="B132" s="14" t="s">
        <v>611</v>
      </c>
      <c r="C132" s="58" t="s">
        <v>1145</v>
      </c>
      <c r="D132" s="58"/>
      <c r="E132" s="58"/>
      <c r="F132" s="58"/>
      <c r="G132" s="14" t="s">
        <v>1189</v>
      </c>
      <c r="H132" s="2">
        <v>9.21</v>
      </c>
      <c r="I132" s="2">
        <v>0</v>
      </c>
      <c r="J132" s="2">
        <f>H132*AO132</f>
        <v>0</v>
      </c>
      <c r="K132" s="2">
        <f>H132*AP132</f>
        <v>0</v>
      </c>
      <c r="L132" s="2">
        <f>H132*I132</f>
        <v>0</v>
      </c>
      <c r="M132" s="7" t="s">
        <v>831</v>
      </c>
      <c r="Z132" s="2">
        <f>IF(AQ132="5",BJ132,0)</f>
        <v>0</v>
      </c>
      <c r="AB132" s="2">
        <f>IF(AQ132="1",BH132,0)</f>
        <v>0</v>
      </c>
      <c r="AC132" s="2">
        <f>IF(AQ132="1",BI132,0)</f>
        <v>0</v>
      </c>
      <c r="AD132" s="2">
        <f>IF(AQ132="7",BH132,0)</f>
        <v>0</v>
      </c>
      <c r="AE132" s="2">
        <f>IF(AQ132="7",BI132,0)</f>
        <v>0</v>
      </c>
      <c r="AF132" s="2">
        <f>IF(AQ132="2",BH132,0)</f>
        <v>0</v>
      </c>
      <c r="AG132" s="2">
        <f>IF(AQ132="2",BI132,0)</f>
        <v>0</v>
      </c>
      <c r="AH132" s="2">
        <f>IF(AQ132="0",BJ132,0)</f>
        <v>0</v>
      </c>
      <c r="AI132" s="19" t="s">
        <v>255</v>
      </c>
      <c r="AJ132" s="2">
        <f>IF(AN132=0,L132,0)</f>
        <v>0</v>
      </c>
      <c r="AK132" s="2">
        <f>IF(AN132=15,L132,0)</f>
        <v>0</v>
      </c>
      <c r="AL132" s="2">
        <f>IF(AN132=21,L132,0)</f>
        <v>0</v>
      </c>
      <c r="AN132" s="2">
        <v>15</v>
      </c>
      <c r="AO132" s="2">
        <f>I132*0.832834305092813</f>
        <v>0</v>
      </c>
      <c r="AP132" s="2">
        <f>I132*(1-0.832834305092813)</f>
        <v>0</v>
      </c>
      <c r="AQ132" s="43" t="s">
        <v>1205</v>
      </c>
      <c r="AV132" s="2">
        <f>AW132+AX132</f>
        <v>0</v>
      </c>
      <c r="AW132" s="2">
        <f>H132*AO132</f>
        <v>0</v>
      </c>
      <c r="AX132" s="2">
        <f>H132*AP132</f>
        <v>0</v>
      </c>
      <c r="AY132" s="43" t="s">
        <v>1268</v>
      </c>
      <c r="AZ132" s="43" t="s">
        <v>462</v>
      </c>
      <c r="BA132" s="19" t="s">
        <v>1155</v>
      </c>
      <c r="BC132" s="2">
        <f>AW132+AX132</f>
        <v>0</v>
      </c>
      <c r="BD132" s="2">
        <f>I132/(100-BE132)*100</f>
        <v>0</v>
      </c>
      <c r="BE132" s="2">
        <v>0</v>
      </c>
      <c r="BF132" s="2">
        <f>132</f>
        <v>132</v>
      </c>
      <c r="BH132" s="2">
        <f>H132*AO132</f>
        <v>0</v>
      </c>
      <c r="BI132" s="2">
        <f>H132*AP132</f>
        <v>0</v>
      </c>
      <c r="BJ132" s="2">
        <f>H132*I132</f>
        <v>0</v>
      </c>
      <c r="BK132" s="2"/>
      <c r="BL132" s="2">
        <v>56</v>
      </c>
    </row>
    <row r="133" spans="1:13" ht="13.5" customHeight="1">
      <c r="A133" s="51"/>
      <c r="B133" s="32" t="s">
        <v>639</v>
      </c>
      <c r="C133" s="75" t="s">
        <v>797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7"/>
    </row>
    <row r="134" spans="1:47" ht="15" customHeight="1">
      <c r="A134" s="48" t="s">
        <v>844</v>
      </c>
      <c r="B134" s="17" t="s">
        <v>1134</v>
      </c>
      <c r="C134" s="74" t="s">
        <v>633</v>
      </c>
      <c r="D134" s="74"/>
      <c r="E134" s="74"/>
      <c r="F134" s="74"/>
      <c r="G134" s="40" t="s">
        <v>1110</v>
      </c>
      <c r="H134" s="40" t="s">
        <v>1110</v>
      </c>
      <c r="I134" s="40" t="s">
        <v>1110</v>
      </c>
      <c r="J134" s="23">
        <f>SUM(J135:J135)</f>
        <v>0</v>
      </c>
      <c r="K134" s="23">
        <f>SUM(K135:K135)</f>
        <v>0</v>
      </c>
      <c r="L134" s="23">
        <f>SUM(L135:L135)</f>
        <v>0</v>
      </c>
      <c r="M134" s="37" t="s">
        <v>844</v>
      </c>
      <c r="AI134" s="19" t="s">
        <v>255</v>
      </c>
      <c r="AS134" s="23">
        <f>SUM(AJ135:AJ135)</f>
        <v>0</v>
      </c>
      <c r="AT134" s="23">
        <f>SUM(AK135:AK135)</f>
        <v>0</v>
      </c>
      <c r="AU134" s="23">
        <f>SUM(AL135:AL135)</f>
        <v>0</v>
      </c>
    </row>
    <row r="135" spans="1:64" ht="15" customHeight="1">
      <c r="A135" s="15" t="s">
        <v>288</v>
      </c>
      <c r="B135" s="14" t="s">
        <v>842</v>
      </c>
      <c r="C135" s="58" t="s">
        <v>360</v>
      </c>
      <c r="D135" s="58"/>
      <c r="E135" s="58"/>
      <c r="F135" s="58"/>
      <c r="G135" s="14" t="s">
        <v>1189</v>
      </c>
      <c r="H135" s="2">
        <v>9.21</v>
      </c>
      <c r="I135" s="2">
        <v>0</v>
      </c>
      <c r="J135" s="2">
        <f>H135*AO135</f>
        <v>0</v>
      </c>
      <c r="K135" s="2">
        <f>H135*AP135</f>
        <v>0</v>
      </c>
      <c r="L135" s="2">
        <f>H135*I135</f>
        <v>0</v>
      </c>
      <c r="M135" s="7" t="s">
        <v>831</v>
      </c>
      <c r="Z135" s="2">
        <f>IF(AQ135="5",BJ135,0)</f>
        <v>0</v>
      </c>
      <c r="AB135" s="2">
        <f>IF(AQ135="1",BH135,0)</f>
        <v>0</v>
      </c>
      <c r="AC135" s="2">
        <f>IF(AQ135="1",BI135,0)</f>
        <v>0</v>
      </c>
      <c r="AD135" s="2">
        <f>IF(AQ135="7",BH135,0)</f>
        <v>0</v>
      </c>
      <c r="AE135" s="2">
        <f>IF(AQ135="7",BI135,0)</f>
        <v>0</v>
      </c>
      <c r="AF135" s="2">
        <f>IF(AQ135="2",BH135,0)</f>
        <v>0</v>
      </c>
      <c r="AG135" s="2">
        <f>IF(AQ135="2",BI135,0)</f>
        <v>0</v>
      </c>
      <c r="AH135" s="2">
        <f>IF(AQ135="0",BJ135,0)</f>
        <v>0</v>
      </c>
      <c r="AI135" s="19" t="s">
        <v>255</v>
      </c>
      <c r="AJ135" s="2">
        <f>IF(AN135=0,L135,0)</f>
        <v>0</v>
      </c>
      <c r="AK135" s="2">
        <f>IF(AN135=15,L135,0)</f>
        <v>0</v>
      </c>
      <c r="AL135" s="2">
        <f>IF(AN135=21,L135,0)</f>
        <v>0</v>
      </c>
      <c r="AN135" s="2">
        <v>15</v>
      </c>
      <c r="AO135" s="2">
        <f>I135*0.480316598360656</f>
        <v>0</v>
      </c>
      <c r="AP135" s="2">
        <f>I135*(1-0.480316598360656)</f>
        <v>0</v>
      </c>
      <c r="AQ135" s="43" t="s">
        <v>1205</v>
      </c>
      <c r="AV135" s="2">
        <f>AW135+AX135</f>
        <v>0</v>
      </c>
      <c r="AW135" s="2">
        <f>H135*AO135</f>
        <v>0</v>
      </c>
      <c r="AX135" s="2">
        <f>H135*AP135</f>
        <v>0</v>
      </c>
      <c r="AY135" s="43" t="s">
        <v>509</v>
      </c>
      <c r="AZ135" s="43" t="s">
        <v>462</v>
      </c>
      <c r="BA135" s="19" t="s">
        <v>1155</v>
      </c>
      <c r="BC135" s="2">
        <f>AW135+AX135</f>
        <v>0</v>
      </c>
      <c r="BD135" s="2">
        <f>I135/(100-BE135)*100</f>
        <v>0</v>
      </c>
      <c r="BE135" s="2">
        <v>0</v>
      </c>
      <c r="BF135" s="2">
        <f>135</f>
        <v>135</v>
      </c>
      <c r="BH135" s="2">
        <f>H135*AO135</f>
        <v>0</v>
      </c>
      <c r="BI135" s="2">
        <f>H135*AP135</f>
        <v>0</v>
      </c>
      <c r="BJ135" s="2">
        <f>H135*I135</f>
        <v>0</v>
      </c>
      <c r="BK135" s="2"/>
      <c r="BL135" s="2">
        <v>57</v>
      </c>
    </row>
    <row r="136" spans="1:13" ht="13.5" customHeight="1">
      <c r="A136" s="51"/>
      <c r="B136" s="32" t="s">
        <v>639</v>
      </c>
      <c r="C136" s="75" t="s">
        <v>881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7"/>
    </row>
    <row r="137" spans="1:47" ht="15" customHeight="1">
      <c r="A137" s="48" t="s">
        <v>844</v>
      </c>
      <c r="B137" s="17" t="s">
        <v>574</v>
      </c>
      <c r="C137" s="74" t="s">
        <v>1127</v>
      </c>
      <c r="D137" s="74"/>
      <c r="E137" s="74"/>
      <c r="F137" s="74"/>
      <c r="G137" s="40" t="s">
        <v>1110</v>
      </c>
      <c r="H137" s="40" t="s">
        <v>1110</v>
      </c>
      <c r="I137" s="40" t="s">
        <v>1110</v>
      </c>
      <c r="J137" s="23">
        <f>SUM(J138:J140)</f>
        <v>0</v>
      </c>
      <c r="K137" s="23">
        <f>SUM(K138:K140)</f>
        <v>0</v>
      </c>
      <c r="L137" s="23">
        <f>SUM(L138:L140)</f>
        <v>0</v>
      </c>
      <c r="M137" s="37" t="s">
        <v>844</v>
      </c>
      <c r="AI137" s="19" t="s">
        <v>255</v>
      </c>
      <c r="AS137" s="23">
        <f>SUM(AJ138:AJ140)</f>
        <v>0</v>
      </c>
      <c r="AT137" s="23">
        <f>SUM(AK138:AK140)</f>
        <v>0</v>
      </c>
      <c r="AU137" s="23">
        <f>SUM(AL138:AL140)</f>
        <v>0</v>
      </c>
    </row>
    <row r="138" spans="1:64" ht="15" customHeight="1">
      <c r="A138" s="15" t="s">
        <v>107</v>
      </c>
      <c r="B138" s="14" t="s">
        <v>538</v>
      </c>
      <c r="C138" s="58" t="s">
        <v>1120</v>
      </c>
      <c r="D138" s="58"/>
      <c r="E138" s="58"/>
      <c r="F138" s="58"/>
      <c r="G138" s="14" t="s">
        <v>1189</v>
      </c>
      <c r="H138" s="2">
        <v>9.21</v>
      </c>
      <c r="I138" s="2">
        <v>0</v>
      </c>
      <c r="J138" s="2">
        <f>H138*AO138</f>
        <v>0</v>
      </c>
      <c r="K138" s="2">
        <f>H138*AP138</f>
        <v>0</v>
      </c>
      <c r="L138" s="2">
        <f>H138*I138</f>
        <v>0</v>
      </c>
      <c r="M138" s="7" t="s">
        <v>831</v>
      </c>
      <c r="Z138" s="2">
        <f>IF(AQ138="5",BJ138,0)</f>
        <v>0</v>
      </c>
      <c r="AB138" s="2">
        <f>IF(AQ138="1",BH138,0)</f>
        <v>0</v>
      </c>
      <c r="AC138" s="2">
        <f>IF(AQ138="1",BI138,0)</f>
        <v>0</v>
      </c>
      <c r="AD138" s="2">
        <f>IF(AQ138="7",BH138,0)</f>
        <v>0</v>
      </c>
      <c r="AE138" s="2">
        <f>IF(AQ138="7",BI138,0)</f>
        <v>0</v>
      </c>
      <c r="AF138" s="2">
        <f>IF(AQ138="2",BH138,0)</f>
        <v>0</v>
      </c>
      <c r="AG138" s="2">
        <f>IF(AQ138="2",BI138,0)</f>
        <v>0</v>
      </c>
      <c r="AH138" s="2">
        <f>IF(AQ138="0",BJ138,0)</f>
        <v>0</v>
      </c>
      <c r="AI138" s="19" t="s">
        <v>255</v>
      </c>
      <c r="AJ138" s="2">
        <f>IF(AN138=0,L138,0)</f>
        <v>0</v>
      </c>
      <c r="AK138" s="2">
        <f>IF(AN138=15,L138,0)</f>
        <v>0</v>
      </c>
      <c r="AL138" s="2">
        <f>IF(AN138=21,L138,0)</f>
        <v>0</v>
      </c>
      <c r="AN138" s="2">
        <v>15</v>
      </c>
      <c r="AO138" s="2">
        <f>I138*0.118877349938911</f>
        <v>0</v>
      </c>
      <c r="AP138" s="2">
        <f>I138*(1-0.118877349938911)</f>
        <v>0</v>
      </c>
      <c r="AQ138" s="43" t="s">
        <v>1205</v>
      </c>
      <c r="AV138" s="2">
        <f>AW138+AX138</f>
        <v>0</v>
      </c>
      <c r="AW138" s="2">
        <f>H138*AO138</f>
        <v>0</v>
      </c>
      <c r="AX138" s="2">
        <f>H138*AP138</f>
        <v>0</v>
      </c>
      <c r="AY138" s="43" t="s">
        <v>1194</v>
      </c>
      <c r="AZ138" s="43" t="s">
        <v>462</v>
      </c>
      <c r="BA138" s="19" t="s">
        <v>1155</v>
      </c>
      <c r="BC138" s="2">
        <f>AW138+AX138</f>
        <v>0</v>
      </c>
      <c r="BD138" s="2">
        <f>I138/(100-BE138)*100</f>
        <v>0</v>
      </c>
      <c r="BE138" s="2">
        <v>0</v>
      </c>
      <c r="BF138" s="2">
        <f>138</f>
        <v>138</v>
      </c>
      <c r="BH138" s="2">
        <f>H138*AO138</f>
        <v>0</v>
      </c>
      <c r="BI138" s="2">
        <f>H138*AP138</f>
        <v>0</v>
      </c>
      <c r="BJ138" s="2">
        <f>H138*I138</f>
        <v>0</v>
      </c>
      <c r="BK138" s="2"/>
      <c r="BL138" s="2">
        <v>59</v>
      </c>
    </row>
    <row r="139" spans="1:13" ht="13.5" customHeight="1">
      <c r="A139" s="51"/>
      <c r="B139" s="32" t="s">
        <v>639</v>
      </c>
      <c r="C139" s="75" t="s">
        <v>881</v>
      </c>
      <c r="D139" s="76"/>
      <c r="E139" s="76"/>
      <c r="F139" s="76"/>
      <c r="G139" s="76"/>
      <c r="H139" s="76"/>
      <c r="I139" s="76"/>
      <c r="J139" s="76"/>
      <c r="K139" s="76"/>
      <c r="L139" s="76"/>
      <c r="M139" s="77"/>
    </row>
    <row r="140" spans="1:64" ht="15" customHeight="1">
      <c r="A140" s="15" t="s">
        <v>1188</v>
      </c>
      <c r="B140" s="14" t="s">
        <v>559</v>
      </c>
      <c r="C140" s="58" t="s">
        <v>1058</v>
      </c>
      <c r="D140" s="58"/>
      <c r="E140" s="58"/>
      <c r="F140" s="58"/>
      <c r="G140" s="14" t="s">
        <v>1189</v>
      </c>
      <c r="H140" s="2">
        <v>10</v>
      </c>
      <c r="I140" s="2">
        <v>0</v>
      </c>
      <c r="J140" s="2">
        <f>H140*AO140</f>
        <v>0</v>
      </c>
      <c r="K140" s="2">
        <f>H140*AP140</f>
        <v>0</v>
      </c>
      <c r="L140" s="2">
        <f>H140*I140</f>
        <v>0</v>
      </c>
      <c r="M140" s="7" t="s">
        <v>831</v>
      </c>
      <c r="Z140" s="2">
        <f>IF(AQ140="5",BJ140,0)</f>
        <v>0</v>
      </c>
      <c r="AB140" s="2">
        <f>IF(AQ140="1",BH140,0)</f>
        <v>0</v>
      </c>
      <c r="AC140" s="2">
        <f>IF(AQ140="1",BI140,0)</f>
        <v>0</v>
      </c>
      <c r="AD140" s="2">
        <f>IF(AQ140="7",BH140,0)</f>
        <v>0</v>
      </c>
      <c r="AE140" s="2">
        <f>IF(AQ140="7",BI140,0)</f>
        <v>0</v>
      </c>
      <c r="AF140" s="2">
        <f>IF(AQ140="2",BH140,0)</f>
        <v>0</v>
      </c>
      <c r="AG140" s="2">
        <f>IF(AQ140="2",BI140,0)</f>
        <v>0</v>
      </c>
      <c r="AH140" s="2">
        <f>IF(AQ140="0",BJ140,0)</f>
        <v>0</v>
      </c>
      <c r="AI140" s="19" t="s">
        <v>255</v>
      </c>
      <c r="AJ140" s="2">
        <f>IF(AN140=0,L140,0)</f>
        <v>0</v>
      </c>
      <c r="AK140" s="2">
        <f>IF(AN140=15,L140,0)</f>
        <v>0</v>
      </c>
      <c r="AL140" s="2">
        <f>IF(AN140=21,L140,0)</f>
        <v>0</v>
      </c>
      <c r="AN140" s="2">
        <v>15</v>
      </c>
      <c r="AO140" s="2">
        <f>I140*1</f>
        <v>0</v>
      </c>
      <c r="AP140" s="2">
        <f>I140*(1-1)</f>
        <v>0</v>
      </c>
      <c r="AQ140" s="43" t="s">
        <v>1205</v>
      </c>
      <c r="AV140" s="2">
        <f>AW140+AX140</f>
        <v>0</v>
      </c>
      <c r="AW140" s="2">
        <f>H140*AO140</f>
        <v>0</v>
      </c>
      <c r="AX140" s="2">
        <f>H140*AP140</f>
        <v>0</v>
      </c>
      <c r="AY140" s="43" t="s">
        <v>1194</v>
      </c>
      <c r="AZ140" s="43" t="s">
        <v>462</v>
      </c>
      <c r="BA140" s="19" t="s">
        <v>1155</v>
      </c>
      <c r="BC140" s="2">
        <f>AW140+AX140</f>
        <v>0</v>
      </c>
      <c r="BD140" s="2">
        <f>I140/(100-BE140)*100</f>
        <v>0</v>
      </c>
      <c r="BE140" s="2">
        <v>0</v>
      </c>
      <c r="BF140" s="2">
        <f>140</f>
        <v>140</v>
      </c>
      <c r="BH140" s="2">
        <f>H140*AO140</f>
        <v>0</v>
      </c>
      <c r="BI140" s="2">
        <f>H140*AP140</f>
        <v>0</v>
      </c>
      <c r="BJ140" s="2">
        <f>H140*I140</f>
        <v>0</v>
      </c>
      <c r="BK140" s="2"/>
      <c r="BL140" s="2">
        <v>59</v>
      </c>
    </row>
    <row r="141" spans="1:47" ht="15" customHeight="1">
      <c r="A141" s="48" t="s">
        <v>844</v>
      </c>
      <c r="B141" s="17" t="s">
        <v>875</v>
      </c>
      <c r="C141" s="74" t="s">
        <v>867</v>
      </c>
      <c r="D141" s="74"/>
      <c r="E141" s="74"/>
      <c r="F141" s="74"/>
      <c r="G141" s="40" t="s">
        <v>1110</v>
      </c>
      <c r="H141" s="40" t="s">
        <v>1110</v>
      </c>
      <c r="I141" s="40" t="s">
        <v>1110</v>
      </c>
      <c r="J141" s="23">
        <f>SUM(J142:J151)</f>
        <v>0</v>
      </c>
      <c r="K141" s="23">
        <f>SUM(K142:K151)</f>
        <v>0</v>
      </c>
      <c r="L141" s="23">
        <f>SUM(L142:L151)</f>
        <v>0</v>
      </c>
      <c r="M141" s="37" t="s">
        <v>844</v>
      </c>
      <c r="AI141" s="19" t="s">
        <v>255</v>
      </c>
      <c r="AS141" s="23">
        <f>SUM(AJ142:AJ151)</f>
        <v>0</v>
      </c>
      <c r="AT141" s="23">
        <f>SUM(AK142:AK151)</f>
        <v>0</v>
      </c>
      <c r="AU141" s="23">
        <f>SUM(AL142:AL151)</f>
        <v>0</v>
      </c>
    </row>
    <row r="142" spans="1:64" ht="15" customHeight="1">
      <c r="A142" s="15" t="s">
        <v>229</v>
      </c>
      <c r="B142" s="14" t="s">
        <v>144</v>
      </c>
      <c r="C142" s="58" t="s">
        <v>711</v>
      </c>
      <c r="D142" s="58"/>
      <c r="E142" s="58"/>
      <c r="F142" s="58"/>
      <c r="G142" s="14" t="s">
        <v>1189</v>
      </c>
      <c r="H142" s="2">
        <v>128.82</v>
      </c>
      <c r="I142" s="2">
        <v>0</v>
      </c>
      <c r="J142" s="2">
        <f>H142*AO142</f>
        <v>0</v>
      </c>
      <c r="K142" s="2">
        <f>H142*AP142</f>
        <v>0</v>
      </c>
      <c r="L142" s="2">
        <f>H142*I142</f>
        <v>0</v>
      </c>
      <c r="M142" s="7" t="s">
        <v>831</v>
      </c>
      <c r="Z142" s="2">
        <f>IF(AQ142="5",BJ142,0)</f>
        <v>0</v>
      </c>
      <c r="AB142" s="2">
        <f>IF(AQ142="1",BH142,0)</f>
        <v>0</v>
      </c>
      <c r="AC142" s="2">
        <f>IF(AQ142="1",BI142,0)</f>
        <v>0</v>
      </c>
      <c r="AD142" s="2">
        <f>IF(AQ142="7",BH142,0)</f>
        <v>0</v>
      </c>
      <c r="AE142" s="2">
        <f>IF(AQ142="7",BI142,0)</f>
        <v>0</v>
      </c>
      <c r="AF142" s="2">
        <f>IF(AQ142="2",BH142,0)</f>
        <v>0</v>
      </c>
      <c r="AG142" s="2">
        <f>IF(AQ142="2",BI142,0)</f>
        <v>0</v>
      </c>
      <c r="AH142" s="2">
        <f>IF(AQ142="0",BJ142,0)</f>
        <v>0</v>
      </c>
      <c r="AI142" s="19" t="s">
        <v>255</v>
      </c>
      <c r="AJ142" s="2">
        <f>IF(AN142=0,L142,0)</f>
        <v>0</v>
      </c>
      <c r="AK142" s="2">
        <f>IF(AN142=15,L142,0)</f>
        <v>0</v>
      </c>
      <c r="AL142" s="2">
        <f>IF(AN142=21,L142,0)</f>
        <v>0</v>
      </c>
      <c r="AN142" s="2">
        <v>15</v>
      </c>
      <c r="AO142" s="2">
        <f>I142*0.372452830188679</f>
        <v>0</v>
      </c>
      <c r="AP142" s="2">
        <f>I142*(1-0.372452830188679)</f>
        <v>0</v>
      </c>
      <c r="AQ142" s="43" t="s">
        <v>1205</v>
      </c>
      <c r="AV142" s="2">
        <f>AW142+AX142</f>
        <v>0</v>
      </c>
      <c r="AW142" s="2">
        <f>H142*AO142</f>
        <v>0</v>
      </c>
      <c r="AX142" s="2">
        <f>H142*AP142</f>
        <v>0</v>
      </c>
      <c r="AY142" s="43" t="s">
        <v>766</v>
      </c>
      <c r="AZ142" s="43" t="s">
        <v>770</v>
      </c>
      <c r="BA142" s="19" t="s">
        <v>1155</v>
      </c>
      <c r="BC142" s="2">
        <f>AW142+AX142</f>
        <v>0</v>
      </c>
      <c r="BD142" s="2">
        <f>I142/(100-BE142)*100</f>
        <v>0</v>
      </c>
      <c r="BE142" s="2">
        <v>0</v>
      </c>
      <c r="BF142" s="2">
        <f>142</f>
        <v>142</v>
      </c>
      <c r="BH142" s="2">
        <f>H142*AO142</f>
        <v>0</v>
      </c>
      <c r="BI142" s="2">
        <f>H142*AP142</f>
        <v>0</v>
      </c>
      <c r="BJ142" s="2">
        <f>H142*I142</f>
        <v>0</v>
      </c>
      <c r="BK142" s="2"/>
      <c r="BL142" s="2">
        <v>61</v>
      </c>
    </row>
    <row r="143" spans="1:13" ht="13.5" customHeight="1">
      <c r="A143" s="51"/>
      <c r="B143" s="32" t="s">
        <v>639</v>
      </c>
      <c r="C143" s="75" t="s">
        <v>1016</v>
      </c>
      <c r="D143" s="76"/>
      <c r="E143" s="76"/>
      <c r="F143" s="76"/>
      <c r="G143" s="76"/>
      <c r="H143" s="76"/>
      <c r="I143" s="76"/>
      <c r="J143" s="76"/>
      <c r="K143" s="76"/>
      <c r="L143" s="76"/>
      <c r="M143" s="77"/>
    </row>
    <row r="144" spans="1:64" ht="15" customHeight="1">
      <c r="A144" s="15" t="s">
        <v>250</v>
      </c>
      <c r="B144" s="14" t="s">
        <v>311</v>
      </c>
      <c r="C144" s="58" t="s">
        <v>334</v>
      </c>
      <c r="D144" s="58"/>
      <c r="E144" s="58"/>
      <c r="F144" s="58"/>
      <c r="G144" s="14" t="s">
        <v>1189</v>
      </c>
      <c r="H144" s="2">
        <v>1465.98</v>
      </c>
      <c r="I144" s="2">
        <v>0</v>
      </c>
      <c r="J144" s="2">
        <f>H144*AO144</f>
        <v>0</v>
      </c>
      <c r="K144" s="2">
        <f>H144*AP144</f>
        <v>0</v>
      </c>
      <c r="L144" s="2">
        <f>H144*I144</f>
        <v>0</v>
      </c>
      <c r="M144" s="7" t="s">
        <v>831</v>
      </c>
      <c r="Z144" s="2">
        <f>IF(AQ144="5",BJ144,0)</f>
        <v>0</v>
      </c>
      <c r="AB144" s="2">
        <f>IF(AQ144="1",BH144,0)</f>
        <v>0</v>
      </c>
      <c r="AC144" s="2">
        <f>IF(AQ144="1",BI144,0)</f>
        <v>0</v>
      </c>
      <c r="AD144" s="2">
        <f>IF(AQ144="7",BH144,0)</f>
        <v>0</v>
      </c>
      <c r="AE144" s="2">
        <f>IF(AQ144="7",BI144,0)</f>
        <v>0</v>
      </c>
      <c r="AF144" s="2">
        <f>IF(AQ144="2",BH144,0)</f>
        <v>0</v>
      </c>
      <c r="AG144" s="2">
        <f>IF(AQ144="2",BI144,0)</f>
        <v>0</v>
      </c>
      <c r="AH144" s="2">
        <f>IF(AQ144="0",BJ144,0)</f>
        <v>0</v>
      </c>
      <c r="AI144" s="19" t="s">
        <v>255</v>
      </c>
      <c r="AJ144" s="2">
        <f>IF(AN144=0,L144,0)</f>
        <v>0</v>
      </c>
      <c r="AK144" s="2">
        <f>IF(AN144=15,L144,0)</f>
        <v>0</v>
      </c>
      <c r="AL144" s="2">
        <f>IF(AN144=21,L144,0)</f>
        <v>0</v>
      </c>
      <c r="AN144" s="2">
        <v>15</v>
      </c>
      <c r="AO144" s="2">
        <f>I144*0.359518042742078</f>
        <v>0</v>
      </c>
      <c r="AP144" s="2">
        <f>I144*(1-0.359518042742078)</f>
        <v>0</v>
      </c>
      <c r="AQ144" s="43" t="s">
        <v>1205</v>
      </c>
      <c r="AV144" s="2">
        <f>AW144+AX144</f>
        <v>0</v>
      </c>
      <c r="AW144" s="2">
        <f>H144*AO144</f>
        <v>0</v>
      </c>
      <c r="AX144" s="2">
        <f>H144*AP144</f>
        <v>0</v>
      </c>
      <c r="AY144" s="43" t="s">
        <v>766</v>
      </c>
      <c r="AZ144" s="43" t="s">
        <v>770</v>
      </c>
      <c r="BA144" s="19" t="s">
        <v>1155</v>
      </c>
      <c r="BC144" s="2">
        <f>AW144+AX144</f>
        <v>0</v>
      </c>
      <c r="BD144" s="2">
        <f>I144/(100-BE144)*100</f>
        <v>0</v>
      </c>
      <c r="BE144" s="2">
        <v>0</v>
      </c>
      <c r="BF144" s="2">
        <f>144</f>
        <v>144</v>
      </c>
      <c r="BH144" s="2">
        <f>H144*AO144</f>
        <v>0</v>
      </c>
      <c r="BI144" s="2">
        <f>H144*AP144</f>
        <v>0</v>
      </c>
      <c r="BJ144" s="2">
        <f>H144*I144</f>
        <v>0</v>
      </c>
      <c r="BK144" s="2"/>
      <c r="BL144" s="2">
        <v>61</v>
      </c>
    </row>
    <row r="145" spans="1:13" ht="13.5" customHeight="1">
      <c r="A145" s="51"/>
      <c r="B145" s="32" t="s">
        <v>639</v>
      </c>
      <c r="C145" s="75" t="s">
        <v>453</v>
      </c>
      <c r="D145" s="76"/>
      <c r="E145" s="76"/>
      <c r="F145" s="76"/>
      <c r="G145" s="76"/>
      <c r="H145" s="76"/>
      <c r="I145" s="76"/>
      <c r="J145" s="76"/>
      <c r="K145" s="76"/>
      <c r="L145" s="76"/>
      <c r="M145" s="77"/>
    </row>
    <row r="146" spans="1:64" ht="15" customHeight="1">
      <c r="A146" s="15" t="s">
        <v>1236</v>
      </c>
      <c r="B146" s="14" t="s">
        <v>980</v>
      </c>
      <c r="C146" s="58" t="s">
        <v>159</v>
      </c>
      <c r="D146" s="58"/>
      <c r="E146" s="58"/>
      <c r="F146" s="58"/>
      <c r="G146" s="14" t="s">
        <v>1189</v>
      </c>
      <c r="H146" s="2">
        <v>27.99</v>
      </c>
      <c r="I146" s="2">
        <v>0</v>
      </c>
      <c r="J146" s="2">
        <f>H146*AO146</f>
        <v>0</v>
      </c>
      <c r="K146" s="2">
        <f>H146*AP146</f>
        <v>0</v>
      </c>
      <c r="L146" s="2">
        <f>H146*I146</f>
        <v>0</v>
      </c>
      <c r="M146" s="7" t="s">
        <v>831</v>
      </c>
      <c r="Z146" s="2">
        <f>IF(AQ146="5",BJ146,0)</f>
        <v>0</v>
      </c>
      <c r="AB146" s="2">
        <f>IF(AQ146="1",BH146,0)</f>
        <v>0</v>
      </c>
      <c r="AC146" s="2">
        <f>IF(AQ146="1",BI146,0)</f>
        <v>0</v>
      </c>
      <c r="AD146" s="2">
        <f>IF(AQ146="7",BH146,0)</f>
        <v>0</v>
      </c>
      <c r="AE146" s="2">
        <f>IF(AQ146="7",BI146,0)</f>
        <v>0</v>
      </c>
      <c r="AF146" s="2">
        <f>IF(AQ146="2",BH146,0)</f>
        <v>0</v>
      </c>
      <c r="AG146" s="2">
        <f>IF(AQ146="2",BI146,0)</f>
        <v>0</v>
      </c>
      <c r="AH146" s="2">
        <f>IF(AQ146="0",BJ146,0)</f>
        <v>0</v>
      </c>
      <c r="AI146" s="19" t="s">
        <v>255</v>
      </c>
      <c r="AJ146" s="2">
        <f>IF(AN146=0,L146,0)</f>
        <v>0</v>
      </c>
      <c r="AK146" s="2">
        <f>IF(AN146=15,L146,0)</f>
        <v>0</v>
      </c>
      <c r="AL146" s="2">
        <f>IF(AN146=21,L146,0)</f>
        <v>0</v>
      </c>
      <c r="AN146" s="2">
        <v>15</v>
      </c>
      <c r="AO146" s="2">
        <f>I146*0.254537309425838</f>
        <v>0</v>
      </c>
      <c r="AP146" s="2">
        <f>I146*(1-0.254537309425838)</f>
        <v>0</v>
      </c>
      <c r="AQ146" s="43" t="s">
        <v>1205</v>
      </c>
      <c r="AV146" s="2">
        <f>AW146+AX146</f>
        <v>0</v>
      </c>
      <c r="AW146" s="2">
        <f>H146*AO146</f>
        <v>0</v>
      </c>
      <c r="AX146" s="2">
        <f>H146*AP146</f>
        <v>0</v>
      </c>
      <c r="AY146" s="43" t="s">
        <v>766</v>
      </c>
      <c r="AZ146" s="43" t="s">
        <v>770</v>
      </c>
      <c r="BA146" s="19" t="s">
        <v>1155</v>
      </c>
      <c r="BC146" s="2">
        <f>AW146+AX146</f>
        <v>0</v>
      </c>
      <c r="BD146" s="2">
        <f>I146/(100-BE146)*100</f>
        <v>0</v>
      </c>
      <c r="BE146" s="2">
        <v>0</v>
      </c>
      <c r="BF146" s="2">
        <f>146</f>
        <v>146</v>
      </c>
      <c r="BH146" s="2">
        <f>H146*AO146</f>
        <v>0</v>
      </c>
      <c r="BI146" s="2">
        <f>H146*AP146</f>
        <v>0</v>
      </c>
      <c r="BJ146" s="2">
        <f>H146*I146</f>
        <v>0</v>
      </c>
      <c r="BK146" s="2"/>
      <c r="BL146" s="2">
        <v>61</v>
      </c>
    </row>
    <row r="147" spans="1:64" ht="15" customHeight="1">
      <c r="A147" s="15" t="s">
        <v>727</v>
      </c>
      <c r="B147" s="14" t="s">
        <v>887</v>
      </c>
      <c r="C147" s="58" t="s">
        <v>667</v>
      </c>
      <c r="D147" s="58"/>
      <c r="E147" s="58"/>
      <c r="F147" s="58"/>
      <c r="G147" s="14" t="s">
        <v>1189</v>
      </c>
      <c r="H147" s="2">
        <v>45</v>
      </c>
      <c r="I147" s="2">
        <v>0</v>
      </c>
      <c r="J147" s="2">
        <f>H147*AO147</f>
        <v>0</v>
      </c>
      <c r="K147" s="2">
        <f>H147*AP147</f>
        <v>0</v>
      </c>
      <c r="L147" s="2">
        <f>H147*I147</f>
        <v>0</v>
      </c>
      <c r="M147" s="7" t="s">
        <v>831</v>
      </c>
      <c r="Z147" s="2">
        <f>IF(AQ147="5",BJ147,0)</f>
        <v>0</v>
      </c>
      <c r="AB147" s="2">
        <f>IF(AQ147="1",BH147,0)</f>
        <v>0</v>
      </c>
      <c r="AC147" s="2">
        <f>IF(AQ147="1",BI147,0)</f>
        <v>0</v>
      </c>
      <c r="AD147" s="2">
        <f>IF(AQ147="7",BH147,0)</f>
        <v>0</v>
      </c>
      <c r="AE147" s="2">
        <f>IF(AQ147="7",BI147,0)</f>
        <v>0</v>
      </c>
      <c r="AF147" s="2">
        <f>IF(AQ147="2",BH147,0)</f>
        <v>0</v>
      </c>
      <c r="AG147" s="2">
        <f>IF(AQ147="2",BI147,0)</f>
        <v>0</v>
      </c>
      <c r="AH147" s="2">
        <f>IF(AQ147="0",BJ147,0)</f>
        <v>0</v>
      </c>
      <c r="AI147" s="19" t="s">
        <v>255</v>
      </c>
      <c r="AJ147" s="2">
        <f>IF(AN147=0,L147,0)</f>
        <v>0</v>
      </c>
      <c r="AK147" s="2">
        <f>IF(AN147=15,L147,0)</f>
        <v>0</v>
      </c>
      <c r="AL147" s="2">
        <f>IF(AN147=21,L147,0)</f>
        <v>0</v>
      </c>
      <c r="AN147" s="2">
        <v>15</v>
      </c>
      <c r="AO147" s="2">
        <f>I147*0.149920215643143</f>
        <v>0</v>
      </c>
      <c r="AP147" s="2">
        <f>I147*(1-0.149920215643143)</f>
        <v>0</v>
      </c>
      <c r="AQ147" s="43" t="s">
        <v>1205</v>
      </c>
      <c r="AV147" s="2">
        <f>AW147+AX147</f>
        <v>0</v>
      </c>
      <c r="AW147" s="2">
        <f>H147*AO147</f>
        <v>0</v>
      </c>
      <c r="AX147" s="2">
        <f>H147*AP147</f>
        <v>0</v>
      </c>
      <c r="AY147" s="43" t="s">
        <v>766</v>
      </c>
      <c r="AZ147" s="43" t="s">
        <v>770</v>
      </c>
      <c r="BA147" s="19" t="s">
        <v>1155</v>
      </c>
      <c r="BC147" s="2">
        <f>AW147+AX147</f>
        <v>0</v>
      </c>
      <c r="BD147" s="2">
        <f>I147/(100-BE147)*100</f>
        <v>0</v>
      </c>
      <c r="BE147" s="2">
        <v>0</v>
      </c>
      <c r="BF147" s="2">
        <f>147</f>
        <v>147</v>
      </c>
      <c r="BH147" s="2">
        <f>H147*AO147</f>
        <v>0</v>
      </c>
      <c r="BI147" s="2">
        <f>H147*AP147</f>
        <v>0</v>
      </c>
      <c r="BJ147" s="2">
        <f>H147*I147</f>
        <v>0</v>
      </c>
      <c r="BK147" s="2"/>
      <c r="BL147" s="2">
        <v>61</v>
      </c>
    </row>
    <row r="148" spans="1:64" ht="15" customHeight="1">
      <c r="A148" s="15" t="s">
        <v>610</v>
      </c>
      <c r="B148" s="14" t="s">
        <v>832</v>
      </c>
      <c r="C148" s="58" t="s">
        <v>1028</v>
      </c>
      <c r="D148" s="58"/>
      <c r="E148" s="58"/>
      <c r="F148" s="58"/>
      <c r="G148" s="14" t="s">
        <v>1189</v>
      </c>
      <c r="H148" s="2">
        <v>97.397</v>
      </c>
      <c r="I148" s="2">
        <v>0</v>
      </c>
      <c r="J148" s="2">
        <f>H148*AO148</f>
        <v>0</v>
      </c>
      <c r="K148" s="2">
        <f>H148*AP148</f>
        <v>0</v>
      </c>
      <c r="L148" s="2">
        <f>H148*I148</f>
        <v>0</v>
      </c>
      <c r="M148" s="7" t="s">
        <v>831</v>
      </c>
      <c r="Z148" s="2">
        <f>IF(AQ148="5",BJ148,0)</f>
        <v>0</v>
      </c>
      <c r="AB148" s="2">
        <f>IF(AQ148="1",BH148,0)</f>
        <v>0</v>
      </c>
      <c r="AC148" s="2">
        <f>IF(AQ148="1",BI148,0)</f>
        <v>0</v>
      </c>
      <c r="AD148" s="2">
        <f>IF(AQ148="7",BH148,0)</f>
        <v>0</v>
      </c>
      <c r="AE148" s="2">
        <f>IF(AQ148="7",BI148,0)</f>
        <v>0</v>
      </c>
      <c r="AF148" s="2">
        <f>IF(AQ148="2",BH148,0)</f>
        <v>0</v>
      </c>
      <c r="AG148" s="2">
        <f>IF(AQ148="2",BI148,0)</f>
        <v>0</v>
      </c>
      <c r="AH148" s="2">
        <f>IF(AQ148="0",BJ148,0)</f>
        <v>0</v>
      </c>
      <c r="AI148" s="19" t="s">
        <v>255</v>
      </c>
      <c r="AJ148" s="2">
        <f>IF(AN148=0,L148,0)</f>
        <v>0</v>
      </c>
      <c r="AK148" s="2">
        <f>IF(AN148=15,L148,0)</f>
        <v>0</v>
      </c>
      <c r="AL148" s="2">
        <f>IF(AN148=21,L148,0)</f>
        <v>0</v>
      </c>
      <c r="AN148" s="2">
        <v>15</v>
      </c>
      <c r="AO148" s="2">
        <f>I148*0.34212579003798</f>
        <v>0</v>
      </c>
      <c r="AP148" s="2">
        <f>I148*(1-0.34212579003798)</f>
        <v>0</v>
      </c>
      <c r="AQ148" s="43" t="s">
        <v>1205</v>
      </c>
      <c r="AV148" s="2">
        <f>AW148+AX148</f>
        <v>0</v>
      </c>
      <c r="AW148" s="2">
        <f>H148*AO148</f>
        <v>0</v>
      </c>
      <c r="AX148" s="2">
        <f>H148*AP148</f>
        <v>0</v>
      </c>
      <c r="AY148" s="43" t="s">
        <v>766</v>
      </c>
      <c r="AZ148" s="43" t="s">
        <v>770</v>
      </c>
      <c r="BA148" s="19" t="s">
        <v>1155</v>
      </c>
      <c r="BC148" s="2">
        <f>AW148+AX148</f>
        <v>0</v>
      </c>
      <c r="BD148" s="2">
        <f>I148/(100-BE148)*100</f>
        <v>0</v>
      </c>
      <c r="BE148" s="2">
        <v>0</v>
      </c>
      <c r="BF148" s="2">
        <f>148</f>
        <v>148</v>
      </c>
      <c r="BH148" s="2">
        <f>H148*AO148</f>
        <v>0</v>
      </c>
      <c r="BI148" s="2">
        <f>H148*AP148</f>
        <v>0</v>
      </c>
      <c r="BJ148" s="2">
        <f>H148*I148</f>
        <v>0</v>
      </c>
      <c r="BK148" s="2"/>
      <c r="BL148" s="2">
        <v>61</v>
      </c>
    </row>
    <row r="149" spans="1:64" ht="15" customHeight="1">
      <c r="A149" s="15" t="s">
        <v>796</v>
      </c>
      <c r="B149" s="14" t="s">
        <v>370</v>
      </c>
      <c r="C149" s="58" t="s">
        <v>1347</v>
      </c>
      <c r="D149" s="58"/>
      <c r="E149" s="58"/>
      <c r="F149" s="58"/>
      <c r="G149" s="14" t="s">
        <v>1189</v>
      </c>
      <c r="H149" s="2">
        <v>28.627</v>
      </c>
      <c r="I149" s="2">
        <v>0</v>
      </c>
      <c r="J149" s="2">
        <f>H149*AO149</f>
        <v>0</v>
      </c>
      <c r="K149" s="2">
        <f>H149*AP149</f>
        <v>0</v>
      </c>
      <c r="L149" s="2">
        <f>H149*I149</f>
        <v>0</v>
      </c>
      <c r="M149" s="7" t="s">
        <v>831</v>
      </c>
      <c r="Z149" s="2">
        <f>IF(AQ149="5",BJ149,0)</f>
        <v>0</v>
      </c>
      <c r="AB149" s="2">
        <f>IF(AQ149="1",BH149,0)</f>
        <v>0</v>
      </c>
      <c r="AC149" s="2">
        <f>IF(AQ149="1",BI149,0)</f>
        <v>0</v>
      </c>
      <c r="AD149" s="2">
        <f>IF(AQ149="7",BH149,0)</f>
        <v>0</v>
      </c>
      <c r="AE149" s="2">
        <f>IF(AQ149="7",BI149,0)</f>
        <v>0</v>
      </c>
      <c r="AF149" s="2">
        <f>IF(AQ149="2",BH149,0)</f>
        <v>0</v>
      </c>
      <c r="AG149" s="2">
        <f>IF(AQ149="2",BI149,0)</f>
        <v>0</v>
      </c>
      <c r="AH149" s="2">
        <f>IF(AQ149="0",BJ149,0)</f>
        <v>0</v>
      </c>
      <c r="AI149" s="19" t="s">
        <v>255</v>
      </c>
      <c r="AJ149" s="2">
        <f>IF(AN149=0,L149,0)</f>
        <v>0</v>
      </c>
      <c r="AK149" s="2">
        <f>IF(AN149=15,L149,0)</f>
        <v>0</v>
      </c>
      <c r="AL149" s="2">
        <f>IF(AN149=21,L149,0)</f>
        <v>0</v>
      </c>
      <c r="AN149" s="2">
        <v>15</v>
      </c>
      <c r="AO149" s="2">
        <f>I149*0.28406707442907</f>
        <v>0</v>
      </c>
      <c r="AP149" s="2">
        <f>I149*(1-0.28406707442907)</f>
        <v>0</v>
      </c>
      <c r="AQ149" s="43" t="s">
        <v>1205</v>
      </c>
      <c r="AV149" s="2">
        <f>AW149+AX149</f>
        <v>0</v>
      </c>
      <c r="AW149" s="2">
        <f>H149*AO149</f>
        <v>0</v>
      </c>
      <c r="AX149" s="2">
        <f>H149*AP149</f>
        <v>0</v>
      </c>
      <c r="AY149" s="43" t="s">
        <v>766</v>
      </c>
      <c r="AZ149" s="43" t="s">
        <v>770</v>
      </c>
      <c r="BA149" s="19" t="s">
        <v>1155</v>
      </c>
      <c r="BC149" s="2">
        <f>AW149+AX149</f>
        <v>0</v>
      </c>
      <c r="BD149" s="2">
        <f>I149/(100-BE149)*100</f>
        <v>0</v>
      </c>
      <c r="BE149" s="2">
        <v>0</v>
      </c>
      <c r="BF149" s="2">
        <f>149</f>
        <v>149</v>
      </c>
      <c r="BH149" s="2">
        <f>H149*AO149</f>
        <v>0</v>
      </c>
      <c r="BI149" s="2">
        <f>H149*AP149</f>
        <v>0</v>
      </c>
      <c r="BJ149" s="2">
        <f>H149*I149</f>
        <v>0</v>
      </c>
      <c r="BK149" s="2"/>
      <c r="BL149" s="2">
        <v>61</v>
      </c>
    </row>
    <row r="150" spans="1:13" ht="13.5" customHeight="1">
      <c r="A150" s="51"/>
      <c r="B150" s="32" t="s">
        <v>639</v>
      </c>
      <c r="C150" s="75" t="s">
        <v>491</v>
      </c>
      <c r="D150" s="76"/>
      <c r="E150" s="76"/>
      <c r="F150" s="76"/>
      <c r="G150" s="76"/>
      <c r="H150" s="76"/>
      <c r="I150" s="76"/>
      <c r="J150" s="76"/>
      <c r="K150" s="76"/>
      <c r="L150" s="76"/>
      <c r="M150" s="77"/>
    </row>
    <row r="151" spans="1:64" ht="15" customHeight="1">
      <c r="A151" s="15" t="s">
        <v>52</v>
      </c>
      <c r="B151" s="14" t="s">
        <v>936</v>
      </c>
      <c r="C151" s="58" t="s">
        <v>404</v>
      </c>
      <c r="D151" s="58"/>
      <c r="E151" s="58"/>
      <c r="F151" s="58"/>
      <c r="G151" s="14" t="s">
        <v>1189</v>
      </c>
      <c r="H151" s="2">
        <v>28.627</v>
      </c>
      <c r="I151" s="2">
        <v>0</v>
      </c>
      <c r="J151" s="2">
        <f>H151*AO151</f>
        <v>0</v>
      </c>
      <c r="K151" s="2">
        <f>H151*AP151</f>
        <v>0</v>
      </c>
      <c r="L151" s="2">
        <f>H151*I151</f>
        <v>0</v>
      </c>
      <c r="M151" s="7" t="s">
        <v>831</v>
      </c>
      <c r="Z151" s="2">
        <f>IF(AQ151="5",BJ151,0)</f>
        <v>0</v>
      </c>
      <c r="AB151" s="2">
        <f>IF(AQ151="1",BH151,0)</f>
        <v>0</v>
      </c>
      <c r="AC151" s="2">
        <f>IF(AQ151="1",BI151,0)</f>
        <v>0</v>
      </c>
      <c r="AD151" s="2">
        <f>IF(AQ151="7",BH151,0)</f>
        <v>0</v>
      </c>
      <c r="AE151" s="2">
        <f>IF(AQ151="7",BI151,0)</f>
        <v>0</v>
      </c>
      <c r="AF151" s="2">
        <f>IF(AQ151="2",BH151,0)</f>
        <v>0</v>
      </c>
      <c r="AG151" s="2">
        <f>IF(AQ151="2",BI151,0)</f>
        <v>0</v>
      </c>
      <c r="AH151" s="2">
        <f>IF(AQ151="0",BJ151,0)</f>
        <v>0</v>
      </c>
      <c r="AI151" s="19" t="s">
        <v>255</v>
      </c>
      <c r="AJ151" s="2">
        <f>IF(AN151=0,L151,0)</f>
        <v>0</v>
      </c>
      <c r="AK151" s="2">
        <f>IF(AN151=15,L151,0)</f>
        <v>0</v>
      </c>
      <c r="AL151" s="2">
        <f>IF(AN151=21,L151,0)</f>
        <v>0</v>
      </c>
      <c r="AN151" s="2">
        <v>15</v>
      </c>
      <c r="AO151" s="2">
        <f>I151*0.131946165547135</f>
        <v>0</v>
      </c>
      <c r="AP151" s="2">
        <f>I151*(1-0.131946165547135)</f>
        <v>0</v>
      </c>
      <c r="AQ151" s="43" t="s">
        <v>1205</v>
      </c>
      <c r="AV151" s="2">
        <f>AW151+AX151</f>
        <v>0</v>
      </c>
      <c r="AW151" s="2">
        <f>H151*AO151</f>
        <v>0</v>
      </c>
      <c r="AX151" s="2">
        <f>H151*AP151</f>
        <v>0</v>
      </c>
      <c r="AY151" s="43" t="s">
        <v>766</v>
      </c>
      <c r="AZ151" s="43" t="s">
        <v>770</v>
      </c>
      <c r="BA151" s="19" t="s">
        <v>1155</v>
      </c>
      <c r="BC151" s="2">
        <f>AW151+AX151</f>
        <v>0</v>
      </c>
      <c r="BD151" s="2">
        <f>I151/(100-BE151)*100</f>
        <v>0</v>
      </c>
      <c r="BE151" s="2">
        <v>0</v>
      </c>
      <c r="BF151" s="2">
        <f>151</f>
        <v>151</v>
      </c>
      <c r="BH151" s="2">
        <f>H151*AO151</f>
        <v>0</v>
      </c>
      <c r="BI151" s="2">
        <f>H151*AP151</f>
        <v>0</v>
      </c>
      <c r="BJ151" s="2">
        <f>H151*I151</f>
        <v>0</v>
      </c>
      <c r="BK151" s="2"/>
      <c r="BL151" s="2">
        <v>61</v>
      </c>
    </row>
    <row r="152" spans="1:13" ht="13.5" customHeight="1">
      <c r="A152" s="51"/>
      <c r="B152" s="32" t="s">
        <v>639</v>
      </c>
      <c r="C152" s="75" t="s">
        <v>103</v>
      </c>
      <c r="D152" s="76"/>
      <c r="E152" s="76"/>
      <c r="F152" s="76"/>
      <c r="G152" s="76"/>
      <c r="H152" s="76"/>
      <c r="I152" s="76"/>
      <c r="J152" s="76"/>
      <c r="K152" s="76"/>
      <c r="L152" s="76"/>
      <c r="M152" s="77"/>
    </row>
    <row r="153" spans="1:47" ht="15" customHeight="1">
      <c r="A153" s="48" t="s">
        <v>844</v>
      </c>
      <c r="B153" s="17" t="s">
        <v>1343</v>
      </c>
      <c r="C153" s="74" t="s">
        <v>982</v>
      </c>
      <c r="D153" s="74"/>
      <c r="E153" s="74"/>
      <c r="F153" s="74"/>
      <c r="G153" s="40" t="s">
        <v>1110</v>
      </c>
      <c r="H153" s="40" t="s">
        <v>1110</v>
      </c>
      <c r="I153" s="40" t="s">
        <v>1110</v>
      </c>
      <c r="J153" s="23">
        <f>SUM(J154:J161)</f>
        <v>0</v>
      </c>
      <c r="K153" s="23">
        <f>SUM(K154:K161)</f>
        <v>0</v>
      </c>
      <c r="L153" s="23">
        <f>SUM(L154:L161)</f>
        <v>0</v>
      </c>
      <c r="M153" s="37" t="s">
        <v>844</v>
      </c>
      <c r="AI153" s="19" t="s">
        <v>255</v>
      </c>
      <c r="AS153" s="23">
        <f>SUM(AJ154:AJ161)</f>
        <v>0</v>
      </c>
      <c r="AT153" s="23">
        <f>SUM(AK154:AK161)</f>
        <v>0</v>
      </c>
      <c r="AU153" s="23">
        <f>SUM(AL154:AL161)</f>
        <v>0</v>
      </c>
    </row>
    <row r="154" spans="1:64" ht="15" customHeight="1">
      <c r="A154" s="15" t="s">
        <v>1301</v>
      </c>
      <c r="B154" s="14" t="s">
        <v>931</v>
      </c>
      <c r="C154" s="58" t="s">
        <v>618</v>
      </c>
      <c r="D154" s="58"/>
      <c r="E154" s="58"/>
      <c r="F154" s="58"/>
      <c r="G154" s="14" t="s">
        <v>1189</v>
      </c>
      <c r="H154" s="2">
        <v>206.102</v>
      </c>
      <c r="I154" s="2">
        <v>0</v>
      </c>
      <c r="J154" s="2">
        <f>H154*AO154</f>
        <v>0</v>
      </c>
      <c r="K154" s="2">
        <f>H154*AP154</f>
        <v>0</v>
      </c>
      <c r="L154" s="2">
        <f>H154*I154</f>
        <v>0</v>
      </c>
      <c r="M154" s="7" t="s">
        <v>831</v>
      </c>
      <c r="Z154" s="2">
        <f>IF(AQ154="5",BJ154,0)</f>
        <v>0</v>
      </c>
      <c r="AB154" s="2">
        <f>IF(AQ154="1",BH154,0)</f>
        <v>0</v>
      </c>
      <c r="AC154" s="2">
        <f>IF(AQ154="1",BI154,0)</f>
        <v>0</v>
      </c>
      <c r="AD154" s="2">
        <f>IF(AQ154="7",BH154,0)</f>
        <v>0</v>
      </c>
      <c r="AE154" s="2">
        <f>IF(AQ154="7",BI154,0)</f>
        <v>0</v>
      </c>
      <c r="AF154" s="2">
        <f>IF(AQ154="2",BH154,0)</f>
        <v>0</v>
      </c>
      <c r="AG154" s="2">
        <f>IF(AQ154="2",BI154,0)</f>
        <v>0</v>
      </c>
      <c r="AH154" s="2">
        <f>IF(AQ154="0",BJ154,0)</f>
        <v>0</v>
      </c>
      <c r="AI154" s="19" t="s">
        <v>255</v>
      </c>
      <c r="AJ154" s="2">
        <f>IF(AN154=0,L154,0)</f>
        <v>0</v>
      </c>
      <c r="AK154" s="2">
        <f>IF(AN154=15,L154,0)</f>
        <v>0</v>
      </c>
      <c r="AL154" s="2">
        <f>IF(AN154=21,L154,0)</f>
        <v>0</v>
      </c>
      <c r="AN154" s="2">
        <v>15</v>
      </c>
      <c r="AO154" s="2">
        <f>I154*0.608413759172377</f>
        <v>0</v>
      </c>
      <c r="AP154" s="2">
        <f>I154*(1-0.608413759172377)</f>
        <v>0</v>
      </c>
      <c r="AQ154" s="43" t="s">
        <v>1205</v>
      </c>
      <c r="AV154" s="2">
        <f>AW154+AX154</f>
        <v>0</v>
      </c>
      <c r="AW154" s="2">
        <f>H154*AO154</f>
        <v>0</v>
      </c>
      <c r="AX154" s="2">
        <f>H154*AP154</f>
        <v>0</v>
      </c>
      <c r="AY154" s="43" t="s">
        <v>554</v>
      </c>
      <c r="AZ154" s="43" t="s">
        <v>770</v>
      </c>
      <c r="BA154" s="19" t="s">
        <v>1155</v>
      </c>
      <c r="BC154" s="2">
        <f>AW154+AX154</f>
        <v>0</v>
      </c>
      <c r="BD154" s="2">
        <f>I154/(100-BE154)*100</f>
        <v>0</v>
      </c>
      <c r="BE154" s="2">
        <v>0</v>
      </c>
      <c r="BF154" s="2">
        <f>154</f>
        <v>154</v>
      </c>
      <c r="BH154" s="2">
        <f>H154*AO154</f>
        <v>0</v>
      </c>
      <c r="BI154" s="2">
        <f>H154*AP154</f>
        <v>0</v>
      </c>
      <c r="BJ154" s="2">
        <f>H154*I154</f>
        <v>0</v>
      </c>
      <c r="BK154" s="2"/>
      <c r="BL154" s="2">
        <v>62</v>
      </c>
    </row>
    <row r="155" spans="1:13" ht="13.5" customHeight="1">
      <c r="A155" s="51"/>
      <c r="B155" s="32" t="s">
        <v>639</v>
      </c>
      <c r="C155" s="75" t="s">
        <v>119</v>
      </c>
      <c r="D155" s="76"/>
      <c r="E155" s="76"/>
      <c r="F155" s="76"/>
      <c r="G155" s="76"/>
      <c r="H155" s="76"/>
      <c r="I155" s="76"/>
      <c r="J155" s="76"/>
      <c r="K155" s="76"/>
      <c r="L155" s="76"/>
      <c r="M155" s="77"/>
    </row>
    <row r="156" spans="1:64" ht="15" customHeight="1">
      <c r="A156" s="15" t="s">
        <v>1290</v>
      </c>
      <c r="B156" s="14" t="s">
        <v>675</v>
      </c>
      <c r="C156" s="58" t="s">
        <v>618</v>
      </c>
      <c r="D156" s="58"/>
      <c r="E156" s="58"/>
      <c r="F156" s="58"/>
      <c r="G156" s="14" t="s">
        <v>1189</v>
      </c>
      <c r="H156" s="2">
        <v>55.36</v>
      </c>
      <c r="I156" s="2">
        <v>0</v>
      </c>
      <c r="J156" s="2">
        <f>H156*AO156</f>
        <v>0</v>
      </c>
      <c r="K156" s="2">
        <f>H156*AP156</f>
        <v>0</v>
      </c>
      <c r="L156" s="2">
        <f>H156*I156</f>
        <v>0</v>
      </c>
      <c r="M156" s="7" t="s">
        <v>831</v>
      </c>
      <c r="Z156" s="2">
        <f>IF(AQ156="5",BJ156,0)</f>
        <v>0</v>
      </c>
      <c r="AB156" s="2">
        <f>IF(AQ156="1",BH156,0)</f>
        <v>0</v>
      </c>
      <c r="AC156" s="2">
        <f>IF(AQ156="1",BI156,0)</f>
        <v>0</v>
      </c>
      <c r="AD156" s="2">
        <f>IF(AQ156="7",BH156,0)</f>
        <v>0</v>
      </c>
      <c r="AE156" s="2">
        <f>IF(AQ156="7",BI156,0)</f>
        <v>0</v>
      </c>
      <c r="AF156" s="2">
        <f>IF(AQ156="2",BH156,0)</f>
        <v>0</v>
      </c>
      <c r="AG156" s="2">
        <f>IF(AQ156="2",BI156,0)</f>
        <v>0</v>
      </c>
      <c r="AH156" s="2">
        <f>IF(AQ156="0",BJ156,0)</f>
        <v>0</v>
      </c>
      <c r="AI156" s="19" t="s">
        <v>255</v>
      </c>
      <c r="AJ156" s="2">
        <f>IF(AN156=0,L156,0)</f>
        <v>0</v>
      </c>
      <c r="AK156" s="2">
        <f>IF(AN156=15,L156,0)</f>
        <v>0</v>
      </c>
      <c r="AL156" s="2">
        <f>IF(AN156=21,L156,0)</f>
        <v>0</v>
      </c>
      <c r="AN156" s="2">
        <v>15</v>
      </c>
      <c r="AO156" s="2">
        <f>I156*0.623509432053209</f>
        <v>0</v>
      </c>
      <c r="AP156" s="2">
        <f>I156*(1-0.623509432053209)</f>
        <v>0</v>
      </c>
      <c r="AQ156" s="43" t="s">
        <v>1205</v>
      </c>
      <c r="AV156" s="2">
        <f>AW156+AX156</f>
        <v>0</v>
      </c>
      <c r="AW156" s="2">
        <f>H156*AO156</f>
        <v>0</v>
      </c>
      <c r="AX156" s="2">
        <f>H156*AP156</f>
        <v>0</v>
      </c>
      <c r="AY156" s="43" t="s">
        <v>554</v>
      </c>
      <c r="AZ156" s="43" t="s">
        <v>770</v>
      </c>
      <c r="BA156" s="19" t="s">
        <v>1155</v>
      </c>
      <c r="BC156" s="2">
        <f>AW156+AX156</f>
        <v>0</v>
      </c>
      <c r="BD156" s="2">
        <f>I156/(100-BE156)*100</f>
        <v>0</v>
      </c>
      <c r="BE156" s="2">
        <v>0</v>
      </c>
      <c r="BF156" s="2">
        <f>156</f>
        <v>156</v>
      </c>
      <c r="BH156" s="2">
        <f>H156*AO156</f>
        <v>0</v>
      </c>
      <c r="BI156" s="2">
        <f>H156*AP156</f>
        <v>0</v>
      </c>
      <c r="BJ156" s="2">
        <f>H156*I156</f>
        <v>0</v>
      </c>
      <c r="BK156" s="2"/>
      <c r="BL156" s="2">
        <v>62</v>
      </c>
    </row>
    <row r="157" spans="1:13" ht="13.5" customHeight="1">
      <c r="A157" s="51"/>
      <c r="B157" s="32" t="s">
        <v>639</v>
      </c>
      <c r="C157" s="75" t="s">
        <v>1210</v>
      </c>
      <c r="D157" s="76"/>
      <c r="E157" s="76"/>
      <c r="F157" s="76"/>
      <c r="G157" s="76"/>
      <c r="H157" s="76"/>
      <c r="I157" s="76"/>
      <c r="J157" s="76"/>
      <c r="K157" s="76"/>
      <c r="L157" s="76"/>
      <c r="M157" s="77"/>
    </row>
    <row r="158" spans="1:64" ht="15" customHeight="1">
      <c r="A158" s="15" t="s">
        <v>1288</v>
      </c>
      <c r="B158" s="14" t="s">
        <v>217</v>
      </c>
      <c r="C158" s="58" t="s">
        <v>1259</v>
      </c>
      <c r="D158" s="58"/>
      <c r="E158" s="58"/>
      <c r="F158" s="58"/>
      <c r="G158" s="14" t="s">
        <v>999</v>
      </c>
      <c r="H158" s="2">
        <v>156.205</v>
      </c>
      <c r="I158" s="2">
        <v>0</v>
      </c>
      <c r="J158" s="2">
        <f>H158*AO158</f>
        <v>0</v>
      </c>
      <c r="K158" s="2">
        <f>H158*AP158</f>
        <v>0</v>
      </c>
      <c r="L158" s="2">
        <f>H158*I158</f>
        <v>0</v>
      </c>
      <c r="M158" s="7" t="s">
        <v>831</v>
      </c>
      <c r="Z158" s="2">
        <f>IF(AQ158="5",BJ158,0)</f>
        <v>0</v>
      </c>
      <c r="AB158" s="2">
        <f>IF(AQ158="1",BH158,0)</f>
        <v>0</v>
      </c>
      <c r="AC158" s="2">
        <f>IF(AQ158="1",BI158,0)</f>
        <v>0</v>
      </c>
      <c r="AD158" s="2">
        <f>IF(AQ158="7",BH158,0)</f>
        <v>0</v>
      </c>
      <c r="AE158" s="2">
        <f>IF(AQ158="7",BI158,0)</f>
        <v>0</v>
      </c>
      <c r="AF158" s="2">
        <f>IF(AQ158="2",BH158,0)</f>
        <v>0</v>
      </c>
      <c r="AG158" s="2">
        <f>IF(AQ158="2",BI158,0)</f>
        <v>0</v>
      </c>
      <c r="AH158" s="2">
        <f>IF(AQ158="0",BJ158,0)</f>
        <v>0</v>
      </c>
      <c r="AI158" s="19" t="s">
        <v>255</v>
      </c>
      <c r="AJ158" s="2">
        <f>IF(AN158=0,L158,0)</f>
        <v>0</v>
      </c>
      <c r="AK158" s="2">
        <f>IF(AN158=15,L158,0)</f>
        <v>0</v>
      </c>
      <c r="AL158" s="2">
        <f>IF(AN158=21,L158,0)</f>
        <v>0</v>
      </c>
      <c r="AN158" s="2">
        <v>15</v>
      </c>
      <c r="AO158" s="2">
        <f>I158*0</f>
        <v>0</v>
      </c>
      <c r="AP158" s="2">
        <f>I158*(1-0)</f>
        <v>0</v>
      </c>
      <c r="AQ158" s="43" t="s">
        <v>1205</v>
      </c>
      <c r="AV158" s="2">
        <f>AW158+AX158</f>
        <v>0</v>
      </c>
      <c r="AW158" s="2">
        <f>H158*AO158</f>
        <v>0</v>
      </c>
      <c r="AX158" s="2">
        <f>H158*AP158</f>
        <v>0</v>
      </c>
      <c r="AY158" s="43" t="s">
        <v>554</v>
      </c>
      <c r="AZ158" s="43" t="s">
        <v>770</v>
      </c>
      <c r="BA158" s="19" t="s">
        <v>1155</v>
      </c>
      <c r="BC158" s="2">
        <f>AW158+AX158</f>
        <v>0</v>
      </c>
      <c r="BD158" s="2">
        <f>I158/(100-BE158)*100</f>
        <v>0</v>
      </c>
      <c r="BE158" s="2">
        <v>0</v>
      </c>
      <c r="BF158" s="2">
        <f>158</f>
        <v>158</v>
      </c>
      <c r="BH158" s="2">
        <f>H158*AO158</f>
        <v>0</v>
      </c>
      <c r="BI158" s="2">
        <f>H158*AP158</f>
        <v>0</v>
      </c>
      <c r="BJ158" s="2">
        <f>H158*I158</f>
        <v>0</v>
      </c>
      <c r="BK158" s="2"/>
      <c r="BL158" s="2">
        <v>62</v>
      </c>
    </row>
    <row r="159" spans="1:64" ht="15" customHeight="1">
      <c r="A159" s="15" t="s">
        <v>50</v>
      </c>
      <c r="B159" s="14" t="s">
        <v>644</v>
      </c>
      <c r="C159" s="58" t="s">
        <v>161</v>
      </c>
      <c r="D159" s="58"/>
      <c r="E159" s="58"/>
      <c r="F159" s="58"/>
      <c r="G159" s="14" t="s">
        <v>999</v>
      </c>
      <c r="H159" s="2">
        <v>24</v>
      </c>
      <c r="I159" s="2">
        <v>0</v>
      </c>
      <c r="J159" s="2">
        <f>H159*AO159</f>
        <v>0</v>
      </c>
      <c r="K159" s="2">
        <f>H159*AP159</f>
        <v>0</v>
      </c>
      <c r="L159" s="2">
        <f>H159*I159</f>
        <v>0</v>
      </c>
      <c r="M159" s="7" t="s">
        <v>831</v>
      </c>
      <c r="Z159" s="2">
        <f>IF(AQ159="5",BJ159,0)</f>
        <v>0</v>
      </c>
      <c r="AB159" s="2">
        <f>IF(AQ159="1",BH159,0)</f>
        <v>0</v>
      </c>
      <c r="AC159" s="2">
        <f>IF(AQ159="1",BI159,0)</f>
        <v>0</v>
      </c>
      <c r="AD159" s="2">
        <f>IF(AQ159="7",BH159,0)</f>
        <v>0</v>
      </c>
      <c r="AE159" s="2">
        <f>IF(AQ159="7",BI159,0)</f>
        <v>0</v>
      </c>
      <c r="AF159" s="2">
        <f>IF(AQ159="2",BH159,0)</f>
        <v>0</v>
      </c>
      <c r="AG159" s="2">
        <f>IF(AQ159="2",BI159,0)</f>
        <v>0</v>
      </c>
      <c r="AH159" s="2">
        <f>IF(AQ159="0",BJ159,0)</f>
        <v>0</v>
      </c>
      <c r="AI159" s="19" t="s">
        <v>255</v>
      </c>
      <c r="AJ159" s="2">
        <f>IF(AN159=0,L159,0)</f>
        <v>0</v>
      </c>
      <c r="AK159" s="2">
        <f>IF(AN159=15,L159,0)</f>
        <v>0</v>
      </c>
      <c r="AL159" s="2">
        <f>IF(AN159=21,L159,0)</f>
        <v>0</v>
      </c>
      <c r="AN159" s="2">
        <v>15</v>
      </c>
      <c r="AO159" s="2">
        <f>I159*1</f>
        <v>0</v>
      </c>
      <c r="AP159" s="2">
        <f>I159*(1-1)</f>
        <v>0</v>
      </c>
      <c r="AQ159" s="43" t="s">
        <v>1205</v>
      </c>
      <c r="AV159" s="2">
        <f>AW159+AX159</f>
        <v>0</v>
      </c>
      <c r="AW159" s="2">
        <f>H159*AO159</f>
        <v>0</v>
      </c>
      <c r="AX159" s="2">
        <f>H159*AP159</f>
        <v>0</v>
      </c>
      <c r="AY159" s="43" t="s">
        <v>554</v>
      </c>
      <c r="AZ159" s="43" t="s">
        <v>770</v>
      </c>
      <c r="BA159" s="19" t="s">
        <v>1155</v>
      </c>
      <c r="BC159" s="2">
        <f>AW159+AX159</f>
        <v>0</v>
      </c>
      <c r="BD159" s="2">
        <f>I159/(100-BE159)*100</f>
        <v>0</v>
      </c>
      <c r="BE159" s="2">
        <v>0</v>
      </c>
      <c r="BF159" s="2">
        <f>159</f>
        <v>159</v>
      </c>
      <c r="BH159" s="2">
        <f>H159*AO159</f>
        <v>0</v>
      </c>
      <c r="BI159" s="2">
        <f>H159*AP159</f>
        <v>0</v>
      </c>
      <c r="BJ159" s="2">
        <f>H159*I159</f>
        <v>0</v>
      </c>
      <c r="BK159" s="2"/>
      <c r="BL159" s="2">
        <v>62</v>
      </c>
    </row>
    <row r="160" spans="1:64" ht="15" customHeight="1">
      <c r="A160" s="15" t="s">
        <v>0</v>
      </c>
      <c r="B160" s="14" t="s">
        <v>983</v>
      </c>
      <c r="C160" s="58" t="s">
        <v>34</v>
      </c>
      <c r="D160" s="58"/>
      <c r="E160" s="58"/>
      <c r="F160" s="58"/>
      <c r="G160" s="14" t="s">
        <v>999</v>
      </c>
      <c r="H160" s="2">
        <v>140</v>
      </c>
      <c r="I160" s="2">
        <v>0</v>
      </c>
      <c r="J160" s="2">
        <f>H160*AO160</f>
        <v>0</v>
      </c>
      <c r="K160" s="2">
        <f>H160*AP160</f>
        <v>0</v>
      </c>
      <c r="L160" s="2">
        <f>H160*I160</f>
        <v>0</v>
      </c>
      <c r="M160" s="7" t="s">
        <v>831</v>
      </c>
      <c r="Z160" s="2">
        <f>IF(AQ160="5",BJ160,0)</f>
        <v>0</v>
      </c>
      <c r="AB160" s="2">
        <f>IF(AQ160="1",BH160,0)</f>
        <v>0</v>
      </c>
      <c r="AC160" s="2">
        <f>IF(AQ160="1",BI160,0)</f>
        <v>0</v>
      </c>
      <c r="AD160" s="2">
        <f>IF(AQ160="7",BH160,0)</f>
        <v>0</v>
      </c>
      <c r="AE160" s="2">
        <f>IF(AQ160="7",BI160,0)</f>
        <v>0</v>
      </c>
      <c r="AF160" s="2">
        <f>IF(AQ160="2",BH160,0)</f>
        <v>0</v>
      </c>
      <c r="AG160" s="2">
        <f>IF(AQ160="2",BI160,0)</f>
        <v>0</v>
      </c>
      <c r="AH160" s="2">
        <f>IF(AQ160="0",BJ160,0)</f>
        <v>0</v>
      </c>
      <c r="AI160" s="19" t="s">
        <v>255</v>
      </c>
      <c r="AJ160" s="2">
        <f>IF(AN160=0,L160,0)</f>
        <v>0</v>
      </c>
      <c r="AK160" s="2">
        <f>IF(AN160=15,L160,0)</f>
        <v>0</v>
      </c>
      <c r="AL160" s="2">
        <f>IF(AN160=21,L160,0)</f>
        <v>0</v>
      </c>
      <c r="AN160" s="2">
        <v>15</v>
      </c>
      <c r="AO160" s="2">
        <f>I160*1</f>
        <v>0</v>
      </c>
      <c r="AP160" s="2">
        <f>I160*(1-1)</f>
        <v>0</v>
      </c>
      <c r="AQ160" s="43" t="s">
        <v>1205</v>
      </c>
      <c r="AV160" s="2">
        <f>AW160+AX160</f>
        <v>0</v>
      </c>
      <c r="AW160" s="2">
        <f>H160*AO160</f>
        <v>0</v>
      </c>
      <c r="AX160" s="2">
        <f>H160*AP160</f>
        <v>0</v>
      </c>
      <c r="AY160" s="43" t="s">
        <v>554</v>
      </c>
      <c r="AZ160" s="43" t="s">
        <v>770</v>
      </c>
      <c r="BA160" s="19" t="s">
        <v>1155</v>
      </c>
      <c r="BC160" s="2">
        <f>AW160+AX160</f>
        <v>0</v>
      </c>
      <c r="BD160" s="2">
        <f>I160/(100-BE160)*100</f>
        <v>0</v>
      </c>
      <c r="BE160" s="2">
        <v>0</v>
      </c>
      <c r="BF160" s="2">
        <f>160</f>
        <v>160</v>
      </c>
      <c r="BH160" s="2">
        <f>H160*AO160</f>
        <v>0</v>
      </c>
      <c r="BI160" s="2">
        <f>H160*AP160</f>
        <v>0</v>
      </c>
      <c r="BJ160" s="2">
        <f>H160*I160</f>
        <v>0</v>
      </c>
      <c r="BK160" s="2"/>
      <c r="BL160" s="2">
        <v>62</v>
      </c>
    </row>
    <row r="161" spans="1:64" ht="15" customHeight="1">
      <c r="A161" s="15" t="s">
        <v>1093</v>
      </c>
      <c r="B161" s="14" t="s">
        <v>658</v>
      </c>
      <c r="C161" s="58" t="s">
        <v>1109</v>
      </c>
      <c r="D161" s="58"/>
      <c r="E161" s="58"/>
      <c r="F161" s="58"/>
      <c r="G161" s="14" t="s">
        <v>1189</v>
      </c>
      <c r="H161" s="2">
        <v>97.397</v>
      </c>
      <c r="I161" s="2">
        <v>0</v>
      </c>
      <c r="J161" s="2">
        <f>H161*AO161</f>
        <v>0</v>
      </c>
      <c r="K161" s="2">
        <f>H161*AP161</f>
        <v>0</v>
      </c>
      <c r="L161" s="2">
        <f>H161*I161</f>
        <v>0</v>
      </c>
      <c r="M161" s="7" t="s">
        <v>831</v>
      </c>
      <c r="Z161" s="2">
        <f>IF(AQ161="5",BJ161,0)</f>
        <v>0</v>
      </c>
      <c r="AB161" s="2">
        <f>IF(AQ161="1",BH161,0)</f>
        <v>0</v>
      </c>
      <c r="AC161" s="2">
        <f>IF(AQ161="1",BI161,0)</f>
        <v>0</v>
      </c>
      <c r="AD161" s="2">
        <f>IF(AQ161="7",BH161,0)</f>
        <v>0</v>
      </c>
      <c r="AE161" s="2">
        <f>IF(AQ161="7",BI161,0)</f>
        <v>0</v>
      </c>
      <c r="AF161" s="2">
        <f>IF(AQ161="2",BH161,0)</f>
        <v>0</v>
      </c>
      <c r="AG161" s="2">
        <f>IF(AQ161="2",BI161,0)</f>
        <v>0</v>
      </c>
      <c r="AH161" s="2">
        <f>IF(AQ161="0",BJ161,0)</f>
        <v>0</v>
      </c>
      <c r="AI161" s="19" t="s">
        <v>255</v>
      </c>
      <c r="AJ161" s="2">
        <f>IF(AN161=0,L161,0)</f>
        <v>0</v>
      </c>
      <c r="AK161" s="2">
        <f>IF(AN161=15,L161,0)</f>
        <v>0</v>
      </c>
      <c r="AL161" s="2">
        <f>IF(AN161=21,L161,0)</f>
        <v>0</v>
      </c>
      <c r="AN161" s="2">
        <v>15</v>
      </c>
      <c r="AO161" s="2">
        <f>I161*0.343284363379106</f>
        <v>0</v>
      </c>
      <c r="AP161" s="2">
        <f>I161*(1-0.343284363379106)</f>
        <v>0</v>
      </c>
      <c r="AQ161" s="43" t="s">
        <v>1205</v>
      </c>
      <c r="AV161" s="2">
        <f>AW161+AX161</f>
        <v>0</v>
      </c>
      <c r="AW161" s="2">
        <f>H161*AO161</f>
        <v>0</v>
      </c>
      <c r="AX161" s="2">
        <f>H161*AP161</f>
        <v>0</v>
      </c>
      <c r="AY161" s="43" t="s">
        <v>554</v>
      </c>
      <c r="AZ161" s="43" t="s">
        <v>770</v>
      </c>
      <c r="BA161" s="19" t="s">
        <v>1155</v>
      </c>
      <c r="BC161" s="2">
        <f>AW161+AX161</f>
        <v>0</v>
      </c>
      <c r="BD161" s="2">
        <f>I161/(100-BE161)*100</f>
        <v>0</v>
      </c>
      <c r="BE161" s="2">
        <v>0</v>
      </c>
      <c r="BF161" s="2">
        <f>161</f>
        <v>161</v>
      </c>
      <c r="BH161" s="2">
        <f>H161*AO161</f>
        <v>0</v>
      </c>
      <c r="BI161" s="2">
        <f>H161*AP161</f>
        <v>0</v>
      </c>
      <c r="BJ161" s="2">
        <f>H161*I161</f>
        <v>0</v>
      </c>
      <c r="BK161" s="2"/>
      <c r="BL161" s="2">
        <v>62</v>
      </c>
    </row>
    <row r="162" spans="1:47" ht="15" customHeight="1">
      <c r="A162" s="48" t="s">
        <v>844</v>
      </c>
      <c r="B162" s="17" t="s">
        <v>296</v>
      </c>
      <c r="C162" s="74" t="s">
        <v>1228</v>
      </c>
      <c r="D162" s="74"/>
      <c r="E162" s="74"/>
      <c r="F162" s="74"/>
      <c r="G162" s="40" t="s">
        <v>1110</v>
      </c>
      <c r="H162" s="40" t="s">
        <v>1110</v>
      </c>
      <c r="I162" s="40" t="s">
        <v>1110</v>
      </c>
      <c r="J162" s="23">
        <f>SUM(J163:J165)</f>
        <v>0</v>
      </c>
      <c r="K162" s="23">
        <f>SUM(K163:K165)</f>
        <v>0</v>
      </c>
      <c r="L162" s="23">
        <f>SUM(L163:L165)</f>
        <v>0</v>
      </c>
      <c r="M162" s="37" t="s">
        <v>844</v>
      </c>
      <c r="AI162" s="19" t="s">
        <v>255</v>
      </c>
      <c r="AS162" s="23">
        <f>SUM(AJ163:AJ165)</f>
        <v>0</v>
      </c>
      <c r="AT162" s="23">
        <f>SUM(AK163:AK165)</f>
        <v>0</v>
      </c>
      <c r="AU162" s="23">
        <f>SUM(AL163:AL165)</f>
        <v>0</v>
      </c>
    </row>
    <row r="163" spans="1:64" ht="15" customHeight="1">
      <c r="A163" s="15" t="s">
        <v>149</v>
      </c>
      <c r="B163" s="14" t="s">
        <v>410</v>
      </c>
      <c r="C163" s="58" t="s">
        <v>13</v>
      </c>
      <c r="D163" s="58"/>
      <c r="E163" s="58"/>
      <c r="F163" s="58"/>
      <c r="G163" s="14" t="s">
        <v>1165</v>
      </c>
      <c r="H163" s="2">
        <v>10.01</v>
      </c>
      <c r="I163" s="2">
        <v>0</v>
      </c>
      <c r="J163" s="2">
        <f>H163*AO163</f>
        <v>0</v>
      </c>
      <c r="K163" s="2">
        <f>H163*AP163</f>
        <v>0</v>
      </c>
      <c r="L163" s="2">
        <f>H163*I163</f>
        <v>0</v>
      </c>
      <c r="M163" s="7" t="s">
        <v>831</v>
      </c>
      <c r="Z163" s="2">
        <f>IF(AQ163="5",BJ163,0)</f>
        <v>0</v>
      </c>
      <c r="AB163" s="2">
        <f>IF(AQ163="1",BH163,0)</f>
        <v>0</v>
      </c>
      <c r="AC163" s="2">
        <f>IF(AQ163="1",BI163,0)</f>
        <v>0</v>
      </c>
      <c r="AD163" s="2">
        <f>IF(AQ163="7",BH163,0)</f>
        <v>0</v>
      </c>
      <c r="AE163" s="2">
        <f>IF(AQ163="7",BI163,0)</f>
        <v>0</v>
      </c>
      <c r="AF163" s="2">
        <f>IF(AQ163="2",BH163,0)</f>
        <v>0</v>
      </c>
      <c r="AG163" s="2">
        <f>IF(AQ163="2",BI163,0)</f>
        <v>0</v>
      </c>
      <c r="AH163" s="2">
        <f>IF(AQ163="0",BJ163,0)</f>
        <v>0</v>
      </c>
      <c r="AI163" s="19" t="s">
        <v>255</v>
      </c>
      <c r="AJ163" s="2">
        <f>IF(AN163=0,L163,0)</f>
        <v>0</v>
      </c>
      <c r="AK163" s="2">
        <f>IF(AN163=15,L163,0)</f>
        <v>0</v>
      </c>
      <c r="AL163" s="2">
        <f>IF(AN163=21,L163,0)</f>
        <v>0</v>
      </c>
      <c r="AN163" s="2">
        <v>15</v>
      </c>
      <c r="AO163" s="2">
        <f>I163*0.666632989704911</f>
        <v>0</v>
      </c>
      <c r="AP163" s="2">
        <f>I163*(1-0.666632989704911)</f>
        <v>0</v>
      </c>
      <c r="AQ163" s="43" t="s">
        <v>1205</v>
      </c>
      <c r="AV163" s="2">
        <f>AW163+AX163</f>
        <v>0</v>
      </c>
      <c r="AW163" s="2">
        <f>H163*AO163</f>
        <v>0</v>
      </c>
      <c r="AX163" s="2">
        <f>H163*AP163</f>
        <v>0</v>
      </c>
      <c r="AY163" s="43" t="s">
        <v>1100</v>
      </c>
      <c r="AZ163" s="43" t="s">
        <v>770</v>
      </c>
      <c r="BA163" s="19" t="s">
        <v>1155</v>
      </c>
      <c r="BC163" s="2">
        <f>AW163+AX163</f>
        <v>0</v>
      </c>
      <c r="BD163" s="2">
        <f>I163/(100-BE163)*100</f>
        <v>0</v>
      </c>
      <c r="BE163" s="2">
        <v>0</v>
      </c>
      <c r="BF163" s="2">
        <f>163</f>
        <v>163</v>
      </c>
      <c r="BH163" s="2">
        <f>H163*AO163</f>
        <v>0</v>
      </c>
      <c r="BI163" s="2">
        <f>H163*AP163</f>
        <v>0</v>
      </c>
      <c r="BJ163" s="2">
        <f>H163*I163</f>
        <v>0</v>
      </c>
      <c r="BK163" s="2"/>
      <c r="BL163" s="2">
        <v>63</v>
      </c>
    </row>
    <row r="164" spans="1:13" ht="13.5" customHeight="1">
      <c r="A164" s="51"/>
      <c r="B164" s="32" t="s">
        <v>639</v>
      </c>
      <c r="C164" s="75" t="s">
        <v>467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7"/>
    </row>
    <row r="165" spans="1:64" ht="15" customHeight="1">
      <c r="A165" s="15" t="s">
        <v>505</v>
      </c>
      <c r="B165" s="14" t="s">
        <v>410</v>
      </c>
      <c r="C165" s="58" t="s">
        <v>13</v>
      </c>
      <c r="D165" s="58"/>
      <c r="E165" s="58"/>
      <c r="F165" s="58"/>
      <c r="G165" s="14" t="s">
        <v>1165</v>
      </c>
      <c r="H165" s="2">
        <v>10.532</v>
      </c>
      <c r="I165" s="2">
        <v>0</v>
      </c>
      <c r="J165" s="2">
        <f>H165*AO165</f>
        <v>0</v>
      </c>
      <c r="K165" s="2">
        <f>H165*AP165</f>
        <v>0</v>
      </c>
      <c r="L165" s="2">
        <f>H165*I165</f>
        <v>0</v>
      </c>
      <c r="M165" s="7" t="s">
        <v>831</v>
      </c>
      <c r="Z165" s="2">
        <f>IF(AQ165="5",BJ165,0)</f>
        <v>0</v>
      </c>
      <c r="AB165" s="2">
        <f>IF(AQ165="1",BH165,0)</f>
        <v>0</v>
      </c>
      <c r="AC165" s="2">
        <f>IF(AQ165="1",BI165,0)</f>
        <v>0</v>
      </c>
      <c r="AD165" s="2">
        <f>IF(AQ165="7",BH165,0)</f>
        <v>0</v>
      </c>
      <c r="AE165" s="2">
        <f>IF(AQ165="7",BI165,0)</f>
        <v>0</v>
      </c>
      <c r="AF165" s="2">
        <f>IF(AQ165="2",BH165,0)</f>
        <v>0</v>
      </c>
      <c r="AG165" s="2">
        <f>IF(AQ165="2",BI165,0)</f>
        <v>0</v>
      </c>
      <c r="AH165" s="2">
        <f>IF(AQ165="0",BJ165,0)</f>
        <v>0</v>
      </c>
      <c r="AI165" s="19" t="s">
        <v>255</v>
      </c>
      <c r="AJ165" s="2">
        <f>IF(AN165=0,L165,0)</f>
        <v>0</v>
      </c>
      <c r="AK165" s="2">
        <f>IF(AN165=15,L165,0)</f>
        <v>0</v>
      </c>
      <c r="AL165" s="2">
        <f>IF(AN165=21,L165,0)</f>
        <v>0</v>
      </c>
      <c r="AN165" s="2">
        <v>15</v>
      </c>
      <c r="AO165" s="2">
        <f>I165*0.666633172941707</f>
        <v>0</v>
      </c>
      <c r="AP165" s="2">
        <f>I165*(1-0.666633172941707)</f>
        <v>0</v>
      </c>
      <c r="AQ165" s="43" t="s">
        <v>1205</v>
      </c>
      <c r="AV165" s="2">
        <f>AW165+AX165</f>
        <v>0</v>
      </c>
      <c r="AW165" s="2">
        <f>H165*AO165</f>
        <v>0</v>
      </c>
      <c r="AX165" s="2">
        <f>H165*AP165</f>
        <v>0</v>
      </c>
      <c r="AY165" s="43" t="s">
        <v>1100</v>
      </c>
      <c r="AZ165" s="43" t="s">
        <v>770</v>
      </c>
      <c r="BA165" s="19" t="s">
        <v>1155</v>
      </c>
      <c r="BC165" s="2">
        <f>AW165+AX165</f>
        <v>0</v>
      </c>
      <c r="BD165" s="2">
        <f>I165/(100-BE165)*100</f>
        <v>0</v>
      </c>
      <c r="BE165" s="2">
        <v>0</v>
      </c>
      <c r="BF165" s="2">
        <f>165</f>
        <v>165</v>
      </c>
      <c r="BH165" s="2">
        <f>H165*AO165</f>
        <v>0</v>
      </c>
      <c r="BI165" s="2">
        <f>H165*AP165</f>
        <v>0</v>
      </c>
      <c r="BJ165" s="2">
        <f>H165*I165</f>
        <v>0</v>
      </c>
      <c r="BK165" s="2"/>
      <c r="BL165" s="2">
        <v>63</v>
      </c>
    </row>
    <row r="166" spans="1:13" ht="13.5" customHeight="1">
      <c r="A166" s="51"/>
      <c r="B166" s="32" t="s">
        <v>639</v>
      </c>
      <c r="C166" s="75" t="s">
        <v>468</v>
      </c>
      <c r="D166" s="76"/>
      <c r="E166" s="76"/>
      <c r="F166" s="76"/>
      <c r="G166" s="76"/>
      <c r="H166" s="76"/>
      <c r="I166" s="76"/>
      <c r="J166" s="76"/>
      <c r="K166" s="76"/>
      <c r="L166" s="76"/>
      <c r="M166" s="77"/>
    </row>
    <row r="167" spans="1:47" ht="15" customHeight="1">
      <c r="A167" s="48" t="s">
        <v>844</v>
      </c>
      <c r="B167" s="17" t="s">
        <v>614</v>
      </c>
      <c r="C167" s="74" t="s">
        <v>1241</v>
      </c>
      <c r="D167" s="74"/>
      <c r="E167" s="74"/>
      <c r="F167" s="74"/>
      <c r="G167" s="40" t="s">
        <v>1110</v>
      </c>
      <c r="H167" s="40" t="s">
        <v>1110</v>
      </c>
      <c r="I167" s="40" t="s">
        <v>1110</v>
      </c>
      <c r="J167" s="23">
        <f>SUM(J168:J178)</f>
        <v>0</v>
      </c>
      <c r="K167" s="23">
        <f>SUM(K168:K178)</f>
        <v>0</v>
      </c>
      <c r="L167" s="23">
        <f>SUM(L168:L178)</f>
        <v>0</v>
      </c>
      <c r="M167" s="37" t="s">
        <v>844</v>
      </c>
      <c r="AI167" s="19" t="s">
        <v>255</v>
      </c>
      <c r="AS167" s="23">
        <f>SUM(AJ168:AJ178)</f>
        <v>0</v>
      </c>
      <c r="AT167" s="23">
        <f>SUM(AK168:AK178)</f>
        <v>0</v>
      </c>
      <c r="AU167" s="23">
        <f>SUM(AL168:AL178)</f>
        <v>0</v>
      </c>
    </row>
    <row r="168" spans="1:64" ht="15" customHeight="1">
      <c r="A168" s="15" t="s">
        <v>683</v>
      </c>
      <c r="B168" s="14" t="s">
        <v>448</v>
      </c>
      <c r="C168" s="58" t="s">
        <v>270</v>
      </c>
      <c r="D168" s="58"/>
      <c r="E168" s="58"/>
      <c r="F168" s="58"/>
      <c r="G168" s="14" t="s">
        <v>319</v>
      </c>
      <c r="H168" s="2">
        <v>3</v>
      </c>
      <c r="I168" s="2">
        <v>0</v>
      </c>
      <c r="J168" s="2">
        <f>H168*AO168</f>
        <v>0</v>
      </c>
      <c r="K168" s="2">
        <f>H168*AP168</f>
        <v>0</v>
      </c>
      <c r="L168" s="2">
        <f>H168*I168</f>
        <v>0</v>
      </c>
      <c r="M168" s="7" t="s">
        <v>831</v>
      </c>
      <c r="Z168" s="2">
        <f>IF(AQ168="5",BJ168,0)</f>
        <v>0</v>
      </c>
      <c r="AB168" s="2">
        <f>IF(AQ168="1",BH168,0)</f>
        <v>0</v>
      </c>
      <c r="AC168" s="2">
        <f>IF(AQ168="1",BI168,0)</f>
        <v>0</v>
      </c>
      <c r="AD168" s="2">
        <f>IF(AQ168="7",BH168,0)</f>
        <v>0</v>
      </c>
      <c r="AE168" s="2">
        <f>IF(AQ168="7",BI168,0)</f>
        <v>0</v>
      </c>
      <c r="AF168" s="2">
        <f>IF(AQ168="2",BH168,0)</f>
        <v>0</v>
      </c>
      <c r="AG168" s="2">
        <f>IF(AQ168="2",BI168,0)</f>
        <v>0</v>
      </c>
      <c r="AH168" s="2">
        <f>IF(AQ168="0",BJ168,0)</f>
        <v>0</v>
      </c>
      <c r="AI168" s="19" t="s">
        <v>255</v>
      </c>
      <c r="AJ168" s="2">
        <f>IF(AN168=0,L168,0)</f>
        <v>0</v>
      </c>
      <c r="AK168" s="2">
        <f>IF(AN168=15,L168,0)</f>
        <v>0</v>
      </c>
      <c r="AL168" s="2">
        <f>IF(AN168=21,L168,0)</f>
        <v>0</v>
      </c>
      <c r="AN168" s="2">
        <v>15</v>
      </c>
      <c r="AO168" s="2">
        <f>I168*0.832172922252011</f>
        <v>0</v>
      </c>
      <c r="AP168" s="2">
        <f>I168*(1-0.832172922252011)</f>
        <v>0</v>
      </c>
      <c r="AQ168" s="43" t="s">
        <v>1205</v>
      </c>
      <c r="AV168" s="2">
        <f>AW168+AX168</f>
        <v>0</v>
      </c>
      <c r="AW168" s="2">
        <f>H168*AO168</f>
        <v>0</v>
      </c>
      <c r="AX168" s="2">
        <f>H168*AP168</f>
        <v>0</v>
      </c>
      <c r="AY168" s="43" t="s">
        <v>821</v>
      </c>
      <c r="AZ168" s="43" t="s">
        <v>770</v>
      </c>
      <c r="BA168" s="19" t="s">
        <v>1155</v>
      </c>
      <c r="BC168" s="2">
        <f>AW168+AX168</f>
        <v>0</v>
      </c>
      <c r="BD168" s="2">
        <f>I168/(100-BE168)*100</f>
        <v>0</v>
      </c>
      <c r="BE168" s="2">
        <v>0</v>
      </c>
      <c r="BF168" s="2">
        <f>168</f>
        <v>168</v>
      </c>
      <c r="BH168" s="2">
        <f>H168*AO168</f>
        <v>0</v>
      </c>
      <c r="BI168" s="2">
        <f>H168*AP168</f>
        <v>0</v>
      </c>
      <c r="BJ168" s="2">
        <f>H168*I168</f>
        <v>0</v>
      </c>
      <c r="BK168" s="2"/>
      <c r="BL168" s="2">
        <v>64</v>
      </c>
    </row>
    <row r="169" spans="1:13" ht="13.5" customHeight="1">
      <c r="A169" s="51"/>
      <c r="B169" s="32" t="s">
        <v>639</v>
      </c>
      <c r="C169" s="75" t="s">
        <v>1320</v>
      </c>
      <c r="D169" s="76"/>
      <c r="E169" s="76"/>
      <c r="F169" s="76"/>
      <c r="G169" s="76"/>
      <c r="H169" s="76"/>
      <c r="I169" s="76"/>
      <c r="J169" s="76"/>
      <c r="K169" s="76"/>
      <c r="L169" s="76"/>
      <c r="M169" s="77"/>
    </row>
    <row r="170" spans="1:64" ht="15" customHeight="1">
      <c r="A170" s="15" t="s">
        <v>146</v>
      </c>
      <c r="B170" s="14" t="s">
        <v>619</v>
      </c>
      <c r="C170" s="58" t="s">
        <v>270</v>
      </c>
      <c r="D170" s="58"/>
      <c r="E170" s="58"/>
      <c r="F170" s="58"/>
      <c r="G170" s="14" t="s">
        <v>319</v>
      </c>
      <c r="H170" s="2">
        <v>9</v>
      </c>
      <c r="I170" s="2">
        <v>0</v>
      </c>
      <c r="J170" s="2">
        <f>H170*AO170</f>
        <v>0</v>
      </c>
      <c r="K170" s="2">
        <f>H170*AP170</f>
        <v>0</v>
      </c>
      <c r="L170" s="2">
        <f>H170*I170</f>
        <v>0</v>
      </c>
      <c r="M170" s="7" t="s">
        <v>831</v>
      </c>
      <c r="Z170" s="2">
        <f>IF(AQ170="5",BJ170,0)</f>
        <v>0</v>
      </c>
      <c r="AB170" s="2">
        <f>IF(AQ170="1",BH170,0)</f>
        <v>0</v>
      </c>
      <c r="AC170" s="2">
        <f>IF(AQ170="1",BI170,0)</f>
        <v>0</v>
      </c>
      <c r="AD170" s="2">
        <f>IF(AQ170="7",BH170,0)</f>
        <v>0</v>
      </c>
      <c r="AE170" s="2">
        <f>IF(AQ170="7",BI170,0)</f>
        <v>0</v>
      </c>
      <c r="AF170" s="2">
        <f>IF(AQ170="2",BH170,0)</f>
        <v>0</v>
      </c>
      <c r="AG170" s="2">
        <f>IF(AQ170="2",BI170,0)</f>
        <v>0</v>
      </c>
      <c r="AH170" s="2">
        <f>IF(AQ170="0",BJ170,0)</f>
        <v>0</v>
      </c>
      <c r="AI170" s="19" t="s">
        <v>255</v>
      </c>
      <c r="AJ170" s="2">
        <f>IF(AN170=0,L170,0)</f>
        <v>0</v>
      </c>
      <c r="AK170" s="2">
        <f>IF(AN170=15,L170,0)</f>
        <v>0</v>
      </c>
      <c r="AL170" s="2">
        <f>IF(AN170=21,L170,0)</f>
        <v>0</v>
      </c>
      <c r="AN170" s="2">
        <v>15</v>
      </c>
      <c r="AO170" s="2">
        <f>I170*0.832172922252011</f>
        <v>0</v>
      </c>
      <c r="AP170" s="2">
        <f>I170*(1-0.832172922252011)</f>
        <v>0</v>
      </c>
      <c r="AQ170" s="43" t="s">
        <v>1205</v>
      </c>
      <c r="AV170" s="2">
        <f>AW170+AX170</f>
        <v>0</v>
      </c>
      <c r="AW170" s="2">
        <f>H170*AO170</f>
        <v>0</v>
      </c>
      <c r="AX170" s="2">
        <f>H170*AP170</f>
        <v>0</v>
      </c>
      <c r="AY170" s="43" t="s">
        <v>821</v>
      </c>
      <c r="AZ170" s="43" t="s">
        <v>770</v>
      </c>
      <c r="BA170" s="19" t="s">
        <v>1155</v>
      </c>
      <c r="BC170" s="2">
        <f>AW170+AX170</f>
        <v>0</v>
      </c>
      <c r="BD170" s="2">
        <f>I170/(100-BE170)*100</f>
        <v>0</v>
      </c>
      <c r="BE170" s="2">
        <v>0</v>
      </c>
      <c r="BF170" s="2">
        <f>170</f>
        <v>170</v>
      </c>
      <c r="BH170" s="2">
        <f>H170*AO170</f>
        <v>0</v>
      </c>
      <c r="BI170" s="2">
        <f>H170*AP170</f>
        <v>0</v>
      </c>
      <c r="BJ170" s="2">
        <f>H170*I170</f>
        <v>0</v>
      </c>
      <c r="BK170" s="2"/>
      <c r="BL170" s="2">
        <v>64</v>
      </c>
    </row>
    <row r="171" spans="1:13" ht="13.5" customHeight="1">
      <c r="A171" s="51"/>
      <c r="B171" s="32" t="s">
        <v>639</v>
      </c>
      <c r="C171" s="75" t="s">
        <v>139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7"/>
    </row>
    <row r="172" spans="1:64" ht="15" customHeight="1">
      <c r="A172" s="15" t="s">
        <v>855</v>
      </c>
      <c r="B172" s="14" t="s">
        <v>429</v>
      </c>
      <c r="C172" s="58" t="s">
        <v>270</v>
      </c>
      <c r="D172" s="58"/>
      <c r="E172" s="58"/>
      <c r="F172" s="58"/>
      <c r="G172" s="14" t="s">
        <v>319</v>
      </c>
      <c r="H172" s="2">
        <v>15</v>
      </c>
      <c r="I172" s="2">
        <v>0</v>
      </c>
      <c r="J172" s="2">
        <f>H172*AO172</f>
        <v>0</v>
      </c>
      <c r="K172" s="2">
        <f>H172*AP172</f>
        <v>0</v>
      </c>
      <c r="L172" s="2">
        <f>H172*I172</f>
        <v>0</v>
      </c>
      <c r="M172" s="7" t="s">
        <v>831</v>
      </c>
      <c r="Z172" s="2">
        <f>IF(AQ172="5",BJ172,0)</f>
        <v>0</v>
      </c>
      <c r="AB172" s="2">
        <f>IF(AQ172="1",BH172,0)</f>
        <v>0</v>
      </c>
      <c r="AC172" s="2">
        <f>IF(AQ172="1",BI172,0)</f>
        <v>0</v>
      </c>
      <c r="AD172" s="2">
        <f>IF(AQ172="7",BH172,0)</f>
        <v>0</v>
      </c>
      <c r="AE172" s="2">
        <f>IF(AQ172="7",BI172,0)</f>
        <v>0</v>
      </c>
      <c r="AF172" s="2">
        <f>IF(AQ172="2",BH172,0)</f>
        <v>0</v>
      </c>
      <c r="AG172" s="2">
        <f>IF(AQ172="2",BI172,0)</f>
        <v>0</v>
      </c>
      <c r="AH172" s="2">
        <f>IF(AQ172="0",BJ172,0)</f>
        <v>0</v>
      </c>
      <c r="AI172" s="19" t="s">
        <v>255</v>
      </c>
      <c r="AJ172" s="2">
        <f>IF(AN172=0,L172,0)</f>
        <v>0</v>
      </c>
      <c r="AK172" s="2">
        <f>IF(AN172=15,L172,0)</f>
        <v>0</v>
      </c>
      <c r="AL172" s="2">
        <f>IF(AN172=21,L172,0)</f>
        <v>0</v>
      </c>
      <c r="AN172" s="2">
        <v>15</v>
      </c>
      <c r="AO172" s="2">
        <f>I172*0.832172922252011</f>
        <v>0</v>
      </c>
      <c r="AP172" s="2">
        <f>I172*(1-0.832172922252011)</f>
        <v>0</v>
      </c>
      <c r="AQ172" s="43" t="s">
        <v>1205</v>
      </c>
      <c r="AV172" s="2">
        <f>AW172+AX172</f>
        <v>0</v>
      </c>
      <c r="AW172" s="2">
        <f>H172*AO172</f>
        <v>0</v>
      </c>
      <c r="AX172" s="2">
        <f>H172*AP172</f>
        <v>0</v>
      </c>
      <c r="AY172" s="43" t="s">
        <v>821</v>
      </c>
      <c r="AZ172" s="43" t="s">
        <v>770</v>
      </c>
      <c r="BA172" s="19" t="s">
        <v>1155</v>
      </c>
      <c r="BC172" s="2">
        <f>AW172+AX172</f>
        <v>0</v>
      </c>
      <c r="BD172" s="2">
        <f>I172/(100-BE172)*100</f>
        <v>0</v>
      </c>
      <c r="BE172" s="2">
        <v>0</v>
      </c>
      <c r="BF172" s="2">
        <f>172</f>
        <v>172</v>
      </c>
      <c r="BH172" s="2">
        <f>H172*AO172</f>
        <v>0</v>
      </c>
      <c r="BI172" s="2">
        <f>H172*AP172</f>
        <v>0</v>
      </c>
      <c r="BJ172" s="2">
        <f>H172*I172</f>
        <v>0</v>
      </c>
      <c r="BK172" s="2"/>
      <c r="BL172" s="2">
        <v>64</v>
      </c>
    </row>
    <row r="173" spans="1:13" ht="13.5" customHeight="1">
      <c r="A173" s="51"/>
      <c r="B173" s="32" t="s">
        <v>639</v>
      </c>
      <c r="C173" s="75" t="s">
        <v>607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7"/>
    </row>
    <row r="174" spans="1:64" ht="15" customHeight="1">
      <c r="A174" s="15" t="s">
        <v>597</v>
      </c>
      <c r="B174" s="14" t="s">
        <v>136</v>
      </c>
      <c r="C174" s="58" t="s">
        <v>1140</v>
      </c>
      <c r="D174" s="58"/>
      <c r="E174" s="58"/>
      <c r="F174" s="58"/>
      <c r="G174" s="14" t="s">
        <v>319</v>
      </c>
      <c r="H174" s="2">
        <v>3</v>
      </c>
      <c r="I174" s="2">
        <v>0</v>
      </c>
      <c r="J174" s="2">
        <f>H174*AO174</f>
        <v>0</v>
      </c>
      <c r="K174" s="2">
        <f>H174*AP174</f>
        <v>0</v>
      </c>
      <c r="L174" s="2">
        <f>H174*I174</f>
        <v>0</v>
      </c>
      <c r="M174" s="7" t="s">
        <v>831</v>
      </c>
      <c r="Z174" s="2">
        <f>IF(AQ174="5",BJ174,0)</f>
        <v>0</v>
      </c>
      <c r="AB174" s="2">
        <f>IF(AQ174="1",BH174,0)</f>
        <v>0</v>
      </c>
      <c r="AC174" s="2">
        <f>IF(AQ174="1",BI174,0)</f>
        <v>0</v>
      </c>
      <c r="AD174" s="2">
        <f>IF(AQ174="7",BH174,0)</f>
        <v>0</v>
      </c>
      <c r="AE174" s="2">
        <f>IF(AQ174="7",BI174,0)</f>
        <v>0</v>
      </c>
      <c r="AF174" s="2">
        <f>IF(AQ174="2",BH174,0)</f>
        <v>0</v>
      </c>
      <c r="AG174" s="2">
        <f>IF(AQ174="2",BI174,0)</f>
        <v>0</v>
      </c>
      <c r="AH174" s="2">
        <f>IF(AQ174="0",BJ174,0)</f>
        <v>0</v>
      </c>
      <c r="AI174" s="19" t="s">
        <v>255</v>
      </c>
      <c r="AJ174" s="2">
        <f>IF(AN174=0,L174,0)</f>
        <v>0</v>
      </c>
      <c r="AK174" s="2">
        <f>IF(AN174=15,L174,0)</f>
        <v>0</v>
      </c>
      <c r="AL174" s="2">
        <f>IF(AN174=21,L174,0)</f>
        <v>0</v>
      </c>
      <c r="AN174" s="2">
        <v>15</v>
      </c>
      <c r="AO174" s="2">
        <f>I174*0.95979172894868</f>
        <v>0</v>
      </c>
      <c r="AP174" s="2">
        <f>I174*(1-0.95979172894868)</f>
        <v>0</v>
      </c>
      <c r="AQ174" s="43" t="s">
        <v>1205</v>
      </c>
      <c r="AV174" s="2">
        <f>AW174+AX174</f>
        <v>0</v>
      </c>
      <c r="AW174" s="2">
        <f>H174*AO174</f>
        <v>0</v>
      </c>
      <c r="AX174" s="2">
        <f>H174*AP174</f>
        <v>0</v>
      </c>
      <c r="AY174" s="43" t="s">
        <v>821</v>
      </c>
      <c r="AZ174" s="43" t="s">
        <v>770</v>
      </c>
      <c r="BA174" s="19" t="s">
        <v>1155</v>
      </c>
      <c r="BC174" s="2">
        <f>AW174+AX174</f>
        <v>0</v>
      </c>
      <c r="BD174" s="2">
        <f>I174/(100-BE174)*100</f>
        <v>0</v>
      </c>
      <c r="BE174" s="2">
        <v>0</v>
      </c>
      <c r="BF174" s="2">
        <f>174</f>
        <v>174</v>
      </c>
      <c r="BH174" s="2">
        <f>H174*AO174</f>
        <v>0</v>
      </c>
      <c r="BI174" s="2">
        <f>H174*AP174</f>
        <v>0</v>
      </c>
      <c r="BJ174" s="2">
        <f>H174*I174</f>
        <v>0</v>
      </c>
      <c r="BK174" s="2"/>
      <c r="BL174" s="2">
        <v>64</v>
      </c>
    </row>
    <row r="175" spans="1:13" ht="13.5" customHeight="1">
      <c r="A175" s="51"/>
      <c r="B175" s="32" t="s">
        <v>639</v>
      </c>
      <c r="C175" s="75" t="s">
        <v>2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7"/>
    </row>
    <row r="176" spans="1:64" ht="15" customHeight="1">
      <c r="A176" s="15" t="s">
        <v>985</v>
      </c>
      <c r="B176" s="14" t="s">
        <v>504</v>
      </c>
      <c r="C176" s="58" t="s">
        <v>1140</v>
      </c>
      <c r="D176" s="58"/>
      <c r="E176" s="58"/>
      <c r="F176" s="58"/>
      <c r="G176" s="14" t="s">
        <v>319</v>
      </c>
      <c r="H176" s="2">
        <v>3</v>
      </c>
      <c r="I176" s="2">
        <v>0</v>
      </c>
      <c r="J176" s="2">
        <f>H176*AO176</f>
        <v>0</v>
      </c>
      <c r="K176" s="2">
        <f>H176*AP176</f>
        <v>0</v>
      </c>
      <c r="L176" s="2">
        <f>H176*I176</f>
        <v>0</v>
      </c>
      <c r="M176" s="7" t="s">
        <v>831</v>
      </c>
      <c r="Z176" s="2">
        <f>IF(AQ176="5",BJ176,0)</f>
        <v>0</v>
      </c>
      <c r="AB176" s="2">
        <f>IF(AQ176="1",BH176,0)</f>
        <v>0</v>
      </c>
      <c r="AC176" s="2">
        <f>IF(AQ176="1",BI176,0)</f>
        <v>0</v>
      </c>
      <c r="AD176" s="2">
        <f>IF(AQ176="7",BH176,0)</f>
        <v>0</v>
      </c>
      <c r="AE176" s="2">
        <f>IF(AQ176="7",BI176,0)</f>
        <v>0</v>
      </c>
      <c r="AF176" s="2">
        <f>IF(AQ176="2",BH176,0)</f>
        <v>0</v>
      </c>
      <c r="AG176" s="2">
        <f>IF(AQ176="2",BI176,0)</f>
        <v>0</v>
      </c>
      <c r="AH176" s="2">
        <f>IF(AQ176="0",BJ176,0)</f>
        <v>0</v>
      </c>
      <c r="AI176" s="19" t="s">
        <v>255</v>
      </c>
      <c r="AJ176" s="2">
        <f>IF(AN176=0,L176,0)</f>
        <v>0</v>
      </c>
      <c r="AK176" s="2">
        <f>IF(AN176=15,L176,0)</f>
        <v>0</v>
      </c>
      <c r="AL176" s="2">
        <f>IF(AN176=21,L176,0)</f>
        <v>0</v>
      </c>
      <c r="AN176" s="2">
        <v>15</v>
      </c>
      <c r="AO176" s="2">
        <f>I176*0.964974826388889</f>
        <v>0</v>
      </c>
      <c r="AP176" s="2">
        <f>I176*(1-0.964974826388889)</f>
        <v>0</v>
      </c>
      <c r="AQ176" s="43" t="s">
        <v>1205</v>
      </c>
      <c r="AV176" s="2">
        <f>AW176+AX176</f>
        <v>0</v>
      </c>
      <c r="AW176" s="2">
        <f>H176*AO176</f>
        <v>0</v>
      </c>
      <c r="AX176" s="2">
        <f>H176*AP176</f>
        <v>0</v>
      </c>
      <c r="AY176" s="43" t="s">
        <v>821</v>
      </c>
      <c r="AZ176" s="43" t="s">
        <v>770</v>
      </c>
      <c r="BA176" s="19" t="s">
        <v>1155</v>
      </c>
      <c r="BC176" s="2">
        <f>AW176+AX176</f>
        <v>0</v>
      </c>
      <c r="BD176" s="2">
        <f>I176/(100-BE176)*100</f>
        <v>0</v>
      </c>
      <c r="BE176" s="2">
        <v>0</v>
      </c>
      <c r="BF176" s="2">
        <f>176</f>
        <v>176</v>
      </c>
      <c r="BH176" s="2">
        <f>H176*AO176</f>
        <v>0</v>
      </c>
      <c r="BI176" s="2">
        <f>H176*AP176</f>
        <v>0</v>
      </c>
      <c r="BJ176" s="2">
        <f>H176*I176</f>
        <v>0</v>
      </c>
      <c r="BK176" s="2"/>
      <c r="BL176" s="2">
        <v>64</v>
      </c>
    </row>
    <row r="177" spans="1:13" ht="13.5" customHeight="1">
      <c r="A177" s="51"/>
      <c r="B177" s="32" t="s">
        <v>639</v>
      </c>
      <c r="C177" s="75" t="s">
        <v>221</v>
      </c>
      <c r="D177" s="76"/>
      <c r="E177" s="76"/>
      <c r="F177" s="76"/>
      <c r="G177" s="76"/>
      <c r="H177" s="76"/>
      <c r="I177" s="76"/>
      <c r="J177" s="76"/>
      <c r="K177" s="76"/>
      <c r="L177" s="76"/>
      <c r="M177" s="77"/>
    </row>
    <row r="178" spans="1:64" ht="15" customHeight="1">
      <c r="A178" s="15" t="s">
        <v>1105</v>
      </c>
      <c r="B178" s="14" t="s">
        <v>142</v>
      </c>
      <c r="C178" s="58" t="s">
        <v>1169</v>
      </c>
      <c r="D178" s="58"/>
      <c r="E178" s="58"/>
      <c r="F178" s="58"/>
      <c r="G178" s="14" t="s">
        <v>999</v>
      </c>
      <c r="H178" s="2">
        <v>22.77</v>
      </c>
      <c r="I178" s="2">
        <v>0</v>
      </c>
      <c r="J178" s="2">
        <f>H178*AO178</f>
        <v>0</v>
      </c>
      <c r="K178" s="2">
        <f>H178*AP178</f>
        <v>0</v>
      </c>
      <c r="L178" s="2">
        <f>H178*I178</f>
        <v>0</v>
      </c>
      <c r="M178" s="7" t="s">
        <v>831</v>
      </c>
      <c r="Z178" s="2">
        <f>IF(AQ178="5",BJ178,0)</f>
        <v>0</v>
      </c>
      <c r="AB178" s="2">
        <f>IF(AQ178="1",BH178,0)</f>
        <v>0</v>
      </c>
      <c r="AC178" s="2">
        <f>IF(AQ178="1",BI178,0)</f>
        <v>0</v>
      </c>
      <c r="AD178" s="2">
        <f>IF(AQ178="7",BH178,0)</f>
        <v>0</v>
      </c>
      <c r="AE178" s="2">
        <f>IF(AQ178="7",BI178,0)</f>
        <v>0</v>
      </c>
      <c r="AF178" s="2">
        <f>IF(AQ178="2",BH178,0)</f>
        <v>0</v>
      </c>
      <c r="AG178" s="2">
        <f>IF(AQ178="2",BI178,0)</f>
        <v>0</v>
      </c>
      <c r="AH178" s="2">
        <f>IF(AQ178="0",BJ178,0)</f>
        <v>0</v>
      </c>
      <c r="AI178" s="19" t="s">
        <v>255</v>
      </c>
      <c r="AJ178" s="2">
        <f>IF(AN178=0,L178,0)</f>
        <v>0</v>
      </c>
      <c r="AK178" s="2">
        <f>IF(AN178=15,L178,0)</f>
        <v>0</v>
      </c>
      <c r="AL178" s="2">
        <f>IF(AN178=21,L178,0)</f>
        <v>0</v>
      </c>
      <c r="AN178" s="2">
        <v>15</v>
      </c>
      <c r="AO178" s="2">
        <f>I178*0.625304254302103</f>
        <v>0</v>
      </c>
      <c r="AP178" s="2">
        <f>I178*(1-0.625304254302103)</f>
        <v>0</v>
      </c>
      <c r="AQ178" s="43" t="s">
        <v>1205</v>
      </c>
      <c r="AV178" s="2">
        <f>AW178+AX178</f>
        <v>0</v>
      </c>
      <c r="AW178" s="2">
        <f>H178*AO178</f>
        <v>0</v>
      </c>
      <c r="AX178" s="2">
        <f>H178*AP178</f>
        <v>0</v>
      </c>
      <c r="AY178" s="43" t="s">
        <v>821</v>
      </c>
      <c r="AZ178" s="43" t="s">
        <v>770</v>
      </c>
      <c r="BA178" s="19" t="s">
        <v>1155</v>
      </c>
      <c r="BC178" s="2">
        <f>AW178+AX178</f>
        <v>0</v>
      </c>
      <c r="BD178" s="2">
        <f>I178/(100-BE178)*100</f>
        <v>0</v>
      </c>
      <c r="BE178" s="2">
        <v>0</v>
      </c>
      <c r="BF178" s="2">
        <f>178</f>
        <v>178</v>
      </c>
      <c r="BH178" s="2">
        <f>H178*AO178</f>
        <v>0</v>
      </c>
      <c r="BI178" s="2">
        <f>H178*AP178</f>
        <v>0</v>
      </c>
      <c r="BJ178" s="2">
        <f>H178*I178</f>
        <v>0</v>
      </c>
      <c r="BK178" s="2"/>
      <c r="BL178" s="2">
        <v>64</v>
      </c>
    </row>
    <row r="179" spans="1:13" ht="13.5" customHeight="1">
      <c r="A179" s="51"/>
      <c r="B179" s="32" t="s">
        <v>639</v>
      </c>
      <c r="C179" s="75" t="s">
        <v>786</v>
      </c>
      <c r="D179" s="76"/>
      <c r="E179" s="76"/>
      <c r="F179" s="76"/>
      <c r="G179" s="76"/>
      <c r="H179" s="76"/>
      <c r="I179" s="76"/>
      <c r="J179" s="76"/>
      <c r="K179" s="76"/>
      <c r="L179" s="76"/>
      <c r="M179" s="77"/>
    </row>
    <row r="180" spans="1:47" ht="15" customHeight="1">
      <c r="A180" s="48" t="s">
        <v>844</v>
      </c>
      <c r="B180" s="17" t="s">
        <v>1093</v>
      </c>
      <c r="C180" s="74" t="s">
        <v>497</v>
      </c>
      <c r="D180" s="74"/>
      <c r="E180" s="74"/>
      <c r="F180" s="74"/>
      <c r="G180" s="40" t="s">
        <v>1110</v>
      </c>
      <c r="H180" s="40" t="s">
        <v>1110</v>
      </c>
      <c r="I180" s="40" t="s">
        <v>1110</v>
      </c>
      <c r="J180" s="23">
        <f>SUM(J181:J181)</f>
        <v>0</v>
      </c>
      <c r="K180" s="23">
        <f>SUM(K181:K181)</f>
        <v>0</v>
      </c>
      <c r="L180" s="23">
        <f>SUM(L181:L181)</f>
        <v>0</v>
      </c>
      <c r="M180" s="37" t="s">
        <v>844</v>
      </c>
      <c r="AI180" s="19" t="s">
        <v>255</v>
      </c>
      <c r="AS180" s="23">
        <f>SUM(AJ181:AJ181)</f>
        <v>0</v>
      </c>
      <c r="AT180" s="23">
        <f>SUM(AK181:AK181)</f>
        <v>0</v>
      </c>
      <c r="AU180" s="23">
        <f>SUM(AL181:AL181)</f>
        <v>0</v>
      </c>
    </row>
    <row r="181" spans="1:64" ht="15" customHeight="1">
      <c r="A181" s="15" t="s">
        <v>1053</v>
      </c>
      <c r="B181" s="14" t="s">
        <v>271</v>
      </c>
      <c r="C181" s="58" t="s">
        <v>1098</v>
      </c>
      <c r="D181" s="58"/>
      <c r="E181" s="58"/>
      <c r="F181" s="58"/>
      <c r="G181" s="14" t="s">
        <v>1189</v>
      </c>
      <c r="H181" s="2">
        <v>17</v>
      </c>
      <c r="I181" s="2">
        <v>0</v>
      </c>
      <c r="J181" s="2">
        <f>H181*AO181</f>
        <v>0</v>
      </c>
      <c r="K181" s="2">
        <f>H181*AP181</f>
        <v>0</v>
      </c>
      <c r="L181" s="2">
        <f>H181*I181</f>
        <v>0</v>
      </c>
      <c r="M181" s="7" t="s">
        <v>831</v>
      </c>
      <c r="Z181" s="2">
        <f>IF(AQ181="5",BJ181,0)</f>
        <v>0</v>
      </c>
      <c r="AB181" s="2">
        <f>IF(AQ181="1",BH181,0)</f>
        <v>0</v>
      </c>
      <c r="AC181" s="2">
        <f>IF(AQ181="1",BI181,0)</f>
        <v>0</v>
      </c>
      <c r="AD181" s="2">
        <f>IF(AQ181="7",BH181,0)</f>
        <v>0</v>
      </c>
      <c r="AE181" s="2">
        <f>IF(AQ181="7",BI181,0)</f>
        <v>0</v>
      </c>
      <c r="AF181" s="2">
        <f>IF(AQ181="2",BH181,0)</f>
        <v>0</v>
      </c>
      <c r="AG181" s="2">
        <f>IF(AQ181="2",BI181,0)</f>
        <v>0</v>
      </c>
      <c r="AH181" s="2">
        <f>IF(AQ181="0",BJ181,0)</f>
        <v>0</v>
      </c>
      <c r="AI181" s="19" t="s">
        <v>255</v>
      </c>
      <c r="AJ181" s="2">
        <f>IF(AN181=0,L181,0)</f>
        <v>0</v>
      </c>
      <c r="AK181" s="2">
        <f>IF(AN181=15,L181,0)</f>
        <v>0</v>
      </c>
      <c r="AL181" s="2">
        <f>IF(AN181=21,L181,0)</f>
        <v>0</v>
      </c>
      <c r="AN181" s="2">
        <v>15</v>
      </c>
      <c r="AO181" s="2">
        <f>I181*0.69750743666017</f>
        <v>0</v>
      </c>
      <c r="AP181" s="2">
        <f>I181*(1-0.69750743666017)</f>
        <v>0</v>
      </c>
      <c r="AQ181" s="43" t="s">
        <v>1205</v>
      </c>
      <c r="AV181" s="2">
        <f>AW181+AX181</f>
        <v>0</v>
      </c>
      <c r="AW181" s="2">
        <f>H181*AO181</f>
        <v>0</v>
      </c>
      <c r="AX181" s="2">
        <f>H181*AP181</f>
        <v>0</v>
      </c>
      <c r="AY181" s="43" t="s">
        <v>1243</v>
      </c>
      <c r="AZ181" s="43" t="s">
        <v>1138</v>
      </c>
      <c r="BA181" s="19" t="s">
        <v>1155</v>
      </c>
      <c r="BC181" s="2">
        <f>AW181+AX181</f>
        <v>0</v>
      </c>
      <c r="BD181" s="2">
        <f>I181/(100-BE181)*100</f>
        <v>0</v>
      </c>
      <c r="BE181" s="2">
        <v>0</v>
      </c>
      <c r="BF181" s="2">
        <f>181</f>
        <v>181</v>
      </c>
      <c r="BH181" s="2">
        <f>H181*AO181</f>
        <v>0</v>
      </c>
      <c r="BI181" s="2">
        <f>H181*AP181</f>
        <v>0</v>
      </c>
      <c r="BJ181" s="2">
        <f>H181*I181</f>
        <v>0</v>
      </c>
      <c r="BK181" s="2"/>
      <c r="BL181" s="2">
        <v>93</v>
      </c>
    </row>
    <row r="182" spans="1:47" ht="15" customHeight="1">
      <c r="A182" s="48" t="s">
        <v>844</v>
      </c>
      <c r="B182" s="17" t="s">
        <v>149</v>
      </c>
      <c r="C182" s="74" t="s">
        <v>857</v>
      </c>
      <c r="D182" s="74"/>
      <c r="E182" s="74"/>
      <c r="F182" s="74"/>
      <c r="G182" s="40" t="s">
        <v>1110</v>
      </c>
      <c r="H182" s="40" t="s">
        <v>1110</v>
      </c>
      <c r="I182" s="40" t="s">
        <v>1110</v>
      </c>
      <c r="J182" s="23">
        <f>SUM(J183:J185)</f>
        <v>0</v>
      </c>
      <c r="K182" s="23">
        <f>SUM(K183:K185)</f>
        <v>0</v>
      </c>
      <c r="L182" s="23">
        <f>SUM(L183:L185)</f>
        <v>0</v>
      </c>
      <c r="M182" s="37" t="s">
        <v>844</v>
      </c>
      <c r="AI182" s="19" t="s">
        <v>255</v>
      </c>
      <c r="AS182" s="23">
        <f>SUM(AJ183:AJ185)</f>
        <v>0</v>
      </c>
      <c r="AT182" s="23">
        <f>SUM(AK183:AK185)</f>
        <v>0</v>
      </c>
      <c r="AU182" s="23">
        <f>SUM(AL183:AL185)</f>
        <v>0</v>
      </c>
    </row>
    <row r="183" spans="1:64" ht="15" customHeight="1">
      <c r="A183" s="15" t="s">
        <v>31</v>
      </c>
      <c r="B183" s="14" t="s">
        <v>38</v>
      </c>
      <c r="C183" s="58" t="s">
        <v>341</v>
      </c>
      <c r="D183" s="58"/>
      <c r="E183" s="58"/>
      <c r="F183" s="58"/>
      <c r="G183" s="14" t="s">
        <v>1189</v>
      </c>
      <c r="H183" s="2">
        <v>320</v>
      </c>
      <c r="I183" s="2">
        <v>0</v>
      </c>
      <c r="J183" s="2">
        <f>H183*AO183</f>
        <v>0</v>
      </c>
      <c r="K183" s="2">
        <f>H183*AP183</f>
        <v>0</v>
      </c>
      <c r="L183" s="2">
        <f>H183*I183</f>
        <v>0</v>
      </c>
      <c r="M183" s="7" t="s">
        <v>831</v>
      </c>
      <c r="Z183" s="2">
        <f>IF(AQ183="5",BJ183,0)</f>
        <v>0</v>
      </c>
      <c r="AB183" s="2">
        <f>IF(AQ183="1",BH183,0)</f>
        <v>0</v>
      </c>
      <c r="AC183" s="2">
        <f>IF(AQ183="1",BI183,0)</f>
        <v>0</v>
      </c>
      <c r="AD183" s="2">
        <f>IF(AQ183="7",BH183,0)</f>
        <v>0</v>
      </c>
      <c r="AE183" s="2">
        <f>IF(AQ183="7",BI183,0)</f>
        <v>0</v>
      </c>
      <c r="AF183" s="2">
        <f>IF(AQ183="2",BH183,0)</f>
        <v>0</v>
      </c>
      <c r="AG183" s="2">
        <f>IF(AQ183="2",BI183,0)</f>
        <v>0</v>
      </c>
      <c r="AH183" s="2">
        <f>IF(AQ183="0",BJ183,0)</f>
        <v>0</v>
      </c>
      <c r="AI183" s="19" t="s">
        <v>255</v>
      </c>
      <c r="AJ183" s="2">
        <f>IF(AN183=0,L183,0)</f>
        <v>0</v>
      </c>
      <c r="AK183" s="2">
        <f>IF(AN183=15,L183,0)</f>
        <v>0</v>
      </c>
      <c r="AL183" s="2">
        <f>IF(AN183=21,L183,0)</f>
        <v>0</v>
      </c>
      <c r="AN183" s="2">
        <v>15</v>
      </c>
      <c r="AO183" s="2">
        <f>I183*0.000131237040342266</f>
        <v>0</v>
      </c>
      <c r="AP183" s="2">
        <f>I183*(1-0.000131237040342266)</f>
        <v>0</v>
      </c>
      <c r="AQ183" s="43" t="s">
        <v>1205</v>
      </c>
      <c r="AV183" s="2">
        <f>AW183+AX183</f>
        <v>0</v>
      </c>
      <c r="AW183" s="2">
        <f>H183*AO183</f>
        <v>0</v>
      </c>
      <c r="AX183" s="2">
        <f>H183*AP183</f>
        <v>0</v>
      </c>
      <c r="AY183" s="43" t="s">
        <v>1329</v>
      </c>
      <c r="AZ183" s="43" t="s">
        <v>1138</v>
      </c>
      <c r="BA183" s="19" t="s">
        <v>1155</v>
      </c>
      <c r="BC183" s="2">
        <f>AW183+AX183</f>
        <v>0</v>
      </c>
      <c r="BD183" s="2">
        <f>I183/(100-BE183)*100</f>
        <v>0</v>
      </c>
      <c r="BE183" s="2">
        <v>0</v>
      </c>
      <c r="BF183" s="2">
        <f>183</f>
        <v>183</v>
      </c>
      <c r="BH183" s="2">
        <f>H183*AO183</f>
        <v>0</v>
      </c>
      <c r="BI183" s="2">
        <f>H183*AP183</f>
        <v>0</v>
      </c>
      <c r="BJ183" s="2">
        <f>H183*I183</f>
        <v>0</v>
      </c>
      <c r="BK183" s="2"/>
      <c r="BL183" s="2">
        <v>94</v>
      </c>
    </row>
    <row r="184" spans="1:13" ht="13.5" customHeight="1">
      <c r="A184" s="51"/>
      <c r="B184" s="32" t="s">
        <v>639</v>
      </c>
      <c r="C184" s="75" t="s">
        <v>794</v>
      </c>
      <c r="D184" s="76"/>
      <c r="E184" s="76"/>
      <c r="F184" s="76"/>
      <c r="G184" s="76"/>
      <c r="H184" s="76"/>
      <c r="I184" s="76"/>
      <c r="J184" s="76"/>
      <c r="K184" s="76"/>
      <c r="L184" s="76"/>
      <c r="M184" s="77"/>
    </row>
    <row r="185" spans="1:64" ht="15" customHeight="1">
      <c r="A185" s="15" t="s">
        <v>496</v>
      </c>
      <c r="B185" s="14" t="s">
        <v>347</v>
      </c>
      <c r="C185" s="58" t="s">
        <v>447</v>
      </c>
      <c r="D185" s="58"/>
      <c r="E185" s="58"/>
      <c r="F185" s="58"/>
      <c r="G185" s="14" t="s">
        <v>1189</v>
      </c>
      <c r="H185" s="2">
        <v>366.37</v>
      </c>
      <c r="I185" s="2">
        <v>0</v>
      </c>
      <c r="J185" s="2">
        <f>H185*AO185</f>
        <v>0</v>
      </c>
      <c r="K185" s="2">
        <f>H185*AP185</f>
        <v>0</v>
      </c>
      <c r="L185" s="2">
        <f>H185*I185</f>
        <v>0</v>
      </c>
      <c r="M185" s="7" t="s">
        <v>831</v>
      </c>
      <c r="Z185" s="2">
        <f>IF(AQ185="5",BJ185,0)</f>
        <v>0</v>
      </c>
      <c r="AB185" s="2">
        <f>IF(AQ185="1",BH185,0)</f>
        <v>0</v>
      </c>
      <c r="AC185" s="2">
        <f>IF(AQ185="1",BI185,0)</f>
        <v>0</v>
      </c>
      <c r="AD185" s="2">
        <f>IF(AQ185="7",BH185,0)</f>
        <v>0</v>
      </c>
      <c r="AE185" s="2">
        <f>IF(AQ185="7",BI185,0)</f>
        <v>0</v>
      </c>
      <c r="AF185" s="2">
        <f>IF(AQ185="2",BH185,0)</f>
        <v>0</v>
      </c>
      <c r="AG185" s="2">
        <f>IF(AQ185="2",BI185,0)</f>
        <v>0</v>
      </c>
      <c r="AH185" s="2">
        <f>IF(AQ185="0",BJ185,0)</f>
        <v>0</v>
      </c>
      <c r="AI185" s="19" t="s">
        <v>255</v>
      </c>
      <c r="AJ185" s="2">
        <f>IF(AN185=0,L185,0)</f>
        <v>0</v>
      </c>
      <c r="AK185" s="2">
        <f>IF(AN185=15,L185,0)</f>
        <v>0</v>
      </c>
      <c r="AL185" s="2">
        <f>IF(AN185=21,L185,0)</f>
        <v>0</v>
      </c>
      <c r="AN185" s="2">
        <v>15</v>
      </c>
      <c r="AO185" s="2">
        <f>I185*0.378970740351983</f>
        <v>0</v>
      </c>
      <c r="AP185" s="2">
        <f>I185*(1-0.378970740351983)</f>
        <v>0</v>
      </c>
      <c r="AQ185" s="43" t="s">
        <v>1205</v>
      </c>
      <c r="AV185" s="2">
        <f>AW185+AX185</f>
        <v>0</v>
      </c>
      <c r="AW185" s="2">
        <f>H185*AO185</f>
        <v>0</v>
      </c>
      <c r="AX185" s="2">
        <f>H185*AP185</f>
        <v>0</v>
      </c>
      <c r="AY185" s="43" t="s">
        <v>1329</v>
      </c>
      <c r="AZ185" s="43" t="s">
        <v>1138</v>
      </c>
      <c r="BA185" s="19" t="s">
        <v>1155</v>
      </c>
      <c r="BC185" s="2">
        <f>AW185+AX185</f>
        <v>0</v>
      </c>
      <c r="BD185" s="2">
        <f>I185/(100-BE185)*100</f>
        <v>0</v>
      </c>
      <c r="BE185" s="2">
        <v>0</v>
      </c>
      <c r="BF185" s="2">
        <f>185</f>
        <v>185</v>
      </c>
      <c r="BH185" s="2">
        <f>H185*AO185</f>
        <v>0</v>
      </c>
      <c r="BI185" s="2">
        <f>H185*AP185</f>
        <v>0</v>
      </c>
      <c r="BJ185" s="2">
        <f>H185*I185</f>
        <v>0</v>
      </c>
      <c r="BK185" s="2"/>
      <c r="BL185" s="2">
        <v>94</v>
      </c>
    </row>
    <row r="186" spans="1:47" ht="15" customHeight="1">
      <c r="A186" s="48" t="s">
        <v>844</v>
      </c>
      <c r="B186" s="17" t="s">
        <v>505</v>
      </c>
      <c r="C186" s="74" t="s">
        <v>898</v>
      </c>
      <c r="D186" s="74"/>
      <c r="E186" s="74"/>
      <c r="F186" s="74"/>
      <c r="G186" s="40" t="s">
        <v>1110</v>
      </c>
      <c r="H186" s="40" t="s">
        <v>1110</v>
      </c>
      <c r="I186" s="40" t="s">
        <v>1110</v>
      </c>
      <c r="J186" s="23">
        <f>SUM(J187:J191)</f>
        <v>0</v>
      </c>
      <c r="K186" s="23">
        <f>SUM(K187:K191)</f>
        <v>0</v>
      </c>
      <c r="L186" s="23">
        <f>SUM(L187:L191)</f>
        <v>0</v>
      </c>
      <c r="M186" s="37" t="s">
        <v>844</v>
      </c>
      <c r="AI186" s="19" t="s">
        <v>255</v>
      </c>
      <c r="AS186" s="23">
        <f>SUM(AJ187:AJ191)</f>
        <v>0</v>
      </c>
      <c r="AT186" s="23">
        <f>SUM(AK187:AK191)</f>
        <v>0</v>
      </c>
      <c r="AU186" s="23">
        <f>SUM(AL187:AL191)</f>
        <v>0</v>
      </c>
    </row>
    <row r="187" spans="1:64" ht="15" customHeight="1">
      <c r="A187" s="15" t="s">
        <v>173</v>
      </c>
      <c r="B187" s="14" t="s">
        <v>1062</v>
      </c>
      <c r="C187" s="58" t="s">
        <v>411</v>
      </c>
      <c r="D187" s="58"/>
      <c r="E187" s="58"/>
      <c r="F187" s="58"/>
      <c r="G187" s="14" t="s">
        <v>1189</v>
      </c>
      <c r="H187" s="2">
        <v>484.004</v>
      </c>
      <c r="I187" s="2">
        <v>0</v>
      </c>
      <c r="J187" s="2">
        <f>H187*AO187</f>
        <v>0</v>
      </c>
      <c r="K187" s="2">
        <f>H187*AP187</f>
        <v>0</v>
      </c>
      <c r="L187" s="2">
        <f>H187*I187</f>
        <v>0</v>
      </c>
      <c r="M187" s="7" t="s">
        <v>831</v>
      </c>
      <c r="Z187" s="2">
        <f>IF(AQ187="5",BJ187,0)</f>
        <v>0</v>
      </c>
      <c r="AB187" s="2">
        <f>IF(AQ187="1",BH187,0)</f>
        <v>0</v>
      </c>
      <c r="AC187" s="2">
        <f>IF(AQ187="1",BI187,0)</f>
        <v>0</v>
      </c>
      <c r="AD187" s="2">
        <f>IF(AQ187="7",BH187,0)</f>
        <v>0</v>
      </c>
      <c r="AE187" s="2">
        <f>IF(AQ187="7",BI187,0)</f>
        <v>0</v>
      </c>
      <c r="AF187" s="2">
        <f>IF(AQ187="2",BH187,0)</f>
        <v>0</v>
      </c>
      <c r="AG187" s="2">
        <f>IF(AQ187="2",BI187,0)</f>
        <v>0</v>
      </c>
      <c r="AH187" s="2">
        <f>IF(AQ187="0",BJ187,0)</f>
        <v>0</v>
      </c>
      <c r="AI187" s="19" t="s">
        <v>255</v>
      </c>
      <c r="AJ187" s="2">
        <f>IF(AN187=0,L187,0)</f>
        <v>0</v>
      </c>
      <c r="AK187" s="2">
        <f>IF(AN187=15,L187,0)</f>
        <v>0</v>
      </c>
      <c r="AL187" s="2">
        <f>IF(AN187=21,L187,0)</f>
        <v>0</v>
      </c>
      <c r="AN187" s="2">
        <v>15</v>
      </c>
      <c r="AO187" s="2">
        <f>I187*0.0135316064118221</f>
        <v>0</v>
      </c>
      <c r="AP187" s="2">
        <f>I187*(1-0.0135316064118221)</f>
        <v>0</v>
      </c>
      <c r="AQ187" s="43" t="s">
        <v>1205</v>
      </c>
      <c r="AV187" s="2">
        <f>AW187+AX187</f>
        <v>0</v>
      </c>
      <c r="AW187" s="2">
        <f>H187*AO187</f>
        <v>0</v>
      </c>
      <c r="AX187" s="2">
        <f>H187*AP187</f>
        <v>0</v>
      </c>
      <c r="AY187" s="43" t="s">
        <v>747</v>
      </c>
      <c r="AZ187" s="43" t="s">
        <v>1138</v>
      </c>
      <c r="BA187" s="19" t="s">
        <v>1155</v>
      </c>
      <c r="BC187" s="2">
        <f>AW187+AX187</f>
        <v>0</v>
      </c>
      <c r="BD187" s="2">
        <f>I187/(100-BE187)*100</f>
        <v>0</v>
      </c>
      <c r="BE187" s="2">
        <v>0</v>
      </c>
      <c r="BF187" s="2">
        <f>187</f>
        <v>187</v>
      </c>
      <c r="BH187" s="2">
        <f>H187*AO187</f>
        <v>0</v>
      </c>
      <c r="BI187" s="2">
        <f>H187*AP187</f>
        <v>0</v>
      </c>
      <c r="BJ187" s="2">
        <f>H187*I187</f>
        <v>0</v>
      </c>
      <c r="BK187" s="2"/>
      <c r="BL187" s="2">
        <v>95</v>
      </c>
    </row>
    <row r="188" spans="1:64" ht="15" customHeight="1">
      <c r="A188" s="15" t="s">
        <v>1328</v>
      </c>
      <c r="B188" s="14" t="s">
        <v>699</v>
      </c>
      <c r="C188" s="58" t="s">
        <v>852</v>
      </c>
      <c r="D188" s="58"/>
      <c r="E188" s="58"/>
      <c r="F188" s="58"/>
      <c r="G188" s="14" t="s">
        <v>319</v>
      </c>
      <c r="H188" s="2">
        <v>3</v>
      </c>
      <c r="I188" s="2">
        <v>0</v>
      </c>
      <c r="J188" s="2">
        <f>H188*AO188</f>
        <v>0</v>
      </c>
      <c r="K188" s="2">
        <f>H188*AP188</f>
        <v>0</v>
      </c>
      <c r="L188" s="2">
        <f>H188*I188</f>
        <v>0</v>
      </c>
      <c r="M188" s="7" t="s">
        <v>831</v>
      </c>
      <c r="Z188" s="2">
        <f>IF(AQ188="5",BJ188,0)</f>
        <v>0</v>
      </c>
      <c r="AB188" s="2">
        <f>IF(AQ188="1",BH188,0)</f>
        <v>0</v>
      </c>
      <c r="AC188" s="2">
        <f>IF(AQ188="1",BI188,0)</f>
        <v>0</v>
      </c>
      <c r="AD188" s="2">
        <f>IF(AQ188="7",BH188,0)</f>
        <v>0</v>
      </c>
      <c r="AE188" s="2">
        <f>IF(AQ188="7",BI188,0)</f>
        <v>0</v>
      </c>
      <c r="AF188" s="2">
        <f>IF(AQ188="2",BH188,0)</f>
        <v>0</v>
      </c>
      <c r="AG188" s="2">
        <f>IF(AQ188="2",BI188,0)</f>
        <v>0</v>
      </c>
      <c r="AH188" s="2">
        <f>IF(AQ188="0",BJ188,0)</f>
        <v>0</v>
      </c>
      <c r="AI188" s="19" t="s">
        <v>255</v>
      </c>
      <c r="AJ188" s="2">
        <f>IF(AN188=0,L188,0)</f>
        <v>0</v>
      </c>
      <c r="AK188" s="2">
        <f>IF(AN188=15,L188,0)</f>
        <v>0</v>
      </c>
      <c r="AL188" s="2">
        <f>IF(AN188=21,L188,0)</f>
        <v>0</v>
      </c>
      <c r="AN188" s="2">
        <v>15</v>
      </c>
      <c r="AO188" s="2">
        <f>I188*0.172777777777778</f>
        <v>0</v>
      </c>
      <c r="AP188" s="2">
        <f>I188*(1-0.172777777777778)</f>
        <v>0</v>
      </c>
      <c r="AQ188" s="43" t="s">
        <v>1205</v>
      </c>
      <c r="AV188" s="2">
        <f>AW188+AX188</f>
        <v>0</v>
      </c>
      <c r="AW188" s="2">
        <f>H188*AO188</f>
        <v>0</v>
      </c>
      <c r="AX188" s="2">
        <f>H188*AP188</f>
        <v>0</v>
      </c>
      <c r="AY188" s="43" t="s">
        <v>747</v>
      </c>
      <c r="AZ188" s="43" t="s">
        <v>1138</v>
      </c>
      <c r="BA188" s="19" t="s">
        <v>1155</v>
      </c>
      <c r="BC188" s="2">
        <f>AW188+AX188</f>
        <v>0</v>
      </c>
      <c r="BD188" s="2">
        <f>I188/(100-BE188)*100</f>
        <v>0</v>
      </c>
      <c r="BE188" s="2">
        <v>0</v>
      </c>
      <c r="BF188" s="2">
        <f>188</f>
        <v>188</v>
      </c>
      <c r="BH188" s="2">
        <f>H188*AO188</f>
        <v>0</v>
      </c>
      <c r="BI188" s="2">
        <f>H188*AP188</f>
        <v>0</v>
      </c>
      <c r="BJ188" s="2">
        <f>H188*I188</f>
        <v>0</v>
      </c>
      <c r="BK188" s="2"/>
      <c r="BL188" s="2">
        <v>95</v>
      </c>
    </row>
    <row r="189" spans="1:64" ht="15" customHeight="1">
      <c r="A189" s="15" t="s">
        <v>602</v>
      </c>
      <c r="B189" s="14" t="s">
        <v>987</v>
      </c>
      <c r="C189" s="58" t="s">
        <v>1296</v>
      </c>
      <c r="D189" s="58"/>
      <c r="E189" s="58"/>
      <c r="F189" s="58"/>
      <c r="G189" s="14" t="s">
        <v>319</v>
      </c>
      <c r="H189" s="2">
        <v>3</v>
      </c>
      <c r="I189" s="2">
        <v>0</v>
      </c>
      <c r="J189" s="2">
        <f>H189*AO189</f>
        <v>0</v>
      </c>
      <c r="K189" s="2">
        <f>H189*AP189</f>
        <v>0</v>
      </c>
      <c r="L189" s="2">
        <f>H189*I189</f>
        <v>0</v>
      </c>
      <c r="M189" s="7" t="s">
        <v>831</v>
      </c>
      <c r="Z189" s="2">
        <f>IF(AQ189="5",BJ189,0)</f>
        <v>0</v>
      </c>
      <c r="AB189" s="2">
        <f>IF(AQ189="1",BH189,0)</f>
        <v>0</v>
      </c>
      <c r="AC189" s="2">
        <f>IF(AQ189="1",BI189,0)</f>
        <v>0</v>
      </c>
      <c r="AD189" s="2">
        <f>IF(AQ189="7",BH189,0)</f>
        <v>0</v>
      </c>
      <c r="AE189" s="2">
        <f>IF(AQ189="7",BI189,0)</f>
        <v>0</v>
      </c>
      <c r="AF189" s="2">
        <f>IF(AQ189="2",BH189,0)</f>
        <v>0</v>
      </c>
      <c r="AG189" s="2">
        <f>IF(AQ189="2",BI189,0)</f>
        <v>0</v>
      </c>
      <c r="AH189" s="2">
        <f>IF(AQ189="0",BJ189,0)</f>
        <v>0</v>
      </c>
      <c r="AI189" s="19" t="s">
        <v>255</v>
      </c>
      <c r="AJ189" s="2">
        <f>IF(AN189=0,L189,0)</f>
        <v>0</v>
      </c>
      <c r="AK189" s="2">
        <f>IF(AN189=15,L189,0)</f>
        <v>0</v>
      </c>
      <c r="AL189" s="2">
        <f>IF(AN189=21,L189,0)</f>
        <v>0</v>
      </c>
      <c r="AN189" s="2">
        <v>15</v>
      </c>
      <c r="AO189" s="2">
        <f>I189*1</f>
        <v>0</v>
      </c>
      <c r="AP189" s="2">
        <f>I189*(1-1)</f>
        <v>0</v>
      </c>
      <c r="AQ189" s="43" t="s">
        <v>1205</v>
      </c>
      <c r="AV189" s="2">
        <f>AW189+AX189</f>
        <v>0</v>
      </c>
      <c r="AW189" s="2">
        <f>H189*AO189</f>
        <v>0</v>
      </c>
      <c r="AX189" s="2">
        <f>H189*AP189</f>
        <v>0</v>
      </c>
      <c r="AY189" s="43" t="s">
        <v>747</v>
      </c>
      <c r="AZ189" s="43" t="s">
        <v>1138</v>
      </c>
      <c r="BA189" s="19" t="s">
        <v>1155</v>
      </c>
      <c r="BC189" s="2">
        <f>AW189+AX189</f>
        <v>0</v>
      </c>
      <c r="BD189" s="2">
        <f>I189/(100-BE189)*100</f>
        <v>0</v>
      </c>
      <c r="BE189" s="2">
        <v>0</v>
      </c>
      <c r="BF189" s="2">
        <f>189</f>
        <v>189</v>
      </c>
      <c r="BH189" s="2">
        <f>H189*AO189</f>
        <v>0</v>
      </c>
      <c r="BI189" s="2">
        <f>H189*AP189</f>
        <v>0</v>
      </c>
      <c r="BJ189" s="2">
        <f>H189*I189</f>
        <v>0</v>
      </c>
      <c r="BK189" s="2"/>
      <c r="BL189" s="2">
        <v>95</v>
      </c>
    </row>
    <row r="190" spans="1:64" ht="15" customHeight="1">
      <c r="A190" s="15" t="s">
        <v>986</v>
      </c>
      <c r="B190" s="14" t="s">
        <v>1292</v>
      </c>
      <c r="C190" s="58" t="s">
        <v>1318</v>
      </c>
      <c r="D190" s="58"/>
      <c r="E190" s="58"/>
      <c r="F190" s="58"/>
      <c r="G190" s="14" t="s">
        <v>319</v>
      </c>
      <c r="H190" s="2">
        <v>3</v>
      </c>
      <c r="I190" s="2">
        <v>0</v>
      </c>
      <c r="J190" s="2">
        <f>H190*AO190</f>
        <v>0</v>
      </c>
      <c r="K190" s="2">
        <f>H190*AP190</f>
        <v>0</v>
      </c>
      <c r="L190" s="2">
        <f>H190*I190</f>
        <v>0</v>
      </c>
      <c r="M190" s="7" t="s">
        <v>831</v>
      </c>
      <c r="Z190" s="2">
        <f>IF(AQ190="5",BJ190,0)</f>
        <v>0</v>
      </c>
      <c r="AB190" s="2">
        <f>IF(AQ190="1",BH190,0)</f>
        <v>0</v>
      </c>
      <c r="AC190" s="2">
        <f>IF(AQ190="1",BI190,0)</f>
        <v>0</v>
      </c>
      <c r="AD190" s="2">
        <f>IF(AQ190="7",BH190,0)</f>
        <v>0</v>
      </c>
      <c r="AE190" s="2">
        <f>IF(AQ190="7",BI190,0)</f>
        <v>0</v>
      </c>
      <c r="AF190" s="2">
        <f>IF(AQ190="2",BH190,0)</f>
        <v>0</v>
      </c>
      <c r="AG190" s="2">
        <f>IF(AQ190="2",BI190,0)</f>
        <v>0</v>
      </c>
      <c r="AH190" s="2">
        <f>IF(AQ190="0",BJ190,0)</f>
        <v>0</v>
      </c>
      <c r="AI190" s="19" t="s">
        <v>255</v>
      </c>
      <c r="AJ190" s="2">
        <f>IF(AN190=0,L190,0)</f>
        <v>0</v>
      </c>
      <c r="AK190" s="2">
        <f>IF(AN190=15,L190,0)</f>
        <v>0</v>
      </c>
      <c r="AL190" s="2">
        <f>IF(AN190=21,L190,0)</f>
        <v>0</v>
      </c>
      <c r="AN190" s="2">
        <v>15</v>
      </c>
      <c r="AO190" s="2">
        <f>I190*0</f>
        <v>0</v>
      </c>
      <c r="AP190" s="2">
        <f>I190*(1-0)</f>
        <v>0</v>
      </c>
      <c r="AQ190" s="43" t="s">
        <v>1205</v>
      </c>
      <c r="AV190" s="2">
        <f>AW190+AX190</f>
        <v>0</v>
      </c>
      <c r="AW190" s="2">
        <f>H190*AO190</f>
        <v>0</v>
      </c>
      <c r="AX190" s="2">
        <f>H190*AP190</f>
        <v>0</v>
      </c>
      <c r="AY190" s="43" t="s">
        <v>747</v>
      </c>
      <c r="AZ190" s="43" t="s">
        <v>1138</v>
      </c>
      <c r="BA190" s="19" t="s">
        <v>1155</v>
      </c>
      <c r="BC190" s="2">
        <f>AW190+AX190</f>
        <v>0</v>
      </c>
      <c r="BD190" s="2">
        <f>I190/(100-BE190)*100</f>
        <v>0</v>
      </c>
      <c r="BE190" s="2">
        <v>0</v>
      </c>
      <c r="BF190" s="2">
        <f>190</f>
        <v>190</v>
      </c>
      <c r="BH190" s="2">
        <f>H190*AO190</f>
        <v>0</v>
      </c>
      <c r="BI190" s="2">
        <f>H190*AP190</f>
        <v>0</v>
      </c>
      <c r="BJ190" s="2">
        <f>H190*I190</f>
        <v>0</v>
      </c>
      <c r="BK190" s="2"/>
      <c r="BL190" s="2">
        <v>95</v>
      </c>
    </row>
    <row r="191" spans="1:64" ht="15" customHeight="1">
      <c r="A191" s="15" t="s">
        <v>583</v>
      </c>
      <c r="B191" s="14" t="s">
        <v>20</v>
      </c>
      <c r="C191" s="58" t="s">
        <v>1244</v>
      </c>
      <c r="D191" s="58"/>
      <c r="E191" s="58"/>
      <c r="F191" s="58"/>
      <c r="G191" s="14" t="s">
        <v>319</v>
      </c>
      <c r="H191" s="2">
        <v>3</v>
      </c>
      <c r="I191" s="2">
        <v>0</v>
      </c>
      <c r="J191" s="2">
        <f>H191*AO191</f>
        <v>0</v>
      </c>
      <c r="K191" s="2">
        <f>H191*AP191</f>
        <v>0</v>
      </c>
      <c r="L191" s="2">
        <f>H191*I191</f>
        <v>0</v>
      </c>
      <c r="M191" s="7" t="s">
        <v>831</v>
      </c>
      <c r="Z191" s="2">
        <f>IF(AQ191="5",BJ191,0)</f>
        <v>0</v>
      </c>
      <c r="AB191" s="2">
        <f>IF(AQ191="1",BH191,0)</f>
        <v>0</v>
      </c>
      <c r="AC191" s="2">
        <f>IF(AQ191="1",BI191,0)</f>
        <v>0</v>
      </c>
      <c r="AD191" s="2">
        <f>IF(AQ191="7",BH191,0)</f>
        <v>0</v>
      </c>
      <c r="AE191" s="2">
        <f>IF(AQ191="7",BI191,0)</f>
        <v>0</v>
      </c>
      <c r="AF191" s="2">
        <f>IF(AQ191="2",BH191,0)</f>
        <v>0</v>
      </c>
      <c r="AG191" s="2">
        <f>IF(AQ191="2",BI191,0)</f>
        <v>0</v>
      </c>
      <c r="AH191" s="2">
        <f>IF(AQ191="0",BJ191,0)</f>
        <v>0</v>
      </c>
      <c r="AI191" s="19" t="s">
        <v>255</v>
      </c>
      <c r="AJ191" s="2">
        <f>IF(AN191=0,L191,0)</f>
        <v>0</v>
      </c>
      <c r="AK191" s="2">
        <f>IF(AN191=15,L191,0)</f>
        <v>0</v>
      </c>
      <c r="AL191" s="2">
        <f>IF(AN191=21,L191,0)</f>
        <v>0</v>
      </c>
      <c r="AN191" s="2">
        <v>15</v>
      </c>
      <c r="AO191" s="2">
        <f>I191*0</f>
        <v>0</v>
      </c>
      <c r="AP191" s="2">
        <f>I191*(1-0)</f>
        <v>0</v>
      </c>
      <c r="AQ191" s="43" t="s">
        <v>1205</v>
      </c>
      <c r="AV191" s="2">
        <f>AW191+AX191</f>
        <v>0</v>
      </c>
      <c r="AW191" s="2">
        <f>H191*AO191</f>
        <v>0</v>
      </c>
      <c r="AX191" s="2">
        <f>H191*AP191</f>
        <v>0</v>
      </c>
      <c r="AY191" s="43" t="s">
        <v>747</v>
      </c>
      <c r="AZ191" s="43" t="s">
        <v>1138</v>
      </c>
      <c r="BA191" s="19" t="s">
        <v>1155</v>
      </c>
      <c r="BC191" s="2">
        <f>AW191+AX191</f>
        <v>0</v>
      </c>
      <c r="BD191" s="2">
        <f>I191/(100-BE191)*100</f>
        <v>0</v>
      </c>
      <c r="BE191" s="2">
        <v>0</v>
      </c>
      <c r="BF191" s="2">
        <f>191</f>
        <v>191</v>
      </c>
      <c r="BH191" s="2">
        <f>H191*AO191</f>
        <v>0</v>
      </c>
      <c r="BI191" s="2">
        <f>H191*AP191</f>
        <v>0</v>
      </c>
      <c r="BJ191" s="2">
        <f>H191*I191</f>
        <v>0</v>
      </c>
      <c r="BK191" s="2"/>
      <c r="BL191" s="2">
        <v>95</v>
      </c>
    </row>
    <row r="192" spans="1:47" ht="15" customHeight="1">
      <c r="A192" s="48" t="s">
        <v>844</v>
      </c>
      <c r="B192" s="17" t="s">
        <v>146</v>
      </c>
      <c r="C192" s="74" t="s">
        <v>1333</v>
      </c>
      <c r="D192" s="74"/>
      <c r="E192" s="74"/>
      <c r="F192" s="74"/>
      <c r="G192" s="40" t="s">
        <v>1110</v>
      </c>
      <c r="H192" s="40" t="s">
        <v>1110</v>
      </c>
      <c r="I192" s="40" t="s">
        <v>1110</v>
      </c>
      <c r="J192" s="23">
        <f>SUM(J193:J193)</f>
        <v>0</v>
      </c>
      <c r="K192" s="23">
        <f>SUM(K193:K193)</f>
        <v>0</v>
      </c>
      <c r="L192" s="23">
        <f>SUM(L193:L193)</f>
        <v>0</v>
      </c>
      <c r="M192" s="37" t="s">
        <v>844</v>
      </c>
      <c r="AI192" s="19" t="s">
        <v>255</v>
      </c>
      <c r="AS192" s="23">
        <f>SUM(AJ193:AJ193)</f>
        <v>0</v>
      </c>
      <c r="AT192" s="23">
        <f>SUM(AK193:AK193)</f>
        <v>0</v>
      </c>
      <c r="AU192" s="23">
        <f>SUM(AL193:AL193)</f>
        <v>0</v>
      </c>
    </row>
    <row r="193" spans="1:64" ht="15" customHeight="1">
      <c r="A193" s="15" t="s">
        <v>781</v>
      </c>
      <c r="B193" s="14" t="s">
        <v>1</v>
      </c>
      <c r="C193" s="58" t="s">
        <v>383</v>
      </c>
      <c r="D193" s="58"/>
      <c r="E193" s="58"/>
      <c r="F193" s="58"/>
      <c r="G193" s="14" t="s">
        <v>319</v>
      </c>
      <c r="H193" s="2">
        <v>12</v>
      </c>
      <c r="I193" s="2">
        <v>0</v>
      </c>
      <c r="J193" s="2">
        <f>H193*AO193</f>
        <v>0</v>
      </c>
      <c r="K193" s="2">
        <f>H193*AP193</f>
        <v>0</v>
      </c>
      <c r="L193" s="2">
        <f>H193*I193</f>
        <v>0</v>
      </c>
      <c r="M193" s="7" t="s">
        <v>831</v>
      </c>
      <c r="Z193" s="2">
        <f>IF(AQ193="5",BJ193,0)</f>
        <v>0</v>
      </c>
      <c r="AB193" s="2">
        <f>IF(AQ193="1",BH193,0)</f>
        <v>0</v>
      </c>
      <c r="AC193" s="2">
        <f>IF(AQ193="1",BI193,0)</f>
        <v>0</v>
      </c>
      <c r="AD193" s="2">
        <f>IF(AQ193="7",BH193,0)</f>
        <v>0</v>
      </c>
      <c r="AE193" s="2">
        <f>IF(AQ193="7",BI193,0)</f>
        <v>0</v>
      </c>
      <c r="AF193" s="2">
        <f>IF(AQ193="2",BH193,0)</f>
        <v>0</v>
      </c>
      <c r="AG193" s="2">
        <f>IF(AQ193="2",BI193,0)</f>
        <v>0</v>
      </c>
      <c r="AH193" s="2">
        <f>IF(AQ193="0",BJ193,0)</f>
        <v>0</v>
      </c>
      <c r="AI193" s="19" t="s">
        <v>255</v>
      </c>
      <c r="AJ193" s="2">
        <f>IF(AN193=0,L193,0)</f>
        <v>0</v>
      </c>
      <c r="AK193" s="2">
        <f>IF(AN193=15,L193,0)</f>
        <v>0</v>
      </c>
      <c r="AL193" s="2">
        <f>IF(AN193=21,L193,0)</f>
        <v>0</v>
      </c>
      <c r="AN193" s="2">
        <v>15</v>
      </c>
      <c r="AO193" s="2">
        <f>I193*0</f>
        <v>0</v>
      </c>
      <c r="AP193" s="2">
        <f>I193*(1-0)</f>
        <v>0</v>
      </c>
      <c r="AQ193" s="43" t="s">
        <v>1205</v>
      </c>
      <c r="AV193" s="2">
        <f>AW193+AX193</f>
        <v>0</v>
      </c>
      <c r="AW193" s="2">
        <f>H193*AO193</f>
        <v>0</v>
      </c>
      <c r="AX193" s="2">
        <f>H193*AP193</f>
        <v>0</v>
      </c>
      <c r="AY193" s="43" t="s">
        <v>408</v>
      </c>
      <c r="AZ193" s="43" t="s">
        <v>1138</v>
      </c>
      <c r="BA193" s="19" t="s">
        <v>1155</v>
      </c>
      <c r="BC193" s="2">
        <f>AW193+AX193</f>
        <v>0</v>
      </c>
      <c r="BD193" s="2">
        <f>I193/(100-BE193)*100</f>
        <v>0</v>
      </c>
      <c r="BE193" s="2">
        <v>0</v>
      </c>
      <c r="BF193" s="2">
        <f>193</f>
        <v>193</v>
      </c>
      <c r="BH193" s="2">
        <f>H193*AO193</f>
        <v>0</v>
      </c>
      <c r="BI193" s="2">
        <f>H193*AP193</f>
        <v>0</v>
      </c>
      <c r="BJ193" s="2">
        <f>H193*I193</f>
        <v>0</v>
      </c>
      <c r="BK193" s="2"/>
      <c r="BL193" s="2">
        <v>97</v>
      </c>
    </row>
    <row r="194" spans="1:13" ht="13.5" customHeight="1">
      <c r="A194" s="51"/>
      <c r="B194" s="32" t="s">
        <v>639</v>
      </c>
      <c r="C194" s="75" t="s">
        <v>1025</v>
      </c>
      <c r="D194" s="76"/>
      <c r="E194" s="76"/>
      <c r="F194" s="76"/>
      <c r="G194" s="76"/>
      <c r="H194" s="76"/>
      <c r="I194" s="76"/>
      <c r="J194" s="76"/>
      <c r="K194" s="76"/>
      <c r="L194" s="76"/>
      <c r="M194" s="77"/>
    </row>
    <row r="195" spans="1:47" ht="15" customHeight="1">
      <c r="A195" s="48" t="s">
        <v>844</v>
      </c>
      <c r="B195" s="17" t="s">
        <v>790</v>
      </c>
      <c r="C195" s="74" t="s">
        <v>427</v>
      </c>
      <c r="D195" s="74"/>
      <c r="E195" s="74"/>
      <c r="F195" s="74"/>
      <c r="G195" s="40" t="s">
        <v>1110</v>
      </c>
      <c r="H195" s="40" t="s">
        <v>1110</v>
      </c>
      <c r="I195" s="40" t="s">
        <v>1110</v>
      </c>
      <c r="J195" s="23">
        <f>SUM(J196:J196)</f>
        <v>0</v>
      </c>
      <c r="K195" s="23">
        <f>SUM(K196:K196)</f>
        <v>0</v>
      </c>
      <c r="L195" s="23">
        <f>SUM(L196:L196)</f>
        <v>0</v>
      </c>
      <c r="M195" s="37" t="s">
        <v>844</v>
      </c>
      <c r="AI195" s="19" t="s">
        <v>255</v>
      </c>
      <c r="AS195" s="23">
        <f>SUM(AJ196:AJ196)</f>
        <v>0</v>
      </c>
      <c r="AT195" s="23">
        <f>SUM(AK196:AK196)</f>
        <v>0</v>
      </c>
      <c r="AU195" s="23">
        <f>SUM(AL196:AL196)</f>
        <v>0</v>
      </c>
    </row>
    <row r="196" spans="1:64" ht="15" customHeight="1">
      <c r="A196" s="15" t="s">
        <v>1315</v>
      </c>
      <c r="B196" s="14" t="s">
        <v>135</v>
      </c>
      <c r="C196" s="58" t="s">
        <v>417</v>
      </c>
      <c r="D196" s="58"/>
      <c r="E196" s="58"/>
      <c r="F196" s="58"/>
      <c r="G196" s="14" t="s">
        <v>584</v>
      </c>
      <c r="H196" s="2">
        <v>752.859</v>
      </c>
      <c r="I196" s="2">
        <v>0</v>
      </c>
      <c r="J196" s="2">
        <f>H196*AO196</f>
        <v>0</v>
      </c>
      <c r="K196" s="2">
        <f>H196*AP196</f>
        <v>0</v>
      </c>
      <c r="L196" s="2">
        <f>H196*I196</f>
        <v>0</v>
      </c>
      <c r="M196" s="7" t="s">
        <v>831</v>
      </c>
      <c r="Z196" s="2">
        <f>IF(AQ196="5",BJ196,0)</f>
        <v>0</v>
      </c>
      <c r="AB196" s="2">
        <f>IF(AQ196="1",BH196,0)</f>
        <v>0</v>
      </c>
      <c r="AC196" s="2">
        <f>IF(AQ196="1",BI196,0)</f>
        <v>0</v>
      </c>
      <c r="AD196" s="2">
        <f>IF(AQ196="7",BH196,0)</f>
        <v>0</v>
      </c>
      <c r="AE196" s="2">
        <f>IF(AQ196="7",BI196,0)</f>
        <v>0</v>
      </c>
      <c r="AF196" s="2">
        <f>IF(AQ196="2",BH196,0)</f>
        <v>0</v>
      </c>
      <c r="AG196" s="2">
        <f>IF(AQ196="2",BI196,0)</f>
        <v>0</v>
      </c>
      <c r="AH196" s="2">
        <f>IF(AQ196="0",BJ196,0)</f>
        <v>0</v>
      </c>
      <c r="AI196" s="19" t="s">
        <v>255</v>
      </c>
      <c r="AJ196" s="2">
        <f>IF(AN196=0,L196,0)</f>
        <v>0</v>
      </c>
      <c r="AK196" s="2">
        <f>IF(AN196=15,L196,0)</f>
        <v>0</v>
      </c>
      <c r="AL196" s="2">
        <f>IF(AN196=21,L196,0)</f>
        <v>0</v>
      </c>
      <c r="AN196" s="2">
        <v>15</v>
      </c>
      <c r="AO196" s="2">
        <f>I196*0</f>
        <v>0</v>
      </c>
      <c r="AP196" s="2">
        <f>I196*(1-0)</f>
        <v>0</v>
      </c>
      <c r="AQ196" s="43" t="s">
        <v>655</v>
      </c>
      <c r="AV196" s="2">
        <f>AW196+AX196</f>
        <v>0</v>
      </c>
      <c r="AW196" s="2">
        <f>H196*AO196</f>
        <v>0</v>
      </c>
      <c r="AX196" s="2">
        <f>H196*AP196</f>
        <v>0</v>
      </c>
      <c r="AY196" s="43" t="s">
        <v>1234</v>
      </c>
      <c r="AZ196" s="43" t="s">
        <v>1138</v>
      </c>
      <c r="BA196" s="19" t="s">
        <v>1155</v>
      </c>
      <c r="BC196" s="2">
        <f>AW196+AX196</f>
        <v>0</v>
      </c>
      <c r="BD196" s="2">
        <f>I196/(100-BE196)*100</f>
        <v>0</v>
      </c>
      <c r="BE196" s="2">
        <v>0</v>
      </c>
      <c r="BF196" s="2">
        <f>196</f>
        <v>196</v>
      </c>
      <c r="BH196" s="2">
        <f>H196*AO196</f>
        <v>0</v>
      </c>
      <c r="BI196" s="2">
        <f>H196*AP196</f>
        <v>0</v>
      </c>
      <c r="BJ196" s="2">
        <f>H196*I196</f>
        <v>0</v>
      </c>
      <c r="BK196" s="2"/>
      <c r="BL196" s="2"/>
    </row>
    <row r="197" spans="1:47" ht="15" customHeight="1">
      <c r="A197" s="48" t="s">
        <v>844</v>
      </c>
      <c r="B197" s="17" t="s">
        <v>69</v>
      </c>
      <c r="C197" s="74" t="s">
        <v>1350</v>
      </c>
      <c r="D197" s="74"/>
      <c r="E197" s="74"/>
      <c r="F197" s="74"/>
      <c r="G197" s="40" t="s">
        <v>1110</v>
      </c>
      <c r="H197" s="40" t="s">
        <v>1110</v>
      </c>
      <c r="I197" s="40" t="s">
        <v>1110</v>
      </c>
      <c r="J197" s="23">
        <f>SUM(J198:J211)</f>
        <v>0</v>
      </c>
      <c r="K197" s="23">
        <f>SUM(K198:K211)</f>
        <v>0</v>
      </c>
      <c r="L197" s="23">
        <f>SUM(L198:L211)</f>
        <v>0</v>
      </c>
      <c r="M197" s="37" t="s">
        <v>844</v>
      </c>
      <c r="AI197" s="19" t="s">
        <v>255</v>
      </c>
      <c r="AS197" s="23">
        <f>SUM(AJ198:AJ211)</f>
        <v>0</v>
      </c>
      <c r="AT197" s="23">
        <f>SUM(AK198:AK211)</f>
        <v>0</v>
      </c>
      <c r="AU197" s="23">
        <f>SUM(AL198:AL211)</f>
        <v>0</v>
      </c>
    </row>
    <row r="198" spans="1:64" ht="15" customHeight="1">
      <c r="A198" s="15" t="s">
        <v>856</v>
      </c>
      <c r="B198" s="14" t="s">
        <v>1045</v>
      </c>
      <c r="C198" s="58" t="s">
        <v>385</v>
      </c>
      <c r="D198" s="58"/>
      <c r="E198" s="58"/>
      <c r="F198" s="58"/>
      <c r="G198" s="14" t="s">
        <v>1189</v>
      </c>
      <c r="H198" s="2">
        <v>255.585</v>
      </c>
      <c r="I198" s="2">
        <v>0</v>
      </c>
      <c r="J198" s="2">
        <f>H198*AO198</f>
        <v>0</v>
      </c>
      <c r="K198" s="2">
        <f>H198*AP198</f>
        <v>0</v>
      </c>
      <c r="L198" s="2">
        <f>H198*I198</f>
        <v>0</v>
      </c>
      <c r="M198" s="7" t="s">
        <v>831</v>
      </c>
      <c r="Z198" s="2">
        <f>IF(AQ198="5",BJ198,0)</f>
        <v>0</v>
      </c>
      <c r="AB198" s="2">
        <f>IF(AQ198="1",BH198,0)</f>
        <v>0</v>
      </c>
      <c r="AC198" s="2">
        <f>IF(AQ198="1",BI198,0)</f>
        <v>0</v>
      </c>
      <c r="AD198" s="2">
        <f>IF(AQ198="7",BH198,0)</f>
        <v>0</v>
      </c>
      <c r="AE198" s="2">
        <f>IF(AQ198="7",BI198,0)</f>
        <v>0</v>
      </c>
      <c r="AF198" s="2">
        <f>IF(AQ198="2",BH198,0)</f>
        <v>0</v>
      </c>
      <c r="AG198" s="2">
        <f>IF(AQ198="2",BI198,0)</f>
        <v>0</v>
      </c>
      <c r="AH198" s="2">
        <f>IF(AQ198="0",BJ198,0)</f>
        <v>0</v>
      </c>
      <c r="AI198" s="19" t="s">
        <v>255</v>
      </c>
      <c r="AJ198" s="2">
        <f>IF(AN198=0,L198,0)</f>
        <v>0</v>
      </c>
      <c r="AK198" s="2">
        <f>IF(AN198=15,L198,0)</f>
        <v>0</v>
      </c>
      <c r="AL198" s="2">
        <f>IF(AN198=21,L198,0)</f>
        <v>0</v>
      </c>
      <c r="AN198" s="2">
        <v>15</v>
      </c>
      <c r="AO198" s="2">
        <f>I198*0.732108990006865</f>
        <v>0</v>
      </c>
      <c r="AP198" s="2">
        <f>I198*(1-0.732108990006865)</f>
        <v>0</v>
      </c>
      <c r="AQ198" s="43" t="s">
        <v>1215</v>
      </c>
      <c r="AV198" s="2">
        <f>AW198+AX198</f>
        <v>0</v>
      </c>
      <c r="AW198" s="2">
        <f>H198*AO198</f>
        <v>0</v>
      </c>
      <c r="AX198" s="2">
        <f>H198*AP198</f>
        <v>0</v>
      </c>
      <c r="AY198" s="43" t="s">
        <v>1048</v>
      </c>
      <c r="AZ198" s="43" t="s">
        <v>326</v>
      </c>
      <c r="BA198" s="19" t="s">
        <v>1155</v>
      </c>
      <c r="BC198" s="2">
        <f>AW198+AX198</f>
        <v>0</v>
      </c>
      <c r="BD198" s="2">
        <f>I198/(100-BE198)*100</f>
        <v>0</v>
      </c>
      <c r="BE198" s="2">
        <v>0</v>
      </c>
      <c r="BF198" s="2">
        <f>198</f>
        <v>198</v>
      </c>
      <c r="BH198" s="2">
        <f>H198*AO198</f>
        <v>0</v>
      </c>
      <c r="BI198" s="2">
        <f>H198*AP198</f>
        <v>0</v>
      </c>
      <c r="BJ198" s="2">
        <f>H198*I198</f>
        <v>0</v>
      </c>
      <c r="BK198" s="2"/>
      <c r="BL198" s="2">
        <v>711</v>
      </c>
    </row>
    <row r="199" spans="1:13" ht="13.5" customHeight="1">
      <c r="A199" s="51"/>
      <c r="B199" s="32" t="s">
        <v>639</v>
      </c>
      <c r="C199" s="75" t="s">
        <v>30</v>
      </c>
      <c r="D199" s="76"/>
      <c r="E199" s="76"/>
      <c r="F199" s="76"/>
      <c r="G199" s="76"/>
      <c r="H199" s="76"/>
      <c r="I199" s="76"/>
      <c r="J199" s="76"/>
      <c r="K199" s="76"/>
      <c r="L199" s="76"/>
      <c r="M199" s="77"/>
    </row>
    <row r="200" spans="1:64" ht="15" customHeight="1">
      <c r="A200" s="15" t="s">
        <v>1327</v>
      </c>
      <c r="B200" s="14" t="s">
        <v>113</v>
      </c>
      <c r="C200" s="58" t="s">
        <v>1351</v>
      </c>
      <c r="D200" s="58"/>
      <c r="E200" s="58"/>
      <c r="F200" s="58"/>
      <c r="G200" s="14" t="s">
        <v>1189</v>
      </c>
      <c r="H200" s="2">
        <v>255.585</v>
      </c>
      <c r="I200" s="2">
        <v>0</v>
      </c>
      <c r="J200" s="2">
        <f>H200*AO200</f>
        <v>0</v>
      </c>
      <c r="K200" s="2">
        <f>H200*AP200</f>
        <v>0</v>
      </c>
      <c r="L200" s="2">
        <f>H200*I200</f>
        <v>0</v>
      </c>
      <c r="M200" s="7" t="s">
        <v>831</v>
      </c>
      <c r="Z200" s="2">
        <f>IF(AQ200="5",BJ200,0)</f>
        <v>0</v>
      </c>
      <c r="AB200" s="2">
        <f>IF(AQ200="1",BH200,0)</f>
        <v>0</v>
      </c>
      <c r="AC200" s="2">
        <f>IF(AQ200="1",BI200,0)</f>
        <v>0</v>
      </c>
      <c r="AD200" s="2">
        <f>IF(AQ200="7",BH200,0)</f>
        <v>0</v>
      </c>
      <c r="AE200" s="2">
        <f>IF(AQ200="7",BI200,0)</f>
        <v>0</v>
      </c>
      <c r="AF200" s="2">
        <f>IF(AQ200="2",BH200,0)</f>
        <v>0</v>
      </c>
      <c r="AG200" s="2">
        <f>IF(AQ200="2",BI200,0)</f>
        <v>0</v>
      </c>
      <c r="AH200" s="2">
        <f>IF(AQ200="0",BJ200,0)</f>
        <v>0</v>
      </c>
      <c r="AI200" s="19" t="s">
        <v>255</v>
      </c>
      <c r="AJ200" s="2">
        <f>IF(AN200=0,L200,0)</f>
        <v>0</v>
      </c>
      <c r="AK200" s="2">
        <f>IF(AN200=15,L200,0)</f>
        <v>0</v>
      </c>
      <c r="AL200" s="2">
        <f>IF(AN200=21,L200,0)</f>
        <v>0</v>
      </c>
      <c r="AN200" s="2">
        <v>15</v>
      </c>
      <c r="AO200" s="2">
        <f>I200*0.0696230369741312</f>
        <v>0</v>
      </c>
      <c r="AP200" s="2">
        <f>I200*(1-0.0696230369741312)</f>
        <v>0</v>
      </c>
      <c r="AQ200" s="43" t="s">
        <v>1215</v>
      </c>
      <c r="AV200" s="2">
        <f>AW200+AX200</f>
        <v>0</v>
      </c>
      <c r="AW200" s="2">
        <f>H200*AO200</f>
        <v>0</v>
      </c>
      <c r="AX200" s="2">
        <f>H200*AP200</f>
        <v>0</v>
      </c>
      <c r="AY200" s="43" t="s">
        <v>1048</v>
      </c>
      <c r="AZ200" s="43" t="s">
        <v>326</v>
      </c>
      <c r="BA200" s="19" t="s">
        <v>1155</v>
      </c>
      <c r="BC200" s="2">
        <f>AW200+AX200</f>
        <v>0</v>
      </c>
      <c r="BD200" s="2">
        <f>I200/(100-BE200)*100</f>
        <v>0</v>
      </c>
      <c r="BE200" s="2">
        <v>0</v>
      </c>
      <c r="BF200" s="2">
        <f>200</f>
        <v>200</v>
      </c>
      <c r="BH200" s="2">
        <f>H200*AO200</f>
        <v>0</v>
      </c>
      <c r="BI200" s="2">
        <f>H200*AP200</f>
        <v>0</v>
      </c>
      <c r="BJ200" s="2">
        <f>H200*I200</f>
        <v>0</v>
      </c>
      <c r="BK200" s="2"/>
      <c r="BL200" s="2">
        <v>711</v>
      </c>
    </row>
    <row r="201" spans="1:64" ht="15" customHeight="1">
      <c r="A201" s="15" t="s">
        <v>1246</v>
      </c>
      <c r="B201" s="14" t="s">
        <v>700</v>
      </c>
      <c r="C201" s="58" t="s">
        <v>800</v>
      </c>
      <c r="D201" s="58"/>
      <c r="E201" s="58"/>
      <c r="F201" s="58"/>
      <c r="G201" s="14" t="s">
        <v>1189</v>
      </c>
      <c r="H201" s="2">
        <v>293.923</v>
      </c>
      <c r="I201" s="2">
        <v>0</v>
      </c>
      <c r="J201" s="2">
        <f>H201*AO201</f>
        <v>0</v>
      </c>
      <c r="K201" s="2">
        <f>H201*AP201</f>
        <v>0</v>
      </c>
      <c r="L201" s="2">
        <f>H201*I201</f>
        <v>0</v>
      </c>
      <c r="M201" s="7" t="s">
        <v>831</v>
      </c>
      <c r="Z201" s="2">
        <f>IF(AQ201="5",BJ201,0)</f>
        <v>0</v>
      </c>
      <c r="AB201" s="2">
        <f>IF(AQ201="1",BH201,0)</f>
        <v>0</v>
      </c>
      <c r="AC201" s="2">
        <f>IF(AQ201="1",BI201,0)</f>
        <v>0</v>
      </c>
      <c r="AD201" s="2">
        <f>IF(AQ201="7",BH201,0)</f>
        <v>0</v>
      </c>
      <c r="AE201" s="2">
        <f>IF(AQ201="7",BI201,0)</f>
        <v>0</v>
      </c>
      <c r="AF201" s="2">
        <f>IF(AQ201="2",BH201,0)</f>
        <v>0</v>
      </c>
      <c r="AG201" s="2">
        <f>IF(AQ201="2",BI201,0)</f>
        <v>0</v>
      </c>
      <c r="AH201" s="2">
        <f>IF(AQ201="0",BJ201,0)</f>
        <v>0</v>
      </c>
      <c r="AI201" s="19" t="s">
        <v>255</v>
      </c>
      <c r="AJ201" s="2">
        <f>IF(AN201=0,L201,0)</f>
        <v>0</v>
      </c>
      <c r="AK201" s="2">
        <f>IF(AN201=15,L201,0)</f>
        <v>0</v>
      </c>
      <c r="AL201" s="2">
        <f>IF(AN201=21,L201,0)</f>
        <v>0</v>
      </c>
      <c r="AN201" s="2">
        <v>15</v>
      </c>
      <c r="AO201" s="2">
        <f>I201*1</f>
        <v>0</v>
      </c>
      <c r="AP201" s="2">
        <f>I201*(1-1)</f>
        <v>0</v>
      </c>
      <c r="AQ201" s="43" t="s">
        <v>1215</v>
      </c>
      <c r="AV201" s="2">
        <f>AW201+AX201</f>
        <v>0</v>
      </c>
      <c r="AW201" s="2">
        <f>H201*AO201</f>
        <v>0</v>
      </c>
      <c r="AX201" s="2">
        <f>H201*AP201</f>
        <v>0</v>
      </c>
      <c r="AY201" s="43" t="s">
        <v>1048</v>
      </c>
      <c r="AZ201" s="43" t="s">
        <v>326</v>
      </c>
      <c r="BA201" s="19" t="s">
        <v>1155</v>
      </c>
      <c r="BC201" s="2">
        <f>AW201+AX201</f>
        <v>0</v>
      </c>
      <c r="BD201" s="2">
        <f>I201/(100-BE201)*100</f>
        <v>0</v>
      </c>
      <c r="BE201" s="2">
        <v>0</v>
      </c>
      <c r="BF201" s="2">
        <f>201</f>
        <v>201</v>
      </c>
      <c r="BH201" s="2">
        <f>H201*AO201</f>
        <v>0</v>
      </c>
      <c r="BI201" s="2">
        <f>H201*AP201</f>
        <v>0</v>
      </c>
      <c r="BJ201" s="2">
        <f>H201*I201</f>
        <v>0</v>
      </c>
      <c r="BK201" s="2"/>
      <c r="BL201" s="2">
        <v>711</v>
      </c>
    </row>
    <row r="202" spans="1:64" ht="15" customHeight="1">
      <c r="A202" s="15" t="s">
        <v>1153</v>
      </c>
      <c r="B202" s="14" t="s">
        <v>387</v>
      </c>
      <c r="C202" s="58" t="s">
        <v>1363</v>
      </c>
      <c r="D202" s="58"/>
      <c r="E202" s="58"/>
      <c r="F202" s="58"/>
      <c r="G202" s="14" t="s">
        <v>1189</v>
      </c>
      <c r="H202" s="2">
        <v>293.923</v>
      </c>
      <c r="I202" s="2">
        <v>0</v>
      </c>
      <c r="J202" s="2">
        <f>H202*AO202</f>
        <v>0</v>
      </c>
      <c r="K202" s="2">
        <f>H202*AP202</f>
        <v>0</v>
      </c>
      <c r="L202" s="2">
        <f>H202*I202</f>
        <v>0</v>
      </c>
      <c r="M202" s="7" t="s">
        <v>831</v>
      </c>
      <c r="Z202" s="2">
        <f>IF(AQ202="5",BJ202,0)</f>
        <v>0</v>
      </c>
      <c r="AB202" s="2">
        <f>IF(AQ202="1",BH202,0)</f>
        <v>0</v>
      </c>
      <c r="AC202" s="2">
        <f>IF(AQ202="1",BI202,0)</f>
        <v>0</v>
      </c>
      <c r="AD202" s="2">
        <f>IF(AQ202="7",BH202,0)</f>
        <v>0</v>
      </c>
      <c r="AE202" s="2">
        <f>IF(AQ202="7",BI202,0)</f>
        <v>0</v>
      </c>
      <c r="AF202" s="2">
        <f>IF(AQ202="2",BH202,0)</f>
        <v>0</v>
      </c>
      <c r="AG202" s="2">
        <f>IF(AQ202="2",BI202,0)</f>
        <v>0</v>
      </c>
      <c r="AH202" s="2">
        <f>IF(AQ202="0",BJ202,0)</f>
        <v>0</v>
      </c>
      <c r="AI202" s="19" t="s">
        <v>255</v>
      </c>
      <c r="AJ202" s="2">
        <f>IF(AN202=0,L202,0)</f>
        <v>0</v>
      </c>
      <c r="AK202" s="2">
        <f>IF(AN202=15,L202,0)</f>
        <v>0</v>
      </c>
      <c r="AL202" s="2">
        <f>IF(AN202=21,L202,0)</f>
        <v>0</v>
      </c>
      <c r="AN202" s="2">
        <v>15</v>
      </c>
      <c r="AO202" s="2">
        <f>I202*1</f>
        <v>0</v>
      </c>
      <c r="AP202" s="2">
        <f>I202*(1-1)</f>
        <v>0</v>
      </c>
      <c r="AQ202" s="43" t="s">
        <v>1215</v>
      </c>
      <c r="AV202" s="2">
        <f>AW202+AX202</f>
        <v>0</v>
      </c>
      <c r="AW202" s="2">
        <f>H202*AO202</f>
        <v>0</v>
      </c>
      <c r="AX202" s="2">
        <f>H202*AP202</f>
        <v>0</v>
      </c>
      <c r="AY202" s="43" t="s">
        <v>1048</v>
      </c>
      <c r="AZ202" s="43" t="s">
        <v>326</v>
      </c>
      <c r="BA202" s="19" t="s">
        <v>1155</v>
      </c>
      <c r="BC202" s="2">
        <f>AW202+AX202</f>
        <v>0</v>
      </c>
      <c r="BD202" s="2">
        <f>I202/(100-BE202)*100</f>
        <v>0</v>
      </c>
      <c r="BE202" s="2">
        <v>0</v>
      </c>
      <c r="BF202" s="2">
        <f>202</f>
        <v>202</v>
      </c>
      <c r="BH202" s="2">
        <f>H202*AO202</f>
        <v>0</v>
      </c>
      <c r="BI202" s="2">
        <f>H202*AP202</f>
        <v>0</v>
      </c>
      <c r="BJ202" s="2">
        <f>H202*I202</f>
        <v>0</v>
      </c>
      <c r="BK202" s="2"/>
      <c r="BL202" s="2">
        <v>711</v>
      </c>
    </row>
    <row r="203" spans="1:64" ht="15" customHeight="1">
      <c r="A203" s="15" t="s">
        <v>647</v>
      </c>
      <c r="B203" s="14" t="s">
        <v>1202</v>
      </c>
      <c r="C203" s="58" t="s">
        <v>523</v>
      </c>
      <c r="D203" s="58"/>
      <c r="E203" s="58"/>
      <c r="F203" s="58"/>
      <c r="G203" s="14" t="s">
        <v>1189</v>
      </c>
      <c r="H203" s="2">
        <v>35.6</v>
      </c>
      <c r="I203" s="2">
        <v>0</v>
      </c>
      <c r="J203" s="2">
        <f>H203*AO203</f>
        <v>0</v>
      </c>
      <c r="K203" s="2">
        <f>H203*AP203</f>
        <v>0</v>
      </c>
      <c r="L203" s="2">
        <f>H203*I203</f>
        <v>0</v>
      </c>
      <c r="M203" s="7" t="s">
        <v>831</v>
      </c>
      <c r="Z203" s="2">
        <f>IF(AQ203="5",BJ203,0)</f>
        <v>0</v>
      </c>
      <c r="AB203" s="2">
        <f>IF(AQ203="1",BH203,0)</f>
        <v>0</v>
      </c>
      <c r="AC203" s="2">
        <f>IF(AQ203="1",BI203,0)</f>
        <v>0</v>
      </c>
      <c r="AD203" s="2">
        <f>IF(AQ203="7",BH203,0)</f>
        <v>0</v>
      </c>
      <c r="AE203" s="2">
        <f>IF(AQ203="7",BI203,0)</f>
        <v>0</v>
      </c>
      <c r="AF203" s="2">
        <f>IF(AQ203="2",BH203,0)</f>
        <v>0</v>
      </c>
      <c r="AG203" s="2">
        <f>IF(AQ203="2",BI203,0)</f>
        <v>0</v>
      </c>
      <c r="AH203" s="2">
        <f>IF(AQ203="0",BJ203,0)</f>
        <v>0</v>
      </c>
      <c r="AI203" s="19" t="s">
        <v>255</v>
      </c>
      <c r="AJ203" s="2">
        <f>IF(AN203=0,L203,0)</f>
        <v>0</v>
      </c>
      <c r="AK203" s="2">
        <f>IF(AN203=15,L203,0)</f>
        <v>0</v>
      </c>
      <c r="AL203" s="2">
        <f>IF(AN203=21,L203,0)</f>
        <v>0</v>
      </c>
      <c r="AN203" s="2">
        <v>15</v>
      </c>
      <c r="AO203" s="2">
        <f>I203*0.649938030006523</f>
        <v>0</v>
      </c>
      <c r="AP203" s="2">
        <f>I203*(1-0.649938030006523)</f>
        <v>0</v>
      </c>
      <c r="AQ203" s="43" t="s">
        <v>1215</v>
      </c>
      <c r="AV203" s="2">
        <f>AW203+AX203</f>
        <v>0</v>
      </c>
      <c r="AW203" s="2">
        <f>H203*AO203</f>
        <v>0</v>
      </c>
      <c r="AX203" s="2">
        <f>H203*AP203</f>
        <v>0</v>
      </c>
      <c r="AY203" s="43" t="s">
        <v>1048</v>
      </c>
      <c r="AZ203" s="43" t="s">
        <v>326</v>
      </c>
      <c r="BA203" s="19" t="s">
        <v>1155</v>
      </c>
      <c r="BC203" s="2">
        <f>AW203+AX203</f>
        <v>0</v>
      </c>
      <c r="BD203" s="2">
        <f>I203/(100-BE203)*100</f>
        <v>0</v>
      </c>
      <c r="BE203" s="2">
        <v>0</v>
      </c>
      <c r="BF203" s="2">
        <f>203</f>
        <v>203</v>
      </c>
      <c r="BH203" s="2">
        <f>H203*AO203</f>
        <v>0</v>
      </c>
      <c r="BI203" s="2">
        <f>H203*AP203</f>
        <v>0</v>
      </c>
      <c r="BJ203" s="2">
        <f>H203*I203</f>
        <v>0</v>
      </c>
      <c r="BK203" s="2"/>
      <c r="BL203" s="2">
        <v>711</v>
      </c>
    </row>
    <row r="204" spans="1:13" ht="13.5" customHeight="1">
      <c r="A204" s="51"/>
      <c r="B204" s="32" t="s">
        <v>639</v>
      </c>
      <c r="C204" s="75" t="s">
        <v>4</v>
      </c>
      <c r="D204" s="76"/>
      <c r="E204" s="76"/>
      <c r="F204" s="76"/>
      <c r="G204" s="76"/>
      <c r="H204" s="76"/>
      <c r="I204" s="76"/>
      <c r="J204" s="76"/>
      <c r="K204" s="76"/>
      <c r="L204" s="76"/>
      <c r="M204" s="77"/>
    </row>
    <row r="205" spans="1:64" ht="15" customHeight="1">
      <c r="A205" s="15" t="s">
        <v>587</v>
      </c>
      <c r="B205" s="14" t="s">
        <v>1302</v>
      </c>
      <c r="C205" s="58" t="s">
        <v>438</v>
      </c>
      <c r="D205" s="58"/>
      <c r="E205" s="58"/>
      <c r="F205" s="58"/>
      <c r="G205" s="14" t="s">
        <v>1189</v>
      </c>
      <c r="H205" s="2">
        <v>35.6</v>
      </c>
      <c r="I205" s="2">
        <v>0</v>
      </c>
      <c r="J205" s="2">
        <f>H205*AO205</f>
        <v>0</v>
      </c>
      <c r="K205" s="2">
        <f>H205*AP205</f>
        <v>0</v>
      </c>
      <c r="L205" s="2">
        <f>H205*I205</f>
        <v>0</v>
      </c>
      <c r="M205" s="7" t="s">
        <v>831</v>
      </c>
      <c r="Z205" s="2">
        <f>IF(AQ205="5",BJ205,0)</f>
        <v>0</v>
      </c>
      <c r="AB205" s="2">
        <f>IF(AQ205="1",BH205,0)</f>
        <v>0</v>
      </c>
      <c r="AC205" s="2">
        <f>IF(AQ205="1",BI205,0)</f>
        <v>0</v>
      </c>
      <c r="AD205" s="2">
        <f>IF(AQ205="7",BH205,0)</f>
        <v>0</v>
      </c>
      <c r="AE205" s="2">
        <f>IF(AQ205="7",BI205,0)</f>
        <v>0</v>
      </c>
      <c r="AF205" s="2">
        <f>IF(AQ205="2",BH205,0)</f>
        <v>0</v>
      </c>
      <c r="AG205" s="2">
        <f>IF(AQ205="2",BI205,0)</f>
        <v>0</v>
      </c>
      <c r="AH205" s="2">
        <f>IF(AQ205="0",BJ205,0)</f>
        <v>0</v>
      </c>
      <c r="AI205" s="19" t="s">
        <v>255</v>
      </c>
      <c r="AJ205" s="2">
        <f>IF(AN205=0,L205,0)</f>
        <v>0</v>
      </c>
      <c r="AK205" s="2">
        <f>IF(AN205=15,L205,0)</f>
        <v>0</v>
      </c>
      <c r="AL205" s="2">
        <f>IF(AN205=21,L205,0)</f>
        <v>0</v>
      </c>
      <c r="AN205" s="2">
        <v>15</v>
      </c>
      <c r="AO205" s="2">
        <f>I205*0.0857798147396105</f>
        <v>0</v>
      </c>
      <c r="AP205" s="2">
        <f>I205*(1-0.0857798147396105)</f>
        <v>0</v>
      </c>
      <c r="AQ205" s="43" t="s">
        <v>1215</v>
      </c>
      <c r="AV205" s="2">
        <f>AW205+AX205</f>
        <v>0</v>
      </c>
      <c r="AW205" s="2">
        <f>H205*AO205</f>
        <v>0</v>
      </c>
      <c r="AX205" s="2">
        <f>H205*AP205</f>
        <v>0</v>
      </c>
      <c r="AY205" s="43" t="s">
        <v>1048</v>
      </c>
      <c r="AZ205" s="43" t="s">
        <v>326</v>
      </c>
      <c r="BA205" s="19" t="s">
        <v>1155</v>
      </c>
      <c r="BC205" s="2">
        <f>AW205+AX205</f>
        <v>0</v>
      </c>
      <c r="BD205" s="2">
        <f>I205/(100-BE205)*100</f>
        <v>0</v>
      </c>
      <c r="BE205" s="2">
        <v>0</v>
      </c>
      <c r="BF205" s="2">
        <f>205</f>
        <v>205</v>
      </c>
      <c r="BH205" s="2">
        <f>H205*AO205</f>
        <v>0</v>
      </c>
      <c r="BI205" s="2">
        <f>H205*AP205</f>
        <v>0</v>
      </c>
      <c r="BJ205" s="2">
        <f>H205*I205</f>
        <v>0</v>
      </c>
      <c r="BK205" s="2"/>
      <c r="BL205" s="2">
        <v>711</v>
      </c>
    </row>
    <row r="206" spans="1:13" ht="13.5" customHeight="1">
      <c r="A206" s="51"/>
      <c r="B206" s="32" t="s">
        <v>639</v>
      </c>
      <c r="C206" s="75" t="s">
        <v>247</v>
      </c>
      <c r="D206" s="76"/>
      <c r="E206" s="76"/>
      <c r="F206" s="76"/>
      <c r="G206" s="76"/>
      <c r="H206" s="76"/>
      <c r="I206" s="76"/>
      <c r="J206" s="76"/>
      <c r="K206" s="76"/>
      <c r="L206" s="76"/>
      <c r="M206" s="77"/>
    </row>
    <row r="207" spans="1:64" ht="15" customHeight="1">
      <c r="A207" s="15" t="s">
        <v>529</v>
      </c>
      <c r="B207" s="14" t="s">
        <v>387</v>
      </c>
      <c r="C207" s="58" t="s">
        <v>1363</v>
      </c>
      <c r="D207" s="58"/>
      <c r="E207" s="58"/>
      <c r="F207" s="58"/>
      <c r="G207" s="14" t="s">
        <v>1189</v>
      </c>
      <c r="H207" s="2">
        <v>42.72</v>
      </c>
      <c r="I207" s="2">
        <v>0</v>
      </c>
      <c r="J207" s="2">
        <f>H207*AO207</f>
        <v>0</v>
      </c>
      <c r="K207" s="2">
        <f>H207*AP207</f>
        <v>0</v>
      </c>
      <c r="L207" s="2">
        <f>H207*I207</f>
        <v>0</v>
      </c>
      <c r="M207" s="7" t="s">
        <v>831</v>
      </c>
      <c r="Z207" s="2">
        <f>IF(AQ207="5",BJ207,0)</f>
        <v>0</v>
      </c>
      <c r="AB207" s="2">
        <f>IF(AQ207="1",BH207,0)</f>
        <v>0</v>
      </c>
      <c r="AC207" s="2">
        <f>IF(AQ207="1",BI207,0)</f>
        <v>0</v>
      </c>
      <c r="AD207" s="2">
        <f>IF(AQ207="7",BH207,0)</f>
        <v>0</v>
      </c>
      <c r="AE207" s="2">
        <f>IF(AQ207="7",BI207,0)</f>
        <v>0</v>
      </c>
      <c r="AF207" s="2">
        <f>IF(AQ207="2",BH207,0)</f>
        <v>0</v>
      </c>
      <c r="AG207" s="2">
        <f>IF(AQ207="2",BI207,0)</f>
        <v>0</v>
      </c>
      <c r="AH207" s="2">
        <f>IF(AQ207="0",BJ207,0)</f>
        <v>0</v>
      </c>
      <c r="AI207" s="19" t="s">
        <v>255</v>
      </c>
      <c r="AJ207" s="2">
        <f>IF(AN207=0,L207,0)</f>
        <v>0</v>
      </c>
      <c r="AK207" s="2">
        <f>IF(AN207=15,L207,0)</f>
        <v>0</v>
      </c>
      <c r="AL207" s="2">
        <f>IF(AN207=21,L207,0)</f>
        <v>0</v>
      </c>
      <c r="AN207" s="2">
        <v>15</v>
      </c>
      <c r="AO207" s="2">
        <f>I207*1</f>
        <v>0</v>
      </c>
      <c r="AP207" s="2">
        <f>I207*(1-1)</f>
        <v>0</v>
      </c>
      <c r="AQ207" s="43" t="s">
        <v>1215</v>
      </c>
      <c r="AV207" s="2">
        <f>AW207+AX207</f>
        <v>0</v>
      </c>
      <c r="AW207" s="2">
        <f>H207*AO207</f>
        <v>0</v>
      </c>
      <c r="AX207" s="2">
        <f>H207*AP207</f>
        <v>0</v>
      </c>
      <c r="AY207" s="43" t="s">
        <v>1048</v>
      </c>
      <c r="AZ207" s="43" t="s">
        <v>326</v>
      </c>
      <c r="BA207" s="19" t="s">
        <v>1155</v>
      </c>
      <c r="BC207" s="2">
        <f>AW207+AX207</f>
        <v>0</v>
      </c>
      <c r="BD207" s="2">
        <f>I207/(100-BE207)*100</f>
        <v>0</v>
      </c>
      <c r="BE207" s="2">
        <v>0</v>
      </c>
      <c r="BF207" s="2">
        <f>207</f>
        <v>207</v>
      </c>
      <c r="BH207" s="2">
        <f>H207*AO207</f>
        <v>0</v>
      </c>
      <c r="BI207" s="2">
        <f>H207*AP207</f>
        <v>0</v>
      </c>
      <c r="BJ207" s="2">
        <f>H207*I207</f>
        <v>0</v>
      </c>
      <c r="BK207" s="2"/>
      <c r="BL207" s="2">
        <v>711</v>
      </c>
    </row>
    <row r="208" spans="1:64" ht="15" customHeight="1">
      <c r="A208" s="15" t="s">
        <v>240</v>
      </c>
      <c r="B208" s="14" t="s">
        <v>700</v>
      </c>
      <c r="C208" s="58" t="s">
        <v>800</v>
      </c>
      <c r="D208" s="58"/>
      <c r="E208" s="58"/>
      <c r="F208" s="58"/>
      <c r="G208" s="14" t="s">
        <v>1189</v>
      </c>
      <c r="H208" s="2">
        <v>42.72</v>
      </c>
      <c r="I208" s="2">
        <v>0</v>
      </c>
      <c r="J208" s="2">
        <f>H208*AO208</f>
        <v>0</v>
      </c>
      <c r="K208" s="2">
        <f>H208*AP208</f>
        <v>0</v>
      </c>
      <c r="L208" s="2">
        <f>H208*I208</f>
        <v>0</v>
      </c>
      <c r="M208" s="7" t="s">
        <v>831</v>
      </c>
      <c r="Z208" s="2">
        <f>IF(AQ208="5",BJ208,0)</f>
        <v>0</v>
      </c>
      <c r="AB208" s="2">
        <f>IF(AQ208="1",BH208,0)</f>
        <v>0</v>
      </c>
      <c r="AC208" s="2">
        <f>IF(AQ208="1",BI208,0)</f>
        <v>0</v>
      </c>
      <c r="AD208" s="2">
        <f>IF(AQ208="7",BH208,0)</f>
        <v>0</v>
      </c>
      <c r="AE208" s="2">
        <f>IF(AQ208="7",BI208,0)</f>
        <v>0</v>
      </c>
      <c r="AF208" s="2">
        <f>IF(AQ208="2",BH208,0)</f>
        <v>0</v>
      </c>
      <c r="AG208" s="2">
        <f>IF(AQ208="2",BI208,0)</f>
        <v>0</v>
      </c>
      <c r="AH208" s="2">
        <f>IF(AQ208="0",BJ208,0)</f>
        <v>0</v>
      </c>
      <c r="AI208" s="19" t="s">
        <v>255</v>
      </c>
      <c r="AJ208" s="2">
        <f>IF(AN208=0,L208,0)</f>
        <v>0</v>
      </c>
      <c r="AK208" s="2">
        <f>IF(AN208=15,L208,0)</f>
        <v>0</v>
      </c>
      <c r="AL208" s="2">
        <f>IF(AN208=21,L208,0)</f>
        <v>0</v>
      </c>
      <c r="AN208" s="2">
        <v>15</v>
      </c>
      <c r="AO208" s="2">
        <f>I208*1</f>
        <v>0</v>
      </c>
      <c r="AP208" s="2">
        <f>I208*(1-1)</f>
        <v>0</v>
      </c>
      <c r="AQ208" s="43" t="s">
        <v>1215</v>
      </c>
      <c r="AV208" s="2">
        <f>AW208+AX208</f>
        <v>0</v>
      </c>
      <c r="AW208" s="2">
        <f>H208*AO208</f>
        <v>0</v>
      </c>
      <c r="AX208" s="2">
        <f>H208*AP208</f>
        <v>0</v>
      </c>
      <c r="AY208" s="43" t="s">
        <v>1048</v>
      </c>
      <c r="AZ208" s="43" t="s">
        <v>326</v>
      </c>
      <c r="BA208" s="19" t="s">
        <v>1155</v>
      </c>
      <c r="BC208" s="2">
        <f>AW208+AX208</f>
        <v>0</v>
      </c>
      <c r="BD208" s="2">
        <f>I208/(100-BE208)*100</f>
        <v>0</v>
      </c>
      <c r="BE208" s="2">
        <v>0</v>
      </c>
      <c r="BF208" s="2">
        <f>208</f>
        <v>208</v>
      </c>
      <c r="BH208" s="2">
        <f>H208*AO208</f>
        <v>0</v>
      </c>
      <c r="BI208" s="2">
        <f>H208*AP208</f>
        <v>0</v>
      </c>
      <c r="BJ208" s="2">
        <f>H208*I208</f>
        <v>0</v>
      </c>
      <c r="BK208" s="2"/>
      <c r="BL208" s="2">
        <v>711</v>
      </c>
    </row>
    <row r="209" spans="1:64" ht="15" customHeight="1">
      <c r="A209" s="15" t="s">
        <v>295</v>
      </c>
      <c r="B209" s="14" t="s">
        <v>1293</v>
      </c>
      <c r="C209" s="58" t="s">
        <v>1161</v>
      </c>
      <c r="D209" s="58"/>
      <c r="E209" s="58"/>
      <c r="F209" s="58"/>
      <c r="G209" s="14" t="s">
        <v>1189</v>
      </c>
      <c r="H209" s="2">
        <v>49.176</v>
      </c>
      <c r="I209" s="2">
        <v>0</v>
      </c>
      <c r="J209" s="2">
        <f>H209*AO209</f>
        <v>0</v>
      </c>
      <c r="K209" s="2">
        <f>H209*AP209</f>
        <v>0</v>
      </c>
      <c r="L209" s="2">
        <f>H209*I209</f>
        <v>0</v>
      </c>
      <c r="M209" s="7" t="s">
        <v>831</v>
      </c>
      <c r="Z209" s="2">
        <f>IF(AQ209="5",BJ209,0)</f>
        <v>0</v>
      </c>
      <c r="AB209" s="2">
        <f>IF(AQ209="1",BH209,0)</f>
        <v>0</v>
      </c>
      <c r="AC209" s="2">
        <f>IF(AQ209="1",BI209,0)</f>
        <v>0</v>
      </c>
      <c r="AD209" s="2">
        <f>IF(AQ209="7",BH209,0)</f>
        <v>0</v>
      </c>
      <c r="AE209" s="2">
        <f>IF(AQ209="7",BI209,0)</f>
        <v>0</v>
      </c>
      <c r="AF209" s="2">
        <f>IF(AQ209="2",BH209,0)</f>
        <v>0</v>
      </c>
      <c r="AG209" s="2">
        <f>IF(AQ209="2",BI209,0)</f>
        <v>0</v>
      </c>
      <c r="AH209" s="2">
        <f>IF(AQ209="0",BJ209,0)</f>
        <v>0</v>
      </c>
      <c r="AI209" s="19" t="s">
        <v>255</v>
      </c>
      <c r="AJ209" s="2">
        <f>IF(AN209=0,L209,0)</f>
        <v>0</v>
      </c>
      <c r="AK209" s="2">
        <f>IF(AN209=15,L209,0)</f>
        <v>0</v>
      </c>
      <c r="AL209" s="2">
        <f>IF(AN209=21,L209,0)</f>
        <v>0</v>
      </c>
      <c r="AN209" s="2">
        <v>15</v>
      </c>
      <c r="AO209" s="2">
        <f>I209*0.658440713864213</f>
        <v>0</v>
      </c>
      <c r="AP209" s="2">
        <f>I209*(1-0.658440713864213)</f>
        <v>0</v>
      </c>
      <c r="AQ209" s="43" t="s">
        <v>1215</v>
      </c>
      <c r="AV209" s="2">
        <f>AW209+AX209</f>
        <v>0</v>
      </c>
      <c r="AW209" s="2">
        <f>H209*AO209</f>
        <v>0</v>
      </c>
      <c r="AX209" s="2">
        <f>H209*AP209</f>
        <v>0</v>
      </c>
      <c r="AY209" s="43" t="s">
        <v>1048</v>
      </c>
      <c r="AZ209" s="43" t="s">
        <v>326</v>
      </c>
      <c r="BA209" s="19" t="s">
        <v>1155</v>
      </c>
      <c r="BC209" s="2">
        <f>AW209+AX209</f>
        <v>0</v>
      </c>
      <c r="BD209" s="2">
        <f>I209/(100-BE209)*100</f>
        <v>0</v>
      </c>
      <c r="BE209" s="2">
        <v>0</v>
      </c>
      <c r="BF209" s="2">
        <f>209</f>
        <v>209</v>
      </c>
      <c r="BH209" s="2">
        <f>H209*AO209</f>
        <v>0</v>
      </c>
      <c r="BI209" s="2">
        <f>H209*AP209</f>
        <v>0</v>
      </c>
      <c r="BJ209" s="2">
        <f>H209*I209</f>
        <v>0</v>
      </c>
      <c r="BK209" s="2"/>
      <c r="BL209" s="2">
        <v>711</v>
      </c>
    </row>
    <row r="210" spans="1:13" ht="13.5" customHeight="1">
      <c r="A210" s="51"/>
      <c r="B210" s="32" t="s">
        <v>639</v>
      </c>
      <c r="C210" s="75" t="s">
        <v>1269</v>
      </c>
      <c r="D210" s="76"/>
      <c r="E210" s="76"/>
      <c r="F210" s="76"/>
      <c r="G210" s="76"/>
      <c r="H210" s="76"/>
      <c r="I210" s="76"/>
      <c r="J210" s="76"/>
      <c r="K210" s="76"/>
      <c r="L210" s="76"/>
      <c r="M210" s="77"/>
    </row>
    <row r="211" spans="1:64" ht="15" customHeight="1">
      <c r="A211" s="15" t="s">
        <v>147</v>
      </c>
      <c r="B211" s="14" t="s">
        <v>59</v>
      </c>
      <c r="C211" s="58" t="s">
        <v>888</v>
      </c>
      <c r="D211" s="58"/>
      <c r="E211" s="58"/>
      <c r="F211" s="58"/>
      <c r="G211" s="14" t="s">
        <v>584</v>
      </c>
      <c r="H211" s="2">
        <v>3.545</v>
      </c>
      <c r="I211" s="2">
        <v>0</v>
      </c>
      <c r="J211" s="2">
        <f>H211*AO211</f>
        <v>0</v>
      </c>
      <c r="K211" s="2">
        <f>H211*AP211</f>
        <v>0</v>
      </c>
      <c r="L211" s="2">
        <f>H211*I211</f>
        <v>0</v>
      </c>
      <c r="M211" s="7" t="s">
        <v>831</v>
      </c>
      <c r="Z211" s="2">
        <f>IF(AQ211="5",BJ211,0)</f>
        <v>0</v>
      </c>
      <c r="AB211" s="2">
        <f>IF(AQ211="1",BH211,0)</f>
        <v>0</v>
      </c>
      <c r="AC211" s="2">
        <f>IF(AQ211="1",BI211,0)</f>
        <v>0</v>
      </c>
      <c r="AD211" s="2">
        <f>IF(AQ211="7",BH211,0)</f>
        <v>0</v>
      </c>
      <c r="AE211" s="2">
        <f>IF(AQ211="7",BI211,0)</f>
        <v>0</v>
      </c>
      <c r="AF211" s="2">
        <f>IF(AQ211="2",BH211,0)</f>
        <v>0</v>
      </c>
      <c r="AG211" s="2">
        <f>IF(AQ211="2",BI211,0)</f>
        <v>0</v>
      </c>
      <c r="AH211" s="2">
        <f>IF(AQ211="0",BJ211,0)</f>
        <v>0</v>
      </c>
      <c r="AI211" s="19" t="s">
        <v>255</v>
      </c>
      <c r="AJ211" s="2">
        <f>IF(AN211=0,L211,0)</f>
        <v>0</v>
      </c>
      <c r="AK211" s="2">
        <f>IF(AN211=15,L211,0)</f>
        <v>0</v>
      </c>
      <c r="AL211" s="2">
        <f>IF(AN211=21,L211,0)</f>
        <v>0</v>
      </c>
      <c r="AN211" s="2">
        <v>15</v>
      </c>
      <c r="AO211" s="2">
        <f>I211*0</f>
        <v>0</v>
      </c>
      <c r="AP211" s="2">
        <f>I211*(1-0)</f>
        <v>0</v>
      </c>
      <c r="AQ211" s="43" t="s">
        <v>655</v>
      </c>
      <c r="AV211" s="2">
        <f>AW211+AX211</f>
        <v>0</v>
      </c>
      <c r="AW211" s="2">
        <f>H211*AO211</f>
        <v>0</v>
      </c>
      <c r="AX211" s="2">
        <f>H211*AP211</f>
        <v>0</v>
      </c>
      <c r="AY211" s="43" t="s">
        <v>1048</v>
      </c>
      <c r="AZ211" s="43" t="s">
        <v>326</v>
      </c>
      <c r="BA211" s="19" t="s">
        <v>1155</v>
      </c>
      <c r="BC211" s="2">
        <f>AW211+AX211</f>
        <v>0</v>
      </c>
      <c r="BD211" s="2">
        <f>I211/(100-BE211)*100</f>
        <v>0</v>
      </c>
      <c r="BE211" s="2">
        <v>0</v>
      </c>
      <c r="BF211" s="2">
        <f>211</f>
        <v>211</v>
      </c>
      <c r="BH211" s="2">
        <f>H211*AO211</f>
        <v>0</v>
      </c>
      <c r="BI211" s="2">
        <f>H211*AP211</f>
        <v>0</v>
      </c>
      <c r="BJ211" s="2">
        <f>H211*I211</f>
        <v>0</v>
      </c>
      <c r="BK211" s="2"/>
      <c r="BL211" s="2">
        <v>711</v>
      </c>
    </row>
    <row r="212" spans="1:47" ht="15" customHeight="1">
      <c r="A212" s="48" t="s">
        <v>844</v>
      </c>
      <c r="B212" s="17" t="s">
        <v>973</v>
      </c>
      <c r="C212" s="74" t="s">
        <v>1038</v>
      </c>
      <c r="D212" s="74"/>
      <c r="E212" s="74"/>
      <c r="F212" s="74"/>
      <c r="G212" s="40" t="s">
        <v>1110</v>
      </c>
      <c r="H212" s="40" t="s">
        <v>1110</v>
      </c>
      <c r="I212" s="40" t="s">
        <v>1110</v>
      </c>
      <c r="J212" s="23">
        <f>SUM(J213:J226)</f>
        <v>0</v>
      </c>
      <c r="K212" s="23">
        <f>SUM(K213:K226)</f>
        <v>0</v>
      </c>
      <c r="L212" s="23">
        <f>SUM(L213:L226)</f>
        <v>0</v>
      </c>
      <c r="M212" s="37" t="s">
        <v>844</v>
      </c>
      <c r="AI212" s="19" t="s">
        <v>255</v>
      </c>
      <c r="AS212" s="23">
        <f>SUM(AJ213:AJ226)</f>
        <v>0</v>
      </c>
      <c r="AT212" s="23">
        <f>SUM(AK213:AK226)</f>
        <v>0</v>
      </c>
      <c r="AU212" s="23">
        <f>SUM(AL213:AL226)</f>
        <v>0</v>
      </c>
    </row>
    <row r="213" spans="1:64" ht="15" customHeight="1">
      <c r="A213" s="15" t="s">
        <v>190</v>
      </c>
      <c r="B213" s="14" t="s">
        <v>979</v>
      </c>
      <c r="C213" s="58" t="s">
        <v>879</v>
      </c>
      <c r="D213" s="58"/>
      <c r="E213" s="58"/>
      <c r="F213" s="58"/>
      <c r="G213" s="14" t="s">
        <v>1189</v>
      </c>
      <c r="H213" s="2">
        <v>41.71</v>
      </c>
      <c r="I213" s="2">
        <v>0</v>
      </c>
      <c r="J213" s="2">
        <f>H213*AO213</f>
        <v>0</v>
      </c>
      <c r="K213" s="2">
        <f>H213*AP213</f>
        <v>0</v>
      </c>
      <c r="L213" s="2">
        <f>H213*I213</f>
        <v>0</v>
      </c>
      <c r="M213" s="7" t="s">
        <v>831</v>
      </c>
      <c r="Z213" s="2">
        <f>IF(AQ213="5",BJ213,0)</f>
        <v>0</v>
      </c>
      <c r="AB213" s="2">
        <f>IF(AQ213="1",BH213,0)</f>
        <v>0</v>
      </c>
      <c r="AC213" s="2">
        <f>IF(AQ213="1",BI213,0)</f>
        <v>0</v>
      </c>
      <c r="AD213" s="2">
        <f>IF(AQ213="7",BH213,0)</f>
        <v>0</v>
      </c>
      <c r="AE213" s="2">
        <f>IF(AQ213="7",BI213,0)</f>
        <v>0</v>
      </c>
      <c r="AF213" s="2">
        <f>IF(AQ213="2",BH213,0)</f>
        <v>0</v>
      </c>
      <c r="AG213" s="2">
        <f>IF(AQ213="2",BI213,0)</f>
        <v>0</v>
      </c>
      <c r="AH213" s="2">
        <f>IF(AQ213="0",BJ213,0)</f>
        <v>0</v>
      </c>
      <c r="AI213" s="19" t="s">
        <v>255</v>
      </c>
      <c r="AJ213" s="2">
        <f>IF(AN213=0,L213,0)</f>
        <v>0</v>
      </c>
      <c r="AK213" s="2">
        <f>IF(AN213=15,L213,0)</f>
        <v>0</v>
      </c>
      <c r="AL213" s="2">
        <f>IF(AN213=21,L213,0)</f>
        <v>0</v>
      </c>
      <c r="AN213" s="2">
        <v>15</v>
      </c>
      <c r="AO213" s="2">
        <f>I213*0.449570604132159</f>
        <v>0</v>
      </c>
      <c r="AP213" s="2">
        <f>I213*(1-0.449570604132159)</f>
        <v>0</v>
      </c>
      <c r="AQ213" s="43" t="s">
        <v>1215</v>
      </c>
      <c r="AV213" s="2">
        <f>AW213+AX213</f>
        <v>0</v>
      </c>
      <c r="AW213" s="2">
        <f>H213*AO213</f>
        <v>0</v>
      </c>
      <c r="AX213" s="2">
        <f>H213*AP213</f>
        <v>0</v>
      </c>
      <c r="AY213" s="43" t="s">
        <v>943</v>
      </c>
      <c r="AZ213" s="43" t="s">
        <v>326</v>
      </c>
      <c r="BA213" s="19" t="s">
        <v>1155</v>
      </c>
      <c r="BC213" s="2">
        <f>AW213+AX213</f>
        <v>0</v>
      </c>
      <c r="BD213" s="2">
        <f>I213/(100-BE213)*100</f>
        <v>0</v>
      </c>
      <c r="BE213" s="2">
        <v>0</v>
      </c>
      <c r="BF213" s="2">
        <f>213</f>
        <v>213</v>
      </c>
      <c r="BH213" s="2">
        <f>H213*AO213</f>
        <v>0</v>
      </c>
      <c r="BI213" s="2">
        <f>H213*AP213</f>
        <v>0</v>
      </c>
      <c r="BJ213" s="2">
        <f>H213*I213</f>
        <v>0</v>
      </c>
      <c r="BK213" s="2"/>
      <c r="BL213" s="2">
        <v>713</v>
      </c>
    </row>
    <row r="214" spans="1:13" ht="13.5" customHeight="1">
      <c r="A214" s="51"/>
      <c r="B214" s="32" t="s">
        <v>639</v>
      </c>
      <c r="C214" s="75" t="s">
        <v>281</v>
      </c>
      <c r="D214" s="76"/>
      <c r="E214" s="76"/>
      <c r="F214" s="76"/>
      <c r="G214" s="76"/>
      <c r="H214" s="76"/>
      <c r="I214" s="76"/>
      <c r="J214" s="76"/>
      <c r="K214" s="76"/>
      <c r="L214" s="76"/>
      <c r="M214" s="77"/>
    </row>
    <row r="215" spans="1:64" ht="15" customHeight="1">
      <c r="A215" s="15" t="s">
        <v>1124</v>
      </c>
      <c r="B215" s="14" t="s">
        <v>731</v>
      </c>
      <c r="C215" s="58" t="s">
        <v>1163</v>
      </c>
      <c r="D215" s="58"/>
      <c r="E215" s="58"/>
      <c r="F215" s="58"/>
      <c r="G215" s="14" t="s">
        <v>1165</v>
      </c>
      <c r="H215" s="2">
        <v>6.131</v>
      </c>
      <c r="I215" s="2">
        <v>0</v>
      </c>
      <c r="J215" s="2">
        <f>H215*AO215</f>
        <v>0</v>
      </c>
      <c r="K215" s="2">
        <f>H215*AP215</f>
        <v>0</v>
      </c>
      <c r="L215" s="2">
        <f>H215*I215</f>
        <v>0</v>
      </c>
      <c r="M215" s="7" t="s">
        <v>831</v>
      </c>
      <c r="Z215" s="2">
        <f>IF(AQ215="5",BJ215,0)</f>
        <v>0</v>
      </c>
      <c r="AB215" s="2">
        <f>IF(AQ215="1",BH215,0)</f>
        <v>0</v>
      </c>
      <c r="AC215" s="2">
        <f>IF(AQ215="1",BI215,0)</f>
        <v>0</v>
      </c>
      <c r="AD215" s="2">
        <f>IF(AQ215="7",BH215,0)</f>
        <v>0</v>
      </c>
      <c r="AE215" s="2">
        <f>IF(AQ215="7",BI215,0)</f>
        <v>0</v>
      </c>
      <c r="AF215" s="2">
        <f>IF(AQ215="2",BH215,0)</f>
        <v>0</v>
      </c>
      <c r="AG215" s="2">
        <f>IF(AQ215="2",BI215,0)</f>
        <v>0</v>
      </c>
      <c r="AH215" s="2">
        <f>IF(AQ215="0",BJ215,0)</f>
        <v>0</v>
      </c>
      <c r="AI215" s="19" t="s">
        <v>255</v>
      </c>
      <c r="AJ215" s="2">
        <f>IF(AN215=0,L215,0)</f>
        <v>0</v>
      </c>
      <c r="AK215" s="2">
        <f>IF(AN215=15,L215,0)</f>
        <v>0</v>
      </c>
      <c r="AL215" s="2">
        <f>IF(AN215=21,L215,0)</f>
        <v>0</v>
      </c>
      <c r="AN215" s="2">
        <v>15</v>
      </c>
      <c r="AO215" s="2">
        <f>I215*1</f>
        <v>0</v>
      </c>
      <c r="AP215" s="2">
        <f>I215*(1-1)</f>
        <v>0</v>
      </c>
      <c r="AQ215" s="43" t="s">
        <v>1215</v>
      </c>
      <c r="AV215" s="2">
        <f>AW215+AX215</f>
        <v>0</v>
      </c>
      <c r="AW215" s="2">
        <f>H215*AO215</f>
        <v>0</v>
      </c>
      <c r="AX215" s="2">
        <f>H215*AP215</f>
        <v>0</v>
      </c>
      <c r="AY215" s="43" t="s">
        <v>943</v>
      </c>
      <c r="AZ215" s="43" t="s">
        <v>326</v>
      </c>
      <c r="BA215" s="19" t="s">
        <v>1155</v>
      </c>
      <c r="BC215" s="2">
        <f>AW215+AX215</f>
        <v>0</v>
      </c>
      <c r="BD215" s="2">
        <f>I215/(100-BE215)*100</f>
        <v>0</v>
      </c>
      <c r="BE215" s="2">
        <v>0</v>
      </c>
      <c r="BF215" s="2">
        <f>215</f>
        <v>215</v>
      </c>
      <c r="BH215" s="2">
        <f>H215*AO215</f>
        <v>0</v>
      </c>
      <c r="BI215" s="2">
        <f>H215*AP215</f>
        <v>0</v>
      </c>
      <c r="BJ215" s="2">
        <f>H215*I215</f>
        <v>0</v>
      </c>
      <c r="BK215" s="2"/>
      <c r="BL215" s="2">
        <v>713</v>
      </c>
    </row>
    <row r="216" spans="1:64" ht="15" customHeight="1">
      <c r="A216" s="15" t="s">
        <v>885</v>
      </c>
      <c r="B216" s="14" t="s">
        <v>289</v>
      </c>
      <c r="C216" s="58" t="s">
        <v>736</v>
      </c>
      <c r="D216" s="58"/>
      <c r="E216" s="58"/>
      <c r="F216" s="58"/>
      <c r="G216" s="14" t="s">
        <v>1189</v>
      </c>
      <c r="H216" s="2">
        <v>166.84</v>
      </c>
      <c r="I216" s="2">
        <v>0</v>
      </c>
      <c r="J216" s="2">
        <f>H216*AO216</f>
        <v>0</v>
      </c>
      <c r="K216" s="2">
        <f>H216*AP216</f>
        <v>0</v>
      </c>
      <c r="L216" s="2">
        <f>H216*I216</f>
        <v>0</v>
      </c>
      <c r="M216" s="7" t="s">
        <v>831</v>
      </c>
      <c r="Z216" s="2">
        <f>IF(AQ216="5",BJ216,0)</f>
        <v>0</v>
      </c>
      <c r="AB216" s="2">
        <f>IF(AQ216="1",BH216,0)</f>
        <v>0</v>
      </c>
      <c r="AC216" s="2">
        <f>IF(AQ216="1",BI216,0)</f>
        <v>0</v>
      </c>
      <c r="AD216" s="2">
        <f>IF(AQ216="7",BH216,0)</f>
        <v>0</v>
      </c>
      <c r="AE216" s="2">
        <f>IF(AQ216="7",BI216,0)</f>
        <v>0</v>
      </c>
      <c r="AF216" s="2">
        <f>IF(AQ216="2",BH216,0)</f>
        <v>0</v>
      </c>
      <c r="AG216" s="2">
        <f>IF(AQ216="2",BI216,0)</f>
        <v>0</v>
      </c>
      <c r="AH216" s="2">
        <f>IF(AQ216="0",BJ216,0)</f>
        <v>0</v>
      </c>
      <c r="AI216" s="19" t="s">
        <v>255</v>
      </c>
      <c r="AJ216" s="2">
        <f>IF(AN216=0,L216,0)</f>
        <v>0</v>
      </c>
      <c r="AK216" s="2">
        <f>IF(AN216=15,L216,0)</f>
        <v>0</v>
      </c>
      <c r="AL216" s="2">
        <f>IF(AN216=21,L216,0)</f>
        <v>0</v>
      </c>
      <c r="AN216" s="2">
        <v>15</v>
      </c>
      <c r="AO216" s="2">
        <f>I216*0.222085911788096</f>
        <v>0</v>
      </c>
      <c r="AP216" s="2">
        <f>I216*(1-0.222085911788096)</f>
        <v>0</v>
      </c>
      <c r="AQ216" s="43" t="s">
        <v>1215</v>
      </c>
      <c r="AV216" s="2">
        <f>AW216+AX216</f>
        <v>0</v>
      </c>
      <c r="AW216" s="2">
        <f>H216*AO216</f>
        <v>0</v>
      </c>
      <c r="AX216" s="2">
        <f>H216*AP216</f>
        <v>0</v>
      </c>
      <c r="AY216" s="43" t="s">
        <v>943</v>
      </c>
      <c r="AZ216" s="43" t="s">
        <v>326</v>
      </c>
      <c r="BA216" s="19" t="s">
        <v>1155</v>
      </c>
      <c r="BC216" s="2">
        <f>AW216+AX216</f>
        <v>0</v>
      </c>
      <c r="BD216" s="2">
        <f>I216/(100-BE216)*100</f>
        <v>0</v>
      </c>
      <c r="BE216" s="2">
        <v>0</v>
      </c>
      <c r="BF216" s="2">
        <f>216</f>
        <v>216</v>
      </c>
      <c r="BH216" s="2">
        <f>H216*AO216</f>
        <v>0</v>
      </c>
      <c r="BI216" s="2">
        <f>H216*AP216</f>
        <v>0</v>
      </c>
      <c r="BJ216" s="2">
        <f>H216*I216</f>
        <v>0</v>
      </c>
      <c r="BK216" s="2"/>
      <c r="BL216" s="2">
        <v>713</v>
      </c>
    </row>
    <row r="217" spans="1:64" ht="15" customHeight="1">
      <c r="A217" s="15" t="s">
        <v>606</v>
      </c>
      <c r="B217" s="14" t="s">
        <v>715</v>
      </c>
      <c r="C217" s="58" t="s">
        <v>656</v>
      </c>
      <c r="D217" s="58"/>
      <c r="E217" s="58"/>
      <c r="F217" s="58"/>
      <c r="G217" s="14" t="s">
        <v>1189</v>
      </c>
      <c r="H217" s="2">
        <v>166.84</v>
      </c>
      <c r="I217" s="2">
        <v>0</v>
      </c>
      <c r="J217" s="2">
        <f>H217*AO217</f>
        <v>0</v>
      </c>
      <c r="K217" s="2">
        <f>H217*AP217</f>
        <v>0</v>
      </c>
      <c r="L217" s="2">
        <f>H217*I217</f>
        <v>0</v>
      </c>
      <c r="M217" s="7" t="s">
        <v>831</v>
      </c>
      <c r="Z217" s="2">
        <f>IF(AQ217="5",BJ217,0)</f>
        <v>0</v>
      </c>
      <c r="AB217" s="2">
        <f>IF(AQ217="1",BH217,0)</f>
        <v>0</v>
      </c>
      <c r="AC217" s="2">
        <f>IF(AQ217="1",BI217,0)</f>
        <v>0</v>
      </c>
      <c r="AD217" s="2">
        <f>IF(AQ217="7",BH217,0)</f>
        <v>0</v>
      </c>
      <c r="AE217" s="2">
        <f>IF(AQ217="7",BI217,0)</f>
        <v>0</v>
      </c>
      <c r="AF217" s="2">
        <f>IF(AQ217="2",BH217,0)</f>
        <v>0</v>
      </c>
      <c r="AG217" s="2">
        <f>IF(AQ217="2",BI217,0)</f>
        <v>0</v>
      </c>
      <c r="AH217" s="2">
        <f>IF(AQ217="0",BJ217,0)</f>
        <v>0</v>
      </c>
      <c r="AI217" s="19" t="s">
        <v>255</v>
      </c>
      <c r="AJ217" s="2">
        <f>IF(AN217=0,L217,0)</f>
        <v>0</v>
      </c>
      <c r="AK217" s="2">
        <f>IF(AN217=15,L217,0)</f>
        <v>0</v>
      </c>
      <c r="AL217" s="2">
        <f>IF(AN217=21,L217,0)</f>
        <v>0</v>
      </c>
      <c r="AN217" s="2">
        <v>15</v>
      </c>
      <c r="AO217" s="2">
        <f>I217*0.856003071653095</f>
        <v>0</v>
      </c>
      <c r="AP217" s="2">
        <f>I217*(1-0.856003071653095)</f>
        <v>0</v>
      </c>
      <c r="AQ217" s="43" t="s">
        <v>1215</v>
      </c>
      <c r="AV217" s="2">
        <f>AW217+AX217</f>
        <v>0</v>
      </c>
      <c r="AW217" s="2">
        <f>H217*AO217</f>
        <v>0</v>
      </c>
      <c r="AX217" s="2">
        <f>H217*AP217</f>
        <v>0</v>
      </c>
      <c r="AY217" s="43" t="s">
        <v>943</v>
      </c>
      <c r="AZ217" s="43" t="s">
        <v>326</v>
      </c>
      <c r="BA217" s="19" t="s">
        <v>1155</v>
      </c>
      <c r="BC217" s="2">
        <f>AW217+AX217</f>
        <v>0</v>
      </c>
      <c r="BD217" s="2">
        <f>I217/(100-BE217)*100</f>
        <v>0</v>
      </c>
      <c r="BE217" s="2">
        <v>0</v>
      </c>
      <c r="BF217" s="2">
        <f>217</f>
        <v>217</v>
      </c>
      <c r="BH217" s="2">
        <f>H217*AO217</f>
        <v>0</v>
      </c>
      <c r="BI217" s="2">
        <f>H217*AP217</f>
        <v>0</v>
      </c>
      <c r="BJ217" s="2">
        <f>H217*I217</f>
        <v>0</v>
      </c>
      <c r="BK217" s="2"/>
      <c r="BL217" s="2">
        <v>713</v>
      </c>
    </row>
    <row r="218" spans="1:13" ht="13.5" customHeight="1">
      <c r="A218" s="51"/>
      <c r="B218" s="32" t="s">
        <v>639</v>
      </c>
      <c r="C218" s="75" t="s">
        <v>1360</v>
      </c>
      <c r="D218" s="76"/>
      <c r="E218" s="76"/>
      <c r="F218" s="76"/>
      <c r="G218" s="76"/>
      <c r="H218" s="76"/>
      <c r="I218" s="76"/>
      <c r="J218" s="76"/>
      <c r="K218" s="76"/>
      <c r="L218" s="76"/>
      <c r="M218" s="77"/>
    </row>
    <row r="219" spans="1:64" ht="15" customHeight="1">
      <c r="A219" s="15" t="s">
        <v>884</v>
      </c>
      <c r="B219" s="14" t="s">
        <v>893</v>
      </c>
      <c r="C219" s="58" t="s">
        <v>207</v>
      </c>
      <c r="D219" s="58"/>
      <c r="E219" s="58"/>
      <c r="F219" s="58"/>
      <c r="G219" s="14" t="s">
        <v>1189</v>
      </c>
      <c r="H219" s="2">
        <v>175.53</v>
      </c>
      <c r="I219" s="2">
        <v>0</v>
      </c>
      <c r="J219" s="2">
        <f>H219*AO219</f>
        <v>0</v>
      </c>
      <c r="K219" s="2">
        <f>H219*AP219</f>
        <v>0</v>
      </c>
      <c r="L219" s="2">
        <f>H219*I219</f>
        <v>0</v>
      </c>
      <c r="M219" s="7" t="s">
        <v>831</v>
      </c>
      <c r="Z219" s="2">
        <f>IF(AQ219="5",BJ219,0)</f>
        <v>0</v>
      </c>
      <c r="AB219" s="2">
        <f>IF(AQ219="1",BH219,0)</f>
        <v>0</v>
      </c>
      <c r="AC219" s="2">
        <f>IF(AQ219="1",BI219,0)</f>
        <v>0</v>
      </c>
      <c r="AD219" s="2">
        <f>IF(AQ219="7",BH219,0)</f>
        <v>0</v>
      </c>
      <c r="AE219" s="2">
        <f>IF(AQ219="7",BI219,0)</f>
        <v>0</v>
      </c>
      <c r="AF219" s="2">
        <f>IF(AQ219="2",BH219,0)</f>
        <v>0</v>
      </c>
      <c r="AG219" s="2">
        <f>IF(AQ219="2",BI219,0)</f>
        <v>0</v>
      </c>
      <c r="AH219" s="2">
        <f>IF(AQ219="0",BJ219,0)</f>
        <v>0</v>
      </c>
      <c r="AI219" s="19" t="s">
        <v>255</v>
      </c>
      <c r="AJ219" s="2">
        <f>IF(AN219=0,L219,0)</f>
        <v>0</v>
      </c>
      <c r="AK219" s="2">
        <f>IF(AN219=15,L219,0)</f>
        <v>0</v>
      </c>
      <c r="AL219" s="2">
        <f>IF(AN219=21,L219,0)</f>
        <v>0</v>
      </c>
      <c r="AN219" s="2">
        <v>15</v>
      </c>
      <c r="AO219" s="2">
        <f>I219*0.880657306700011</f>
        <v>0</v>
      </c>
      <c r="AP219" s="2">
        <f>I219*(1-0.880657306700011)</f>
        <v>0</v>
      </c>
      <c r="AQ219" s="43" t="s">
        <v>1215</v>
      </c>
      <c r="AV219" s="2">
        <f>AW219+AX219</f>
        <v>0</v>
      </c>
      <c r="AW219" s="2">
        <f>H219*AO219</f>
        <v>0</v>
      </c>
      <c r="AX219" s="2">
        <f>H219*AP219</f>
        <v>0</v>
      </c>
      <c r="AY219" s="43" t="s">
        <v>943</v>
      </c>
      <c r="AZ219" s="43" t="s">
        <v>326</v>
      </c>
      <c r="BA219" s="19" t="s">
        <v>1155</v>
      </c>
      <c r="BC219" s="2">
        <f>AW219+AX219</f>
        <v>0</v>
      </c>
      <c r="BD219" s="2">
        <f>I219/(100-BE219)*100</f>
        <v>0</v>
      </c>
      <c r="BE219" s="2">
        <v>0</v>
      </c>
      <c r="BF219" s="2">
        <f>219</f>
        <v>219</v>
      </c>
      <c r="BH219" s="2">
        <f>H219*AO219</f>
        <v>0</v>
      </c>
      <c r="BI219" s="2">
        <f>H219*AP219</f>
        <v>0</v>
      </c>
      <c r="BJ219" s="2">
        <f>H219*I219</f>
        <v>0</v>
      </c>
      <c r="BK219" s="2"/>
      <c r="BL219" s="2">
        <v>713</v>
      </c>
    </row>
    <row r="220" spans="1:13" ht="13.5" customHeight="1">
      <c r="A220" s="51"/>
      <c r="B220" s="32" t="s">
        <v>639</v>
      </c>
      <c r="C220" s="75" t="s">
        <v>737</v>
      </c>
      <c r="D220" s="76"/>
      <c r="E220" s="76"/>
      <c r="F220" s="76"/>
      <c r="G220" s="76"/>
      <c r="H220" s="76"/>
      <c r="I220" s="76"/>
      <c r="J220" s="76"/>
      <c r="K220" s="76"/>
      <c r="L220" s="76"/>
      <c r="M220" s="77"/>
    </row>
    <row r="221" spans="1:64" ht="15" customHeight="1">
      <c r="A221" s="15" t="s">
        <v>419</v>
      </c>
      <c r="B221" s="14" t="s">
        <v>289</v>
      </c>
      <c r="C221" s="58" t="s">
        <v>736</v>
      </c>
      <c r="D221" s="58"/>
      <c r="E221" s="58"/>
      <c r="F221" s="58"/>
      <c r="G221" s="14" t="s">
        <v>1189</v>
      </c>
      <c r="H221" s="2">
        <v>193.083</v>
      </c>
      <c r="I221" s="2">
        <v>0</v>
      </c>
      <c r="J221" s="2">
        <f>H221*AO221</f>
        <v>0</v>
      </c>
      <c r="K221" s="2">
        <f>H221*AP221</f>
        <v>0</v>
      </c>
      <c r="L221" s="2">
        <f>H221*I221</f>
        <v>0</v>
      </c>
      <c r="M221" s="7" t="s">
        <v>831</v>
      </c>
      <c r="Z221" s="2">
        <f>IF(AQ221="5",BJ221,0)</f>
        <v>0</v>
      </c>
      <c r="AB221" s="2">
        <f>IF(AQ221="1",BH221,0)</f>
        <v>0</v>
      </c>
      <c r="AC221" s="2">
        <f>IF(AQ221="1",BI221,0)</f>
        <v>0</v>
      </c>
      <c r="AD221" s="2">
        <f>IF(AQ221="7",BH221,0)</f>
        <v>0</v>
      </c>
      <c r="AE221" s="2">
        <f>IF(AQ221="7",BI221,0)</f>
        <v>0</v>
      </c>
      <c r="AF221" s="2">
        <f>IF(AQ221="2",BH221,0)</f>
        <v>0</v>
      </c>
      <c r="AG221" s="2">
        <f>IF(AQ221="2",BI221,0)</f>
        <v>0</v>
      </c>
      <c r="AH221" s="2">
        <f>IF(AQ221="0",BJ221,0)</f>
        <v>0</v>
      </c>
      <c r="AI221" s="19" t="s">
        <v>255</v>
      </c>
      <c r="AJ221" s="2">
        <f>IF(AN221=0,L221,0)</f>
        <v>0</v>
      </c>
      <c r="AK221" s="2">
        <f>IF(AN221=15,L221,0)</f>
        <v>0</v>
      </c>
      <c r="AL221" s="2">
        <f>IF(AN221=21,L221,0)</f>
        <v>0</v>
      </c>
      <c r="AN221" s="2">
        <v>15</v>
      </c>
      <c r="AO221" s="2">
        <f>I221*0.222086989248449</f>
        <v>0</v>
      </c>
      <c r="AP221" s="2">
        <f>I221*(1-0.222086989248449)</f>
        <v>0</v>
      </c>
      <c r="AQ221" s="43" t="s">
        <v>1215</v>
      </c>
      <c r="AV221" s="2">
        <f>AW221+AX221</f>
        <v>0</v>
      </c>
      <c r="AW221" s="2">
        <f>H221*AO221</f>
        <v>0</v>
      </c>
      <c r="AX221" s="2">
        <f>H221*AP221</f>
        <v>0</v>
      </c>
      <c r="AY221" s="43" t="s">
        <v>943</v>
      </c>
      <c r="AZ221" s="43" t="s">
        <v>326</v>
      </c>
      <c r="BA221" s="19" t="s">
        <v>1155</v>
      </c>
      <c r="BC221" s="2">
        <f>AW221+AX221</f>
        <v>0</v>
      </c>
      <c r="BD221" s="2">
        <f>I221/(100-BE221)*100</f>
        <v>0</v>
      </c>
      <c r="BE221" s="2">
        <v>0</v>
      </c>
      <c r="BF221" s="2">
        <f>221</f>
        <v>221</v>
      </c>
      <c r="BH221" s="2">
        <f>H221*AO221</f>
        <v>0</v>
      </c>
      <c r="BI221" s="2">
        <f>H221*AP221</f>
        <v>0</v>
      </c>
      <c r="BJ221" s="2">
        <f>H221*I221</f>
        <v>0</v>
      </c>
      <c r="BK221" s="2"/>
      <c r="BL221" s="2">
        <v>713</v>
      </c>
    </row>
    <row r="222" spans="1:13" ht="13.5" customHeight="1">
      <c r="A222" s="51"/>
      <c r="B222" s="32" t="s">
        <v>639</v>
      </c>
      <c r="C222" s="75" t="s">
        <v>1282</v>
      </c>
      <c r="D222" s="76"/>
      <c r="E222" s="76"/>
      <c r="F222" s="76"/>
      <c r="G222" s="76"/>
      <c r="H222" s="76"/>
      <c r="I222" s="76"/>
      <c r="J222" s="76"/>
      <c r="K222" s="76"/>
      <c r="L222" s="76"/>
      <c r="M222" s="77"/>
    </row>
    <row r="223" spans="1:64" ht="15" customHeight="1">
      <c r="A223" s="15" t="s">
        <v>572</v>
      </c>
      <c r="B223" s="14" t="s">
        <v>132</v>
      </c>
      <c r="C223" s="58" t="s">
        <v>938</v>
      </c>
      <c r="D223" s="58"/>
      <c r="E223" s="58"/>
      <c r="F223" s="58"/>
      <c r="G223" s="14" t="s">
        <v>1189</v>
      </c>
      <c r="H223" s="2">
        <v>305.69</v>
      </c>
      <c r="I223" s="2">
        <v>0</v>
      </c>
      <c r="J223" s="2">
        <f>H223*AO223</f>
        <v>0</v>
      </c>
      <c r="K223" s="2">
        <f>H223*AP223</f>
        <v>0</v>
      </c>
      <c r="L223" s="2">
        <f>H223*I223</f>
        <v>0</v>
      </c>
      <c r="M223" s="7" t="s">
        <v>831</v>
      </c>
      <c r="Z223" s="2">
        <f>IF(AQ223="5",BJ223,0)</f>
        <v>0</v>
      </c>
      <c r="AB223" s="2">
        <f>IF(AQ223="1",BH223,0)</f>
        <v>0</v>
      </c>
      <c r="AC223" s="2">
        <f>IF(AQ223="1",BI223,0)</f>
        <v>0</v>
      </c>
      <c r="AD223" s="2">
        <f>IF(AQ223="7",BH223,0)</f>
        <v>0</v>
      </c>
      <c r="AE223" s="2">
        <f>IF(AQ223="7",BI223,0)</f>
        <v>0</v>
      </c>
      <c r="AF223" s="2">
        <f>IF(AQ223="2",BH223,0)</f>
        <v>0</v>
      </c>
      <c r="AG223" s="2">
        <f>IF(AQ223="2",BI223,0)</f>
        <v>0</v>
      </c>
      <c r="AH223" s="2">
        <f>IF(AQ223="0",BJ223,0)</f>
        <v>0</v>
      </c>
      <c r="AI223" s="19" t="s">
        <v>255</v>
      </c>
      <c r="AJ223" s="2">
        <f>IF(AN223=0,L223,0)</f>
        <v>0</v>
      </c>
      <c r="AK223" s="2">
        <f>IF(AN223=15,L223,0)</f>
        <v>0</v>
      </c>
      <c r="AL223" s="2">
        <f>IF(AN223=21,L223,0)</f>
        <v>0</v>
      </c>
      <c r="AN223" s="2">
        <v>15</v>
      </c>
      <c r="AO223" s="2">
        <f>I223*0.0331343229655766</f>
        <v>0</v>
      </c>
      <c r="AP223" s="2">
        <f>I223*(1-0.0331343229655766)</f>
        <v>0</v>
      </c>
      <c r="AQ223" s="43" t="s">
        <v>1215</v>
      </c>
      <c r="AV223" s="2">
        <f>AW223+AX223</f>
        <v>0</v>
      </c>
      <c r="AW223" s="2">
        <f>H223*AO223</f>
        <v>0</v>
      </c>
      <c r="AX223" s="2">
        <f>H223*AP223</f>
        <v>0</v>
      </c>
      <c r="AY223" s="43" t="s">
        <v>943</v>
      </c>
      <c r="AZ223" s="43" t="s">
        <v>326</v>
      </c>
      <c r="BA223" s="19" t="s">
        <v>1155</v>
      </c>
      <c r="BC223" s="2">
        <f>AW223+AX223</f>
        <v>0</v>
      </c>
      <c r="BD223" s="2">
        <f>I223/(100-BE223)*100</f>
        <v>0</v>
      </c>
      <c r="BE223" s="2">
        <v>0</v>
      </c>
      <c r="BF223" s="2">
        <f>223</f>
        <v>223</v>
      </c>
      <c r="BH223" s="2">
        <f>H223*AO223</f>
        <v>0</v>
      </c>
      <c r="BI223" s="2">
        <f>H223*AP223</f>
        <v>0</v>
      </c>
      <c r="BJ223" s="2">
        <f>H223*I223</f>
        <v>0</v>
      </c>
      <c r="BK223" s="2"/>
      <c r="BL223" s="2">
        <v>713</v>
      </c>
    </row>
    <row r="224" spans="1:13" ht="13.5" customHeight="1">
      <c r="A224" s="51"/>
      <c r="B224" s="32" t="s">
        <v>639</v>
      </c>
      <c r="C224" s="75" t="s">
        <v>621</v>
      </c>
      <c r="D224" s="76"/>
      <c r="E224" s="76"/>
      <c r="F224" s="76"/>
      <c r="G224" s="76"/>
      <c r="H224" s="76"/>
      <c r="I224" s="76"/>
      <c r="J224" s="76"/>
      <c r="K224" s="76"/>
      <c r="L224" s="76"/>
      <c r="M224" s="77"/>
    </row>
    <row r="225" spans="1:64" ht="15" customHeight="1">
      <c r="A225" s="15" t="s">
        <v>382</v>
      </c>
      <c r="B225" s="14" t="s">
        <v>353</v>
      </c>
      <c r="C225" s="58" t="s">
        <v>459</v>
      </c>
      <c r="D225" s="58"/>
      <c r="E225" s="58"/>
      <c r="F225" s="58"/>
      <c r="G225" s="14" t="s">
        <v>1189</v>
      </c>
      <c r="H225" s="2">
        <v>641.949</v>
      </c>
      <c r="I225" s="2">
        <v>0</v>
      </c>
      <c r="J225" s="2">
        <f>H225*AO225</f>
        <v>0</v>
      </c>
      <c r="K225" s="2">
        <f>H225*AP225</f>
        <v>0</v>
      </c>
      <c r="L225" s="2">
        <f>H225*I225</f>
        <v>0</v>
      </c>
      <c r="M225" s="7" t="s">
        <v>831</v>
      </c>
      <c r="Z225" s="2">
        <f>IF(AQ225="5",BJ225,0)</f>
        <v>0</v>
      </c>
      <c r="AB225" s="2">
        <f>IF(AQ225="1",BH225,0)</f>
        <v>0</v>
      </c>
      <c r="AC225" s="2">
        <f>IF(AQ225="1",BI225,0)</f>
        <v>0</v>
      </c>
      <c r="AD225" s="2">
        <f>IF(AQ225="7",BH225,0)</f>
        <v>0</v>
      </c>
      <c r="AE225" s="2">
        <f>IF(AQ225="7",BI225,0)</f>
        <v>0</v>
      </c>
      <c r="AF225" s="2">
        <f>IF(AQ225="2",BH225,0)</f>
        <v>0</v>
      </c>
      <c r="AG225" s="2">
        <f>IF(AQ225="2",BI225,0)</f>
        <v>0</v>
      </c>
      <c r="AH225" s="2">
        <f>IF(AQ225="0",BJ225,0)</f>
        <v>0</v>
      </c>
      <c r="AI225" s="19" t="s">
        <v>255</v>
      </c>
      <c r="AJ225" s="2">
        <f>IF(AN225=0,L225,0)</f>
        <v>0</v>
      </c>
      <c r="AK225" s="2">
        <f>IF(AN225=15,L225,0)</f>
        <v>0</v>
      </c>
      <c r="AL225" s="2">
        <f>IF(AN225=21,L225,0)</f>
        <v>0</v>
      </c>
      <c r="AN225" s="2">
        <v>15</v>
      </c>
      <c r="AO225" s="2">
        <f>I225*1</f>
        <v>0</v>
      </c>
      <c r="AP225" s="2">
        <f>I225*(1-1)</f>
        <v>0</v>
      </c>
      <c r="AQ225" s="43" t="s">
        <v>1215</v>
      </c>
      <c r="AV225" s="2">
        <f>AW225+AX225</f>
        <v>0</v>
      </c>
      <c r="AW225" s="2">
        <f>H225*AO225</f>
        <v>0</v>
      </c>
      <c r="AX225" s="2">
        <f>H225*AP225</f>
        <v>0</v>
      </c>
      <c r="AY225" s="43" t="s">
        <v>943</v>
      </c>
      <c r="AZ225" s="43" t="s">
        <v>326</v>
      </c>
      <c r="BA225" s="19" t="s">
        <v>1155</v>
      </c>
      <c r="BC225" s="2">
        <f>AW225+AX225</f>
        <v>0</v>
      </c>
      <c r="BD225" s="2">
        <f>I225/(100-BE225)*100</f>
        <v>0</v>
      </c>
      <c r="BE225" s="2">
        <v>0</v>
      </c>
      <c r="BF225" s="2">
        <f>225</f>
        <v>225</v>
      </c>
      <c r="BH225" s="2">
        <f>H225*AO225</f>
        <v>0</v>
      </c>
      <c r="BI225" s="2">
        <f>H225*AP225</f>
        <v>0</v>
      </c>
      <c r="BJ225" s="2">
        <f>H225*I225</f>
        <v>0</v>
      </c>
      <c r="BK225" s="2"/>
      <c r="BL225" s="2">
        <v>713</v>
      </c>
    </row>
    <row r="226" spans="1:64" ht="15" customHeight="1">
      <c r="A226" s="15" t="s">
        <v>348</v>
      </c>
      <c r="B226" s="14" t="s">
        <v>166</v>
      </c>
      <c r="C226" s="58" t="s">
        <v>143</v>
      </c>
      <c r="D226" s="58"/>
      <c r="E226" s="58"/>
      <c r="F226" s="58"/>
      <c r="G226" s="14" t="s">
        <v>584</v>
      </c>
      <c r="H226" s="2">
        <v>5.35</v>
      </c>
      <c r="I226" s="2">
        <v>0</v>
      </c>
      <c r="J226" s="2">
        <f>H226*AO226</f>
        <v>0</v>
      </c>
      <c r="K226" s="2">
        <f>H226*AP226</f>
        <v>0</v>
      </c>
      <c r="L226" s="2">
        <f>H226*I226</f>
        <v>0</v>
      </c>
      <c r="M226" s="7" t="s">
        <v>831</v>
      </c>
      <c r="Z226" s="2">
        <f>IF(AQ226="5",BJ226,0)</f>
        <v>0</v>
      </c>
      <c r="AB226" s="2">
        <f>IF(AQ226="1",BH226,0)</f>
        <v>0</v>
      </c>
      <c r="AC226" s="2">
        <f>IF(AQ226="1",BI226,0)</f>
        <v>0</v>
      </c>
      <c r="AD226" s="2">
        <f>IF(AQ226="7",BH226,0)</f>
        <v>0</v>
      </c>
      <c r="AE226" s="2">
        <f>IF(AQ226="7",BI226,0)</f>
        <v>0</v>
      </c>
      <c r="AF226" s="2">
        <f>IF(AQ226="2",BH226,0)</f>
        <v>0</v>
      </c>
      <c r="AG226" s="2">
        <f>IF(AQ226="2",BI226,0)</f>
        <v>0</v>
      </c>
      <c r="AH226" s="2">
        <f>IF(AQ226="0",BJ226,0)</f>
        <v>0</v>
      </c>
      <c r="AI226" s="19" t="s">
        <v>255</v>
      </c>
      <c r="AJ226" s="2">
        <f>IF(AN226=0,L226,0)</f>
        <v>0</v>
      </c>
      <c r="AK226" s="2">
        <f>IF(AN226=15,L226,0)</f>
        <v>0</v>
      </c>
      <c r="AL226" s="2">
        <f>IF(AN226=21,L226,0)</f>
        <v>0</v>
      </c>
      <c r="AN226" s="2">
        <v>15</v>
      </c>
      <c r="AO226" s="2">
        <f>I226*0</f>
        <v>0</v>
      </c>
      <c r="AP226" s="2">
        <f>I226*(1-0)</f>
        <v>0</v>
      </c>
      <c r="AQ226" s="43" t="s">
        <v>655</v>
      </c>
      <c r="AV226" s="2">
        <f>AW226+AX226</f>
        <v>0</v>
      </c>
      <c r="AW226" s="2">
        <f>H226*AO226</f>
        <v>0</v>
      </c>
      <c r="AX226" s="2">
        <f>H226*AP226</f>
        <v>0</v>
      </c>
      <c r="AY226" s="43" t="s">
        <v>943</v>
      </c>
      <c r="AZ226" s="43" t="s">
        <v>326</v>
      </c>
      <c r="BA226" s="19" t="s">
        <v>1155</v>
      </c>
      <c r="BC226" s="2">
        <f>AW226+AX226</f>
        <v>0</v>
      </c>
      <c r="BD226" s="2">
        <f>I226/(100-BE226)*100</f>
        <v>0</v>
      </c>
      <c r="BE226" s="2">
        <v>0</v>
      </c>
      <c r="BF226" s="2">
        <f>226</f>
        <v>226</v>
      </c>
      <c r="BH226" s="2">
        <f>H226*AO226</f>
        <v>0</v>
      </c>
      <c r="BI226" s="2">
        <f>H226*AP226</f>
        <v>0</v>
      </c>
      <c r="BJ226" s="2">
        <f>H226*I226</f>
        <v>0</v>
      </c>
      <c r="BK226" s="2"/>
      <c r="BL226" s="2">
        <v>713</v>
      </c>
    </row>
    <row r="227" spans="1:47" ht="15" customHeight="1">
      <c r="A227" s="48" t="s">
        <v>844</v>
      </c>
      <c r="B227" s="17" t="s">
        <v>780</v>
      </c>
      <c r="C227" s="74" t="s">
        <v>1366</v>
      </c>
      <c r="D227" s="74"/>
      <c r="E227" s="74"/>
      <c r="F227" s="74"/>
      <c r="G227" s="40" t="s">
        <v>1110</v>
      </c>
      <c r="H227" s="40" t="s">
        <v>1110</v>
      </c>
      <c r="I227" s="40" t="s">
        <v>1110</v>
      </c>
      <c r="J227" s="23">
        <f>SUM(J228:J249)</f>
        <v>0</v>
      </c>
      <c r="K227" s="23">
        <f>SUM(K228:K249)</f>
        <v>0</v>
      </c>
      <c r="L227" s="23">
        <f>SUM(L228:L249)</f>
        <v>0</v>
      </c>
      <c r="M227" s="37" t="s">
        <v>844</v>
      </c>
      <c r="AI227" s="19" t="s">
        <v>255</v>
      </c>
      <c r="AS227" s="23">
        <f>SUM(AJ228:AJ249)</f>
        <v>0</v>
      </c>
      <c r="AT227" s="23">
        <f>SUM(AK228:AK249)</f>
        <v>0</v>
      </c>
      <c r="AU227" s="23">
        <f>SUM(AL228:AL249)</f>
        <v>0</v>
      </c>
    </row>
    <row r="228" spans="1:64" ht="15" customHeight="1">
      <c r="A228" s="15" t="s">
        <v>1232</v>
      </c>
      <c r="B228" s="14" t="s">
        <v>573</v>
      </c>
      <c r="C228" s="58" t="s">
        <v>361</v>
      </c>
      <c r="D228" s="58"/>
      <c r="E228" s="58"/>
      <c r="F228" s="58"/>
      <c r="G228" s="14" t="s">
        <v>999</v>
      </c>
      <c r="H228" s="2">
        <v>15</v>
      </c>
      <c r="I228" s="2">
        <v>0</v>
      </c>
      <c r="J228" s="2">
        <f>H228*AO228</f>
        <v>0</v>
      </c>
      <c r="K228" s="2">
        <f>H228*AP228</f>
        <v>0</v>
      </c>
      <c r="L228" s="2">
        <f>H228*I228</f>
        <v>0</v>
      </c>
      <c r="M228" s="7" t="s">
        <v>831</v>
      </c>
      <c r="Z228" s="2">
        <f>IF(AQ228="5",BJ228,0)</f>
        <v>0</v>
      </c>
      <c r="AB228" s="2">
        <f>IF(AQ228="1",BH228,0)</f>
        <v>0</v>
      </c>
      <c r="AC228" s="2">
        <f>IF(AQ228="1",BI228,0)</f>
        <v>0</v>
      </c>
      <c r="AD228" s="2">
        <f>IF(AQ228="7",BH228,0)</f>
        <v>0</v>
      </c>
      <c r="AE228" s="2">
        <f>IF(AQ228="7",BI228,0)</f>
        <v>0</v>
      </c>
      <c r="AF228" s="2">
        <f>IF(AQ228="2",BH228,0)</f>
        <v>0</v>
      </c>
      <c r="AG228" s="2">
        <f>IF(AQ228="2",BI228,0)</f>
        <v>0</v>
      </c>
      <c r="AH228" s="2">
        <f>IF(AQ228="0",BJ228,0)</f>
        <v>0</v>
      </c>
      <c r="AI228" s="19" t="s">
        <v>255</v>
      </c>
      <c r="AJ228" s="2">
        <f>IF(AN228=0,L228,0)</f>
        <v>0</v>
      </c>
      <c r="AK228" s="2">
        <f>IF(AN228=15,L228,0)</f>
        <v>0</v>
      </c>
      <c r="AL228" s="2">
        <f>IF(AN228=21,L228,0)</f>
        <v>0</v>
      </c>
      <c r="AN228" s="2">
        <v>15</v>
      </c>
      <c r="AO228" s="2">
        <f>I228*0.549183700954718</f>
        <v>0</v>
      </c>
      <c r="AP228" s="2">
        <f>I228*(1-0.549183700954718)</f>
        <v>0</v>
      </c>
      <c r="AQ228" s="43" t="s">
        <v>1215</v>
      </c>
      <c r="AV228" s="2">
        <f>AW228+AX228</f>
        <v>0</v>
      </c>
      <c r="AW228" s="2">
        <f>H228*AO228</f>
        <v>0</v>
      </c>
      <c r="AX228" s="2">
        <f>H228*AP228</f>
        <v>0</v>
      </c>
      <c r="AY228" s="43" t="s">
        <v>201</v>
      </c>
      <c r="AZ228" s="43" t="s">
        <v>441</v>
      </c>
      <c r="BA228" s="19" t="s">
        <v>1155</v>
      </c>
      <c r="BC228" s="2">
        <f>AW228+AX228</f>
        <v>0</v>
      </c>
      <c r="BD228" s="2">
        <f>I228/(100-BE228)*100</f>
        <v>0</v>
      </c>
      <c r="BE228" s="2">
        <v>0</v>
      </c>
      <c r="BF228" s="2">
        <f>228</f>
        <v>228</v>
      </c>
      <c r="BH228" s="2">
        <f>H228*AO228</f>
        <v>0</v>
      </c>
      <c r="BI228" s="2">
        <f>H228*AP228</f>
        <v>0</v>
      </c>
      <c r="BJ228" s="2">
        <f>H228*I228</f>
        <v>0</v>
      </c>
      <c r="BK228" s="2"/>
      <c r="BL228" s="2">
        <v>721</v>
      </c>
    </row>
    <row r="229" spans="1:64" ht="15" customHeight="1">
      <c r="A229" s="15" t="s">
        <v>469</v>
      </c>
      <c r="B229" s="14" t="s">
        <v>1167</v>
      </c>
      <c r="C229" s="58" t="s">
        <v>1258</v>
      </c>
      <c r="D229" s="58"/>
      <c r="E229" s="58"/>
      <c r="F229" s="58"/>
      <c r="G229" s="14" t="s">
        <v>319</v>
      </c>
      <c r="H229" s="2">
        <v>2</v>
      </c>
      <c r="I229" s="2">
        <v>0</v>
      </c>
      <c r="J229" s="2">
        <f>H229*AO229</f>
        <v>0</v>
      </c>
      <c r="K229" s="2">
        <f>H229*AP229</f>
        <v>0</v>
      </c>
      <c r="L229" s="2">
        <f>H229*I229</f>
        <v>0</v>
      </c>
      <c r="M229" s="7" t="s">
        <v>831</v>
      </c>
      <c r="Z229" s="2">
        <f>IF(AQ229="5",BJ229,0)</f>
        <v>0</v>
      </c>
      <c r="AB229" s="2">
        <f>IF(AQ229="1",BH229,0)</f>
        <v>0</v>
      </c>
      <c r="AC229" s="2">
        <f>IF(AQ229="1",BI229,0)</f>
        <v>0</v>
      </c>
      <c r="AD229" s="2">
        <f>IF(AQ229="7",BH229,0)</f>
        <v>0</v>
      </c>
      <c r="AE229" s="2">
        <f>IF(AQ229="7",BI229,0)</f>
        <v>0</v>
      </c>
      <c r="AF229" s="2">
        <f>IF(AQ229="2",BH229,0)</f>
        <v>0</v>
      </c>
      <c r="AG229" s="2">
        <f>IF(AQ229="2",BI229,0)</f>
        <v>0</v>
      </c>
      <c r="AH229" s="2">
        <f>IF(AQ229="0",BJ229,0)</f>
        <v>0</v>
      </c>
      <c r="AI229" s="19" t="s">
        <v>255</v>
      </c>
      <c r="AJ229" s="2">
        <f>IF(AN229=0,L229,0)</f>
        <v>0</v>
      </c>
      <c r="AK229" s="2">
        <f>IF(AN229=15,L229,0)</f>
        <v>0</v>
      </c>
      <c r="AL229" s="2">
        <f>IF(AN229=21,L229,0)</f>
        <v>0</v>
      </c>
      <c r="AN229" s="2">
        <v>15</v>
      </c>
      <c r="AO229" s="2">
        <f>I229*0.82768115942029</f>
        <v>0</v>
      </c>
      <c r="AP229" s="2">
        <f>I229*(1-0.82768115942029)</f>
        <v>0</v>
      </c>
      <c r="AQ229" s="43" t="s">
        <v>1215</v>
      </c>
      <c r="AV229" s="2">
        <f>AW229+AX229</f>
        <v>0</v>
      </c>
      <c r="AW229" s="2">
        <f>H229*AO229</f>
        <v>0</v>
      </c>
      <c r="AX229" s="2">
        <f>H229*AP229</f>
        <v>0</v>
      </c>
      <c r="AY229" s="43" t="s">
        <v>201</v>
      </c>
      <c r="AZ229" s="43" t="s">
        <v>441</v>
      </c>
      <c r="BA229" s="19" t="s">
        <v>1155</v>
      </c>
      <c r="BC229" s="2">
        <f>AW229+AX229</f>
        <v>0</v>
      </c>
      <c r="BD229" s="2">
        <f>I229/(100-BE229)*100</f>
        <v>0</v>
      </c>
      <c r="BE229" s="2">
        <v>0</v>
      </c>
      <c r="BF229" s="2">
        <f>229</f>
        <v>229</v>
      </c>
      <c r="BH229" s="2">
        <f>H229*AO229</f>
        <v>0</v>
      </c>
      <c r="BI229" s="2">
        <f>H229*AP229</f>
        <v>0</v>
      </c>
      <c r="BJ229" s="2">
        <f>H229*I229</f>
        <v>0</v>
      </c>
      <c r="BK229" s="2"/>
      <c r="BL229" s="2">
        <v>721</v>
      </c>
    </row>
    <row r="230" spans="1:13" ht="13.5" customHeight="1">
      <c r="A230" s="51"/>
      <c r="B230" s="32" t="s">
        <v>639</v>
      </c>
      <c r="C230" s="75" t="s">
        <v>457</v>
      </c>
      <c r="D230" s="76"/>
      <c r="E230" s="76"/>
      <c r="F230" s="76"/>
      <c r="G230" s="76"/>
      <c r="H230" s="76"/>
      <c r="I230" s="76"/>
      <c r="J230" s="76"/>
      <c r="K230" s="76"/>
      <c r="L230" s="76"/>
      <c r="M230" s="77"/>
    </row>
    <row r="231" spans="1:64" ht="15" customHeight="1">
      <c r="A231" s="15" t="s">
        <v>367</v>
      </c>
      <c r="B231" s="14" t="s">
        <v>748</v>
      </c>
      <c r="C231" s="58" t="s">
        <v>1190</v>
      </c>
      <c r="D231" s="58"/>
      <c r="E231" s="58"/>
      <c r="F231" s="58"/>
      <c r="G231" s="14" t="s">
        <v>999</v>
      </c>
      <c r="H231" s="2">
        <v>24</v>
      </c>
      <c r="I231" s="2">
        <v>0</v>
      </c>
      <c r="J231" s="2">
        <f>H231*AO231</f>
        <v>0</v>
      </c>
      <c r="K231" s="2">
        <f>H231*AP231</f>
        <v>0</v>
      </c>
      <c r="L231" s="2">
        <f>H231*I231</f>
        <v>0</v>
      </c>
      <c r="M231" s="7" t="s">
        <v>831</v>
      </c>
      <c r="Z231" s="2">
        <f>IF(AQ231="5",BJ231,0)</f>
        <v>0</v>
      </c>
      <c r="AB231" s="2">
        <f>IF(AQ231="1",BH231,0)</f>
        <v>0</v>
      </c>
      <c r="AC231" s="2">
        <f>IF(AQ231="1",BI231,0)</f>
        <v>0</v>
      </c>
      <c r="AD231" s="2">
        <f>IF(AQ231="7",BH231,0)</f>
        <v>0</v>
      </c>
      <c r="AE231" s="2">
        <f>IF(AQ231="7",BI231,0)</f>
        <v>0</v>
      </c>
      <c r="AF231" s="2">
        <f>IF(AQ231="2",BH231,0)</f>
        <v>0</v>
      </c>
      <c r="AG231" s="2">
        <f>IF(AQ231="2",BI231,0)</f>
        <v>0</v>
      </c>
      <c r="AH231" s="2">
        <f>IF(AQ231="0",BJ231,0)</f>
        <v>0</v>
      </c>
      <c r="AI231" s="19" t="s">
        <v>255</v>
      </c>
      <c r="AJ231" s="2">
        <f>IF(AN231=0,L231,0)</f>
        <v>0</v>
      </c>
      <c r="AK231" s="2">
        <f>IF(AN231=15,L231,0)</f>
        <v>0</v>
      </c>
      <c r="AL231" s="2">
        <f>IF(AN231=21,L231,0)</f>
        <v>0</v>
      </c>
      <c r="AN231" s="2">
        <v>15</v>
      </c>
      <c r="AO231" s="2">
        <f>I231*0.358957050893775</f>
        <v>0</v>
      </c>
      <c r="AP231" s="2">
        <f>I231*(1-0.358957050893775)</f>
        <v>0</v>
      </c>
      <c r="AQ231" s="43" t="s">
        <v>1215</v>
      </c>
      <c r="AV231" s="2">
        <f>AW231+AX231</f>
        <v>0</v>
      </c>
      <c r="AW231" s="2">
        <f>H231*AO231</f>
        <v>0</v>
      </c>
      <c r="AX231" s="2">
        <f>H231*AP231</f>
        <v>0</v>
      </c>
      <c r="AY231" s="43" t="s">
        <v>201</v>
      </c>
      <c r="AZ231" s="43" t="s">
        <v>441</v>
      </c>
      <c r="BA231" s="19" t="s">
        <v>1155</v>
      </c>
      <c r="BC231" s="2">
        <f>AW231+AX231</f>
        <v>0</v>
      </c>
      <c r="BD231" s="2">
        <f>I231/(100-BE231)*100</f>
        <v>0</v>
      </c>
      <c r="BE231" s="2">
        <v>0</v>
      </c>
      <c r="BF231" s="2">
        <f>231</f>
        <v>231</v>
      </c>
      <c r="BH231" s="2">
        <f>H231*AO231</f>
        <v>0</v>
      </c>
      <c r="BI231" s="2">
        <f>H231*AP231</f>
        <v>0</v>
      </c>
      <c r="BJ231" s="2">
        <f>H231*I231</f>
        <v>0</v>
      </c>
      <c r="BK231" s="2"/>
      <c r="BL231" s="2">
        <v>721</v>
      </c>
    </row>
    <row r="232" spans="1:13" ht="13.5" customHeight="1">
      <c r="A232" s="51"/>
      <c r="B232" s="32" t="s">
        <v>639</v>
      </c>
      <c r="C232" s="75" t="s">
        <v>1207</v>
      </c>
      <c r="D232" s="76"/>
      <c r="E232" s="76"/>
      <c r="F232" s="76"/>
      <c r="G232" s="76"/>
      <c r="H232" s="76"/>
      <c r="I232" s="76"/>
      <c r="J232" s="76"/>
      <c r="K232" s="76"/>
      <c r="L232" s="76"/>
      <c r="M232" s="77"/>
    </row>
    <row r="233" spans="1:64" ht="15" customHeight="1">
      <c r="A233" s="15" t="s">
        <v>914</v>
      </c>
      <c r="B233" s="14" t="s">
        <v>1159</v>
      </c>
      <c r="C233" s="58" t="s">
        <v>892</v>
      </c>
      <c r="D233" s="58"/>
      <c r="E233" s="58"/>
      <c r="F233" s="58"/>
      <c r="G233" s="14" t="s">
        <v>999</v>
      </c>
      <c r="H233" s="2">
        <v>23</v>
      </c>
      <c r="I233" s="2">
        <v>0</v>
      </c>
      <c r="J233" s="2">
        <f>H233*AO233</f>
        <v>0</v>
      </c>
      <c r="K233" s="2">
        <f>H233*AP233</f>
        <v>0</v>
      </c>
      <c r="L233" s="2">
        <f>H233*I233</f>
        <v>0</v>
      </c>
      <c r="M233" s="7" t="s">
        <v>831</v>
      </c>
      <c r="Z233" s="2">
        <f>IF(AQ233="5",BJ233,0)</f>
        <v>0</v>
      </c>
      <c r="AB233" s="2">
        <f>IF(AQ233="1",BH233,0)</f>
        <v>0</v>
      </c>
      <c r="AC233" s="2">
        <f>IF(AQ233="1",BI233,0)</f>
        <v>0</v>
      </c>
      <c r="AD233" s="2">
        <f>IF(AQ233="7",BH233,0)</f>
        <v>0</v>
      </c>
      <c r="AE233" s="2">
        <f>IF(AQ233="7",BI233,0)</f>
        <v>0</v>
      </c>
      <c r="AF233" s="2">
        <f>IF(AQ233="2",BH233,0)</f>
        <v>0</v>
      </c>
      <c r="AG233" s="2">
        <f>IF(AQ233="2",BI233,0)</f>
        <v>0</v>
      </c>
      <c r="AH233" s="2">
        <f>IF(AQ233="0",BJ233,0)</f>
        <v>0</v>
      </c>
      <c r="AI233" s="19" t="s">
        <v>255</v>
      </c>
      <c r="AJ233" s="2">
        <f>IF(AN233=0,L233,0)</f>
        <v>0</v>
      </c>
      <c r="AK233" s="2">
        <f>IF(AN233=15,L233,0)</f>
        <v>0</v>
      </c>
      <c r="AL233" s="2">
        <f>IF(AN233=21,L233,0)</f>
        <v>0</v>
      </c>
      <c r="AN233" s="2">
        <v>15</v>
      </c>
      <c r="AO233" s="2">
        <f>I233*0.417767730363949</f>
        <v>0</v>
      </c>
      <c r="AP233" s="2">
        <f>I233*(1-0.417767730363949)</f>
        <v>0</v>
      </c>
      <c r="AQ233" s="43" t="s">
        <v>1215</v>
      </c>
      <c r="AV233" s="2">
        <f>AW233+AX233</f>
        <v>0</v>
      </c>
      <c r="AW233" s="2">
        <f>H233*AO233</f>
        <v>0</v>
      </c>
      <c r="AX233" s="2">
        <f>H233*AP233</f>
        <v>0</v>
      </c>
      <c r="AY233" s="43" t="s">
        <v>201</v>
      </c>
      <c r="AZ233" s="43" t="s">
        <v>441</v>
      </c>
      <c r="BA233" s="19" t="s">
        <v>1155</v>
      </c>
      <c r="BC233" s="2">
        <f>AW233+AX233</f>
        <v>0</v>
      </c>
      <c r="BD233" s="2">
        <f>I233/(100-BE233)*100</f>
        <v>0</v>
      </c>
      <c r="BE233" s="2">
        <v>0</v>
      </c>
      <c r="BF233" s="2">
        <f>233</f>
        <v>233</v>
      </c>
      <c r="BH233" s="2">
        <f>H233*AO233</f>
        <v>0</v>
      </c>
      <c r="BI233" s="2">
        <f>H233*AP233</f>
        <v>0</v>
      </c>
      <c r="BJ233" s="2">
        <f>H233*I233</f>
        <v>0</v>
      </c>
      <c r="BK233" s="2"/>
      <c r="BL233" s="2">
        <v>721</v>
      </c>
    </row>
    <row r="234" spans="1:13" ht="13.5" customHeight="1">
      <c r="A234" s="51"/>
      <c r="B234" s="32" t="s">
        <v>639</v>
      </c>
      <c r="C234" s="75" t="s">
        <v>929</v>
      </c>
      <c r="D234" s="76"/>
      <c r="E234" s="76"/>
      <c r="F234" s="76"/>
      <c r="G234" s="76"/>
      <c r="H234" s="76"/>
      <c r="I234" s="76"/>
      <c r="J234" s="76"/>
      <c r="K234" s="76"/>
      <c r="L234" s="76"/>
      <c r="M234" s="77"/>
    </row>
    <row r="235" spans="1:64" ht="15" customHeight="1">
      <c r="A235" s="15" t="s">
        <v>176</v>
      </c>
      <c r="B235" s="14" t="s">
        <v>180</v>
      </c>
      <c r="C235" s="58" t="s">
        <v>551</v>
      </c>
      <c r="D235" s="58"/>
      <c r="E235" s="58"/>
      <c r="F235" s="58"/>
      <c r="G235" s="14" t="s">
        <v>999</v>
      </c>
      <c r="H235" s="2">
        <v>6</v>
      </c>
      <c r="I235" s="2">
        <v>0</v>
      </c>
      <c r="J235" s="2">
        <f>H235*AO235</f>
        <v>0</v>
      </c>
      <c r="K235" s="2">
        <f>H235*AP235</f>
        <v>0</v>
      </c>
      <c r="L235" s="2">
        <f>H235*I235</f>
        <v>0</v>
      </c>
      <c r="M235" s="7" t="s">
        <v>831</v>
      </c>
      <c r="Z235" s="2">
        <f>IF(AQ235="5",BJ235,0)</f>
        <v>0</v>
      </c>
      <c r="AB235" s="2">
        <f>IF(AQ235="1",BH235,0)</f>
        <v>0</v>
      </c>
      <c r="AC235" s="2">
        <f>IF(AQ235="1",BI235,0)</f>
        <v>0</v>
      </c>
      <c r="AD235" s="2">
        <f>IF(AQ235="7",BH235,0)</f>
        <v>0</v>
      </c>
      <c r="AE235" s="2">
        <f>IF(AQ235="7",BI235,0)</f>
        <v>0</v>
      </c>
      <c r="AF235" s="2">
        <f>IF(AQ235="2",BH235,0)</f>
        <v>0</v>
      </c>
      <c r="AG235" s="2">
        <f>IF(AQ235="2",BI235,0)</f>
        <v>0</v>
      </c>
      <c r="AH235" s="2">
        <f>IF(AQ235="0",BJ235,0)</f>
        <v>0</v>
      </c>
      <c r="AI235" s="19" t="s">
        <v>255</v>
      </c>
      <c r="AJ235" s="2">
        <f>IF(AN235=0,L235,0)</f>
        <v>0</v>
      </c>
      <c r="AK235" s="2">
        <f>IF(AN235=15,L235,0)</f>
        <v>0</v>
      </c>
      <c r="AL235" s="2">
        <f>IF(AN235=21,L235,0)</f>
        <v>0</v>
      </c>
      <c r="AN235" s="2">
        <v>15</v>
      </c>
      <c r="AO235" s="2">
        <f>I235*0.440787914933946</f>
        <v>0</v>
      </c>
      <c r="AP235" s="2">
        <f>I235*(1-0.440787914933946)</f>
        <v>0</v>
      </c>
      <c r="AQ235" s="43" t="s">
        <v>1215</v>
      </c>
      <c r="AV235" s="2">
        <f>AW235+AX235</f>
        <v>0</v>
      </c>
      <c r="AW235" s="2">
        <f>H235*AO235</f>
        <v>0</v>
      </c>
      <c r="AX235" s="2">
        <f>H235*AP235</f>
        <v>0</v>
      </c>
      <c r="AY235" s="43" t="s">
        <v>201</v>
      </c>
      <c r="AZ235" s="43" t="s">
        <v>441</v>
      </c>
      <c r="BA235" s="19" t="s">
        <v>1155</v>
      </c>
      <c r="BC235" s="2">
        <f>AW235+AX235</f>
        <v>0</v>
      </c>
      <c r="BD235" s="2">
        <f>I235/(100-BE235)*100</f>
        <v>0</v>
      </c>
      <c r="BE235" s="2">
        <v>0</v>
      </c>
      <c r="BF235" s="2">
        <f>235</f>
        <v>235</v>
      </c>
      <c r="BH235" s="2">
        <f>H235*AO235</f>
        <v>0</v>
      </c>
      <c r="BI235" s="2">
        <f>H235*AP235</f>
        <v>0</v>
      </c>
      <c r="BJ235" s="2">
        <f>H235*I235</f>
        <v>0</v>
      </c>
      <c r="BK235" s="2"/>
      <c r="BL235" s="2">
        <v>721</v>
      </c>
    </row>
    <row r="236" spans="1:13" ht="13.5" customHeight="1">
      <c r="A236" s="51"/>
      <c r="B236" s="32" t="s">
        <v>639</v>
      </c>
      <c r="C236" s="75" t="s">
        <v>1298</v>
      </c>
      <c r="D236" s="76"/>
      <c r="E236" s="76"/>
      <c r="F236" s="76"/>
      <c r="G236" s="76"/>
      <c r="H236" s="76"/>
      <c r="I236" s="76"/>
      <c r="J236" s="76"/>
      <c r="K236" s="76"/>
      <c r="L236" s="76"/>
      <c r="M236" s="77"/>
    </row>
    <row r="237" spans="1:64" ht="15" customHeight="1">
      <c r="A237" s="15" t="s">
        <v>1113</v>
      </c>
      <c r="B237" s="14" t="s">
        <v>853</v>
      </c>
      <c r="C237" s="58" t="s">
        <v>862</v>
      </c>
      <c r="D237" s="58"/>
      <c r="E237" s="58"/>
      <c r="F237" s="58"/>
      <c r="G237" s="14" t="s">
        <v>999</v>
      </c>
      <c r="H237" s="2">
        <v>4.3</v>
      </c>
      <c r="I237" s="2">
        <v>0</v>
      </c>
      <c r="J237" s="2">
        <f aca="true" t="shared" si="44" ref="J237:J247">H237*AO237</f>
        <v>0</v>
      </c>
      <c r="K237" s="2">
        <f aca="true" t="shared" si="45" ref="K237:K247">H237*AP237</f>
        <v>0</v>
      </c>
      <c r="L237" s="2">
        <f aca="true" t="shared" si="46" ref="L237:L247">H237*I237</f>
        <v>0</v>
      </c>
      <c r="M237" s="7" t="s">
        <v>831</v>
      </c>
      <c r="Z237" s="2">
        <f aca="true" t="shared" si="47" ref="Z237:Z247">IF(AQ237="5",BJ237,0)</f>
        <v>0</v>
      </c>
      <c r="AB237" s="2">
        <f aca="true" t="shared" si="48" ref="AB237:AB247">IF(AQ237="1",BH237,0)</f>
        <v>0</v>
      </c>
      <c r="AC237" s="2">
        <f aca="true" t="shared" si="49" ref="AC237:AC247">IF(AQ237="1",BI237,0)</f>
        <v>0</v>
      </c>
      <c r="AD237" s="2">
        <f aca="true" t="shared" si="50" ref="AD237:AD247">IF(AQ237="7",BH237,0)</f>
        <v>0</v>
      </c>
      <c r="AE237" s="2">
        <f aca="true" t="shared" si="51" ref="AE237:AE247">IF(AQ237="7",BI237,0)</f>
        <v>0</v>
      </c>
      <c r="AF237" s="2">
        <f aca="true" t="shared" si="52" ref="AF237:AF247">IF(AQ237="2",BH237,0)</f>
        <v>0</v>
      </c>
      <c r="AG237" s="2">
        <f aca="true" t="shared" si="53" ref="AG237:AG247">IF(AQ237="2",BI237,0)</f>
        <v>0</v>
      </c>
      <c r="AH237" s="2">
        <f aca="true" t="shared" si="54" ref="AH237:AH247">IF(AQ237="0",BJ237,0)</f>
        <v>0</v>
      </c>
      <c r="AI237" s="19" t="s">
        <v>255</v>
      </c>
      <c r="AJ237" s="2">
        <f aca="true" t="shared" si="55" ref="AJ237:AJ247">IF(AN237=0,L237,0)</f>
        <v>0</v>
      </c>
      <c r="AK237" s="2">
        <f aca="true" t="shared" si="56" ref="AK237:AK247">IF(AN237=15,L237,0)</f>
        <v>0</v>
      </c>
      <c r="AL237" s="2">
        <f aca="true" t="shared" si="57" ref="AL237:AL247">IF(AN237=21,L237,0)</f>
        <v>0</v>
      </c>
      <c r="AN237" s="2">
        <v>15</v>
      </c>
      <c r="AO237" s="2">
        <f>I237*0.715679012345679</f>
        <v>0</v>
      </c>
      <c r="AP237" s="2">
        <f>I237*(1-0.715679012345679)</f>
        <v>0</v>
      </c>
      <c r="AQ237" s="43" t="s">
        <v>1215</v>
      </c>
      <c r="AV237" s="2">
        <f aca="true" t="shared" si="58" ref="AV237:AV247">AW237+AX237</f>
        <v>0</v>
      </c>
      <c r="AW237" s="2">
        <f aca="true" t="shared" si="59" ref="AW237:AW247">H237*AO237</f>
        <v>0</v>
      </c>
      <c r="AX237" s="2">
        <f aca="true" t="shared" si="60" ref="AX237:AX247">H237*AP237</f>
        <v>0</v>
      </c>
      <c r="AY237" s="43" t="s">
        <v>201</v>
      </c>
      <c r="AZ237" s="43" t="s">
        <v>441</v>
      </c>
      <c r="BA237" s="19" t="s">
        <v>1155</v>
      </c>
      <c r="BC237" s="2">
        <f aca="true" t="shared" si="61" ref="BC237:BC247">AW237+AX237</f>
        <v>0</v>
      </c>
      <c r="BD237" s="2">
        <f aca="true" t="shared" si="62" ref="BD237:BD247">I237/(100-BE237)*100</f>
        <v>0</v>
      </c>
      <c r="BE237" s="2">
        <v>0</v>
      </c>
      <c r="BF237" s="2">
        <f>237</f>
        <v>237</v>
      </c>
      <c r="BH237" s="2">
        <f aca="true" t="shared" si="63" ref="BH237:BH247">H237*AO237</f>
        <v>0</v>
      </c>
      <c r="BI237" s="2">
        <f aca="true" t="shared" si="64" ref="BI237:BI247">H237*AP237</f>
        <v>0</v>
      </c>
      <c r="BJ237" s="2">
        <f aca="true" t="shared" si="65" ref="BJ237:BJ247">H237*I237</f>
        <v>0</v>
      </c>
      <c r="BK237" s="2"/>
      <c r="BL237" s="2">
        <v>721</v>
      </c>
    </row>
    <row r="238" spans="1:64" ht="15" customHeight="1">
      <c r="A238" s="15" t="s">
        <v>310</v>
      </c>
      <c r="B238" s="14" t="s">
        <v>230</v>
      </c>
      <c r="C238" s="58" t="s">
        <v>1036</v>
      </c>
      <c r="D238" s="58"/>
      <c r="E238" s="58"/>
      <c r="F238" s="58"/>
      <c r="G238" s="14" t="s">
        <v>999</v>
      </c>
      <c r="H238" s="2">
        <v>3</v>
      </c>
      <c r="I238" s="2">
        <v>0</v>
      </c>
      <c r="J238" s="2">
        <f t="shared" si="44"/>
        <v>0</v>
      </c>
      <c r="K238" s="2">
        <f t="shared" si="45"/>
        <v>0</v>
      </c>
      <c r="L238" s="2">
        <f t="shared" si="46"/>
        <v>0</v>
      </c>
      <c r="M238" s="7" t="s">
        <v>831</v>
      </c>
      <c r="Z238" s="2">
        <f t="shared" si="47"/>
        <v>0</v>
      </c>
      <c r="AB238" s="2">
        <f t="shared" si="48"/>
        <v>0</v>
      </c>
      <c r="AC238" s="2">
        <f t="shared" si="49"/>
        <v>0</v>
      </c>
      <c r="AD238" s="2">
        <f t="shared" si="50"/>
        <v>0</v>
      </c>
      <c r="AE238" s="2">
        <f t="shared" si="51"/>
        <v>0</v>
      </c>
      <c r="AF238" s="2">
        <f t="shared" si="52"/>
        <v>0</v>
      </c>
      <c r="AG238" s="2">
        <f t="shared" si="53"/>
        <v>0</v>
      </c>
      <c r="AH238" s="2">
        <f t="shared" si="54"/>
        <v>0</v>
      </c>
      <c r="AI238" s="19" t="s">
        <v>255</v>
      </c>
      <c r="AJ238" s="2">
        <f t="shared" si="55"/>
        <v>0</v>
      </c>
      <c r="AK238" s="2">
        <f t="shared" si="56"/>
        <v>0</v>
      </c>
      <c r="AL238" s="2">
        <f t="shared" si="57"/>
        <v>0</v>
      </c>
      <c r="AN238" s="2">
        <v>15</v>
      </c>
      <c r="AO238" s="2">
        <f>I238*0.798393070489845</f>
        <v>0</v>
      </c>
      <c r="AP238" s="2">
        <f>I238*(1-0.798393070489845)</f>
        <v>0</v>
      </c>
      <c r="AQ238" s="43" t="s">
        <v>1215</v>
      </c>
      <c r="AV238" s="2">
        <f t="shared" si="58"/>
        <v>0</v>
      </c>
      <c r="AW238" s="2">
        <f t="shared" si="59"/>
        <v>0</v>
      </c>
      <c r="AX238" s="2">
        <f t="shared" si="60"/>
        <v>0</v>
      </c>
      <c r="AY238" s="43" t="s">
        <v>201</v>
      </c>
      <c r="AZ238" s="43" t="s">
        <v>441</v>
      </c>
      <c r="BA238" s="19" t="s">
        <v>1155</v>
      </c>
      <c r="BC238" s="2">
        <f t="shared" si="61"/>
        <v>0</v>
      </c>
      <c r="BD238" s="2">
        <f t="shared" si="62"/>
        <v>0</v>
      </c>
      <c r="BE238" s="2">
        <v>0</v>
      </c>
      <c r="BF238" s="2">
        <f>238</f>
        <v>238</v>
      </c>
      <c r="BH238" s="2">
        <f t="shared" si="63"/>
        <v>0</v>
      </c>
      <c r="BI238" s="2">
        <f t="shared" si="64"/>
        <v>0</v>
      </c>
      <c r="BJ238" s="2">
        <f t="shared" si="65"/>
        <v>0</v>
      </c>
      <c r="BK238" s="2"/>
      <c r="BL238" s="2">
        <v>721</v>
      </c>
    </row>
    <row r="239" spans="1:64" ht="15" customHeight="1">
      <c r="A239" s="15" t="s">
        <v>198</v>
      </c>
      <c r="B239" s="14" t="s">
        <v>819</v>
      </c>
      <c r="C239" s="58" t="s">
        <v>1287</v>
      </c>
      <c r="D239" s="58"/>
      <c r="E239" s="58"/>
      <c r="F239" s="58"/>
      <c r="G239" s="14" t="s">
        <v>999</v>
      </c>
      <c r="H239" s="2">
        <v>1.4</v>
      </c>
      <c r="I239" s="2">
        <v>0</v>
      </c>
      <c r="J239" s="2">
        <f t="shared" si="44"/>
        <v>0</v>
      </c>
      <c r="K239" s="2">
        <f t="shared" si="45"/>
        <v>0</v>
      </c>
      <c r="L239" s="2">
        <f t="shared" si="46"/>
        <v>0</v>
      </c>
      <c r="M239" s="7" t="s">
        <v>831</v>
      </c>
      <c r="Z239" s="2">
        <f t="shared" si="47"/>
        <v>0</v>
      </c>
      <c r="AB239" s="2">
        <f t="shared" si="48"/>
        <v>0</v>
      </c>
      <c r="AC239" s="2">
        <f t="shared" si="49"/>
        <v>0</v>
      </c>
      <c r="AD239" s="2">
        <f t="shared" si="50"/>
        <v>0</v>
      </c>
      <c r="AE239" s="2">
        <f t="shared" si="51"/>
        <v>0</v>
      </c>
      <c r="AF239" s="2">
        <f t="shared" si="52"/>
        <v>0</v>
      </c>
      <c r="AG239" s="2">
        <f t="shared" si="53"/>
        <v>0</v>
      </c>
      <c r="AH239" s="2">
        <f t="shared" si="54"/>
        <v>0</v>
      </c>
      <c r="AI239" s="19" t="s">
        <v>255</v>
      </c>
      <c r="AJ239" s="2">
        <f t="shared" si="55"/>
        <v>0</v>
      </c>
      <c r="AK239" s="2">
        <f t="shared" si="56"/>
        <v>0</v>
      </c>
      <c r="AL239" s="2">
        <f t="shared" si="57"/>
        <v>0</v>
      </c>
      <c r="AN239" s="2">
        <v>15</v>
      </c>
      <c r="AO239" s="2">
        <f>I239*0.506269841269841</f>
        <v>0</v>
      </c>
      <c r="AP239" s="2">
        <f>I239*(1-0.506269841269841)</f>
        <v>0</v>
      </c>
      <c r="AQ239" s="43" t="s">
        <v>1215</v>
      </c>
      <c r="AV239" s="2">
        <f t="shared" si="58"/>
        <v>0</v>
      </c>
      <c r="AW239" s="2">
        <f t="shared" si="59"/>
        <v>0</v>
      </c>
      <c r="AX239" s="2">
        <f t="shared" si="60"/>
        <v>0</v>
      </c>
      <c r="AY239" s="43" t="s">
        <v>201</v>
      </c>
      <c r="AZ239" s="43" t="s">
        <v>441</v>
      </c>
      <c r="BA239" s="19" t="s">
        <v>1155</v>
      </c>
      <c r="BC239" s="2">
        <f t="shared" si="61"/>
        <v>0</v>
      </c>
      <c r="BD239" s="2">
        <f t="shared" si="62"/>
        <v>0</v>
      </c>
      <c r="BE239" s="2">
        <v>0</v>
      </c>
      <c r="BF239" s="2">
        <f>239</f>
        <v>239</v>
      </c>
      <c r="BH239" s="2">
        <f t="shared" si="63"/>
        <v>0</v>
      </c>
      <c r="BI239" s="2">
        <f t="shared" si="64"/>
        <v>0</v>
      </c>
      <c r="BJ239" s="2">
        <f t="shared" si="65"/>
        <v>0</v>
      </c>
      <c r="BK239" s="2"/>
      <c r="BL239" s="2">
        <v>721</v>
      </c>
    </row>
    <row r="240" spans="1:64" ht="15" customHeight="1">
      <c r="A240" s="15" t="s">
        <v>380</v>
      </c>
      <c r="B240" s="14" t="s">
        <v>186</v>
      </c>
      <c r="C240" s="58" t="s">
        <v>1128</v>
      </c>
      <c r="D240" s="58"/>
      <c r="E240" s="58"/>
      <c r="F240" s="58"/>
      <c r="G240" s="14" t="s">
        <v>999</v>
      </c>
      <c r="H240" s="2">
        <v>8</v>
      </c>
      <c r="I240" s="2">
        <v>0</v>
      </c>
      <c r="J240" s="2">
        <f t="shared" si="44"/>
        <v>0</v>
      </c>
      <c r="K240" s="2">
        <f t="shared" si="45"/>
        <v>0</v>
      </c>
      <c r="L240" s="2">
        <f t="shared" si="46"/>
        <v>0</v>
      </c>
      <c r="M240" s="7" t="s">
        <v>831</v>
      </c>
      <c r="Z240" s="2">
        <f t="shared" si="47"/>
        <v>0</v>
      </c>
      <c r="AB240" s="2">
        <f t="shared" si="48"/>
        <v>0</v>
      </c>
      <c r="AC240" s="2">
        <f t="shared" si="49"/>
        <v>0</v>
      </c>
      <c r="AD240" s="2">
        <f t="shared" si="50"/>
        <v>0</v>
      </c>
      <c r="AE240" s="2">
        <f t="shared" si="51"/>
        <v>0</v>
      </c>
      <c r="AF240" s="2">
        <f t="shared" si="52"/>
        <v>0</v>
      </c>
      <c r="AG240" s="2">
        <f t="shared" si="53"/>
        <v>0</v>
      </c>
      <c r="AH240" s="2">
        <f t="shared" si="54"/>
        <v>0</v>
      </c>
      <c r="AI240" s="19" t="s">
        <v>255</v>
      </c>
      <c r="AJ240" s="2">
        <f t="shared" si="55"/>
        <v>0</v>
      </c>
      <c r="AK240" s="2">
        <f t="shared" si="56"/>
        <v>0</v>
      </c>
      <c r="AL240" s="2">
        <f t="shared" si="57"/>
        <v>0</v>
      </c>
      <c r="AN240" s="2">
        <v>15</v>
      </c>
      <c r="AO240" s="2">
        <f>I240*0.399327615189001</f>
        <v>0</v>
      </c>
      <c r="AP240" s="2">
        <f>I240*(1-0.399327615189001)</f>
        <v>0</v>
      </c>
      <c r="AQ240" s="43" t="s">
        <v>1215</v>
      </c>
      <c r="AV240" s="2">
        <f t="shared" si="58"/>
        <v>0</v>
      </c>
      <c r="AW240" s="2">
        <f t="shared" si="59"/>
        <v>0</v>
      </c>
      <c r="AX240" s="2">
        <f t="shared" si="60"/>
        <v>0</v>
      </c>
      <c r="AY240" s="43" t="s">
        <v>201</v>
      </c>
      <c r="AZ240" s="43" t="s">
        <v>441</v>
      </c>
      <c r="BA240" s="19" t="s">
        <v>1155</v>
      </c>
      <c r="BC240" s="2">
        <f t="shared" si="61"/>
        <v>0</v>
      </c>
      <c r="BD240" s="2">
        <f t="shared" si="62"/>
        <v>0</v>
      </c>
      <c r="BE240" s="2">
        <v>0</v>
      </c>
      <c r="BF240" s="2">
        <f>240</f>
        <v>240</v>
      </c>
      <c r="BH240" s="2">
        <f t="shared" si="63"/>
        <v>0</v>
      </c>
      <c r="BI240" s="2">
        <f t="shared" si="64"/>
        <v>0</v>
      </c>
      <c r="BJ240" s="2">
        <f t="shared" si="65"/>
        <v>0</v>
      </c>
      <c r="BK240" s="2"/>
      <c r="BL240" s="2">
        <v>721</v>
      </c>
    </row>
    <row r="241" spans="1:64" ht="15" customHeight="1">
      <c r="A241" s="15" t="s">
        <v>407</v>
      </c>
      <c r="B241" s="14" t="s">
        <v>520</v>
      </c>
      <c r="C241" s="58" t="s">
        <v>558</v>
      </c>
      <c r="D241" s="58"/>
      <c r="E241" s="58"/>
      <c r="F241" s="58"/>
      <c r="G241" s="14" t="s">
        <v>999</v>
      </c>
      <c r="H241" s="2">
        <v>28</v>
      </c>
      <c r="I241" s="2">
        <v>0</v>
      </c>
      <c r="J241" s="2">
        <f t="shared" si="44"/>
        <v>0</v>
      </c>
      <c r="K241" s="2">
        <f t="shared" si="45"/>
        <v>0</v>
      </c>
      <c r="L241" s="2">
        <f t="shared" si="46"/>
        <v>0</v>
      </c>
      <c r="M241" s="7" t="s">
        <v>831</v>
      </c>
      <c r="Z241" s="2">
        <f t="shared" si="47"/>
        <v>0</v>
      </c>
      <c r="AB241" s="2">
        <f t="shared" si="48"/>
        <v>0</v>
      </c>
      <c r="AC241" s="2">
        <f t="shared" si="49"/>
        <v>0</v>
      </c>
      <c r="AD241" s="2">
        <f t="shared" si="50"/>
        <v>0</v>
      </c>
      <c r="AE241" s="2">
        <f t="shared" si="51"/>
        <v>0</v>
      </c>
      <c r="AF241" s="2">
        <f t="shared" si="52"/>
        <v>0</v>
      </c>
      <c r="AG241" s="2">
        <f t="shared" si="53"/>
        <v>0</v>
      </c>
      <c r="AH241" s="2">
        <f t="shared" si="54"/>
        <v>0</v>
      </c>
      <c r="AI241" s="19" t="s">
        <v>255</v>
      </c>
      <c r="AJ241" s="2">
        <f t="shared" si="55"/>
        <v>0</v>
      </c>
      <c r="AK241" s="2">
        <f t="shared" si="56"/>
        <v>0</v>
      </c>
      <c r="AL241" s="2">
        <f t="shared" si="57"/>
        <v>0</v>
      </c>
      <c r="AN241" s="2">
        <v>15</v>
      </c>
      <c r="AO241" s="2">
        <f>I241*0.398751607195842</f>
        <v>0</v>
      </c>
      <c r="AP241" s="2">
        <f>I241*(1-0.398751607195842)</f>
        <v>0</v>
      </c>
      <c r="AQ241" s="43" t="s">
        <v>1215</v>
      </c>
      <c r="AV241" s="2">
        <f t="shared" si="58"/>
        <v>0</v>
      </c>
      <c r="AW241" s="2">
        <f t="shared" si="59"/>
        <v>0</v>
      </c>
      <c r="AX241" s="2">
        <f t="shared" si="60"/>
        <v>0</v>
      </c>
      <c r="AY241" s="43" t="s">
        <v>201</v>
      </c>
      <c r="AZ241" s="43" t="s">
        <v>441</v>
      </c>
      <c r="BA241" s="19" t="s">
        <v>1155</v>
      </c>
      <c r="BC241" s="2">
        <f t="shared" si="61"/>
        <v>0</v>
      </c>
      <c r="BD241" s="2">
        <f t="shared" si="62"/>
        <v>0</v>
      </c>
      <c r="BE241" s="2">
        <v>0</v>
      </c>
      <c r="BF241" s="2">
        <f>241</f>
        <v>241</v>
      </c>
      <c r="BH241" s="2">
        <f t="shared" si="63"/>
        <v>0</v>
      </c>
      <c r="BI241" s="2">
        <f t="shared" si="64"/>
        <v>0</v>
      </c>
      <c r="BJ241" s="2">
        <f t="shared" si="65"/>
        <v>0</v>
      </c>
      <c r="BK241" s="2"/>
      <c r="BL241" s="2">
        <v>721</v>
      </c>
    </row>
    <row r="242" spans="1:64" ht="15" customHeight="1">
      <c r="A242" s="15" t="s">
        <v>274</v>
      </c>
      <c r="B242" s="14" t="s">
        <v>550</v>
      </c>
      <c r="C242" s="58" t="s">
        <v>263</v>
      </c>
      <c r="D242" s="58"/>
      <c r="E242" s="58"/>
      <c r="F242" s="58"/>
      <c r="G242" s="14" t="s">
        <v>999</v>
      </c>
      <c r="H242" s="2">
        <v>13</v>
      </c>
      <c r="I242" s="2">
        <v>0</v>
      </c>
      <c r="J242" s="2">
        <f t="shared" si="44"/>
        <v>0</v>
      </c>
      <c r="K242" s="2">
        <f t="shared" si="45"/>
        <v>0</v>
      </c>
      <c r="L242" s="2">
        <f t="shared" si="46"/>
        <v>0</v>
      </c>
      <c r="M242" s="7" t="s">
        <v>831</v>
      </c>
      <c r="Z242" s="2">
        <f t="shared" si="47"/>
        <v>0</v>
      </c>
      <c r="AB242" s="2">
        <f t="shared" si="48"/>
        <v>0</v>
      </c>
      <c r="AC242" s="2">
        <f t="shared" si="49"/>
        <v>0</v>
      </c>
      <c r="AD242" s="2">
        <f t="shared" si="50"/>
        <v>0</v>
      </c>
      <c r="AE242" s="2">
        <f t="shared" si="51"/>
        <v>0</v>
      </c>
      <c r="AF242" s="2">
        <f t="shared" si="52"/>
        <v>0</v>
      </c>
      <c r="AG242" s="2">
        <f t="shared" si="53"/>
        <v>0</v>
      </c>
      <c r="AH242" s="2">
        <f t="shared" si="54"/>
        <v>0</v>
      </c>
      <c r="AI242" s="19" t="s">
        <v>255</v>
      </c>
      <c r="AJ242" s="2">
        <f t="shared" si="55"/>
        <v>0</v>
      </c>
      <c r="AK242" s="2">
        <f t="shared" si="56"/>
        <v>0</v>
      </c>
      <c r="AL242" s="2">
        <f t="shared" si="57"/>
        <v>0</v>
      </c>
      <c r="AN242" s="2">
        <v>15</v>
      </c>
      <c r="AO242" s="2">
        <f>I242*0.380087378640777</f>
        <v>0</v>
      </c>
      <c r="AP242" s="2">
        <f>I242*(1-0.380087378640777)</f>
        <v>0</v>
      </c>
      <c r="AQ242" s="43" t="s">
        <v>1215</v>
      </c>
      <c r="AV242" s="2">
        <f t="shared" si="58"/>
        <v>0</v>
      </c>
      <c r="AW242" s="2">
        <f t="shared" si="59"/>
        <v>0</v>
      </c>
      <c r="AX242" s="2">
        <f t="shared" si="60"/>
        <v>0</v>
      </c>
      <c r="AY242" s="43" t="s">
        <v>201</v>
      </c>
      <c r="AZ242" s="43" t="s">
        <v>441</v>
      </c>
      <c r="BA242" s="19" t="s">
        <v>1155</v>
      </c>
      <c r="BC242" s="2">
        <f t="shared" si="61"/>
        <v>0</v>
      </c>
      <c r="BD242" s="2">
        <f t="shared" si="62"/>
        <v>0</v>
      </c>
      <c r="BE242" s="2">
        <v>0</v>
      </c>
      <c r="BF242" s="2">
        <f>242</f>
        <v>242</v>
      </c>
      <c r="BH242" s="2">
        <f t="shared" si="63"/>
        <v>0</v>
      </c>
      <c r="BI242" s="2">
        <f t="shared" si="64"/>
        <v>0</v>
      </c>
      <c r="BJ242" s="2">
        <f t="shared" si="65"/>
        <v>0</v>
      </c>
      <c r="BK242" s="2"/>
      <c r="BL242" s="2">
        <v>721</v>
      </c>
    </row>
    <row r="243" spans="1:64" ht="15" customHeight="1">
      <c r="A243" s="15" t="s">
        <v>513</v>
      </c>
      <c r="B243" s="14" t="s">
        <v>118</v>
      </c>
      <c r="C243" s="58" t="s">
        <v>1353</v>
      </c>
      <c r="D243" s="58"/>
      <c r="E243" s="58"/>
      <c r="F243" s="58"/>
      <c r="G243" s="14" t="s">
        <v>999</v>
      </c>
      <c r="H243" s="2">
        <v>14</v>
      </c>
      <c r="I243" s="2">
        <v>0</v>
      </c>
      <c r="J243" s="2">
        <f t="shared" si="44"/>
        <v>0</v>
      </c>
      <c r="K243" s="2">
        <f t="shared" si="45"/>
        <v>0</v>
      </c>
      <c r="L243" s="2">
        <f t="shared" si="46"/>
        <v>0</v>
      </c>
      <c r="M243" s="7" t="s">
        <v>831</v>
      </c>
      <c r="Z243" s="2">
        <f t="shared" si="47"/>
        <v>0</v>
      </c>
      <c r="AB243" s="2">
        <f t="shared" si="48"/>
        <v>0</v>
      </c>
      <c r="AC243" s="2">
        <f t="shared" si="49"/>
        <v>0</v>
      </c>
      <c r="AD243" s="2">
        <f t="shared" si="50"/>
        <v>0</v>
      </c>
      <c r="AE243" s="2">
        <f t="shared" si="51"/>
        <v>0</v>
      </c>
      <c r="AF243" s="2">
        <f t="shared" si="52"/>
        <v>0</v>
      </c>
      <c r="AG243" s="2">
        <f t="shared" si="53"/>
        <v>0</v>
      </c>
      <c r="AH243" s="2">
        <f t="shared" si="54"/>
        <v>0</v>
      </c>
      <c r="AI243" s="19" t="s">
        <v>255</v>
      </c>
      <c r="AJ243" s="2">
        <f t="shared" si="55"/>
        <v>0</v>
      </c>
      <c r="AK243" s="2">
        <f t="shared" si="56"/>
        <v>0</v>
      </c>
      <c r="AL243" s="2">
        <f t="shared" si="57"/>
        <v>0</v>
      </c>
      <c r="AN243" s="2">
        <v>15</v>
      </c>
      <c r="AO243" s="2">
        <f>I243*0.396720867208672</f>
        <v>0</v>
      </c>
      <c r="AP243" s="2">
        <f>I243*(1-0.396720867208672)</f>
        <v>0</v>
      </c>
      <c r="AQ243" s="43" t="s">
        <v>1215</v>
      </c>
      <c r="AV243" s="2">
        <f t="shared" si="58"/>
        <v>0</v>
      </c>
      <c r="AW243" s="2">
        <f t="shared" si="59"/>
        <v>0</v>
      </c>
      <c r="AX243" s="2">
        <f t="shared" si="60"/>
        <v>0</v>
      </c>
      <c r="AY243" s="43" t="s">
        <v>201</v>
      </c>
      <c r="AZ243" s="43" t="s">
        <v>441</v>
      </c>
      <c r="BA243" s="19" t="s">
        <v>1155</v>
      </c>
      <c r="BC243" s="2">
        <f t="shared" si="61"/>
        <v>0</v>
      </c>
      <c r="BD243" s="2">
        <f t="shared" si="62"/>
        <v>0</v>
      </c>
      <c r="BE243" s="2">
        <v>0</v>
      </c>
      <c r="BF243" s="2">
        <f>243</f>
        <v>243</v>
      </c>
      <c r="BH243" s="2">
        <f t="shared" si="63"/>
        <v>0</v>
      </c>
      <c r="BI243" s="2">
        <f t="shared" si="64"/>
        <v>0</v>
      </c>
      <c r="BJ243" s="2">
        <f t="shared" si="65"/>
        <v>0</v>
      </c>
      <c r="BK243" s="2"/>
      <c r="BL243" s="2">
        <v>721</v>
      </c>
    </row>
    <row r="244" spans="1:64" ht="15" customHeight="1">
      <c r="A244" s="15" t="s">
        <v>495</v>
      </c>
      <c r="B244" s="14" t="s">
        <v>420</v>
      </c>
      <c r="C244" s="58" t="s">
        <v>85</v>
      </c>
      <c r="D244" s="58"/>
      <c r="E244" s="58"/>
      <c r="F244" s="58"/>
      <c r="G244" s="14" t="s">
        <v>999</v>
      </c>
      <c r="H244" s="2">
        <v>18</v>
      </c>
      <c r="I244" s="2">
        <v>0</v>
      </c>
      <c r="J244" s="2">
        <f t="shared" si="44"/>
        <v>0</v>
      </c>
      <c r="K244" s="2">
        <f t="shared" si="45"/>
        <v>0</v>
      </c>
      <c r="L244" s="2">
        <f t="shared" si="46"/>
        <v>0</v>
      </c>
      <c r="M244" s="7" t="s">
        <v>831</v>
      </c>
      <c r="Z244" s="2">
        <f t="shared" si="47"/>
        <v>0</v>
      </c>
      <c r="AB244" s="2">
        <f t="shared" si="48"/>
        <v>0</v>
      </c>
      <c r="AC244" s="2">
        <f t="shared" si="49"/>
        <v>0</v>
      </c>
      <c r="AD244" s="2">
        <f t="shared" si="50"/>
        <v>0</v>
      </c>
      <c r="AE244" s="2">
        <f t="shared" si="51"/>
        <v>0</v>
      </c>
      <c r="AF244" s="2">
        <f t="shared" si="52"/>
        <v>0</v>
      </c>
      <c r="AG244" s="2">
        <f t="shared" si="53"/>
        <v>0</v>
      </c>
      <c r="AH244" s="2">
        <f t="shared" si="54"/>
        <v>0</v>
      </c>
      <c r="AI244" s="19" t="s">
        <v>255</v>
      </c>
      <c r="AJ244" s="2">
        <f t="shared" si="55"/>
        <v>0</v>
      </c>
      <c r="AK244" s="2">
        <f t="shared" si="56"/>
        <v>0</v>
      </c>
      <c r="AL244" s="2">
        <f t="shared" si="57"/>
        <v>0</v>
      </c>
      <c r="AN244" s="2">
        <v>15</v>
      </c>
      <c r="AO244" s="2">
        <f>I244*0.486055278037722</f>
        <v>0</v>
      </c>
      <c r="AP244" s="2">
        <f>I244*(1-0.486055278037722)</f>
        <v>0</v>
      </c>
      <c r="AQ244" s="43" t="s">
        <v>1215</v>
      </c>
      <c r="AV244" s="2">
        <f t="shared" si="58"/>
        <v>0</v>
      </c>
      <c r="AW244" s="2">
        <f t="shared" si="59"/>
        <v>0</v>
      </c>
      <c r="AX244" s="2">
        <f t="shared" si="60"/>
        <v>0</v>
      </c>
      <c r="AY244" s="43" t="s">
        <v>201</v>
      </c>
      <c r="AZ244" s="43" t="s">
        <v>441</v>
      </c>
      <c r="BA244" s="19" t="s">
        <v>1155</v>
      </c>
      <c r="BC244" s="2">
        <f t="shared" si="61"/>
        <v>0</v>
      </c>
      <c r="BD244" s="2">
        <f t="shared" si="62"/>
        <v>0</v>
      </c>
      <c r="BE244" s="2">
        <v>0</v>
      </c>
      <c r="BF244" s="2">
        <f>244</f>
        <v>244</v>
      </c>
      <c r="BH244" s="2">
        <f t="shared" si="63"/>
        <v>0</v>
      </c>
      <c r="BI244" s="2">
        <f t="shared" si="64"/>
        <v>0</v>
      </c>
      <c r="BJ244" s="2">
        <f t="shared" si="65"/>
        <v>0</v>
      </c>
      <c r="BK244" s="2"/>
      <c r="BL244" s="2">
        <v>721</v>
      </c>
    </row>
    <row r="245" spans="1:64" ht="15" customHeight="1">
      <c r="A245" s="15" t="s">
        <v>666</v>
      </c>
      <c r="B245" s="14" t="s">
        <v>1015</v>
      </c>
      <c r="C245" s="58" t="s">
        <v>74</v>
      </c>
      <c r="D245" s="58"/>
      <c r="E245" s="58"/>
      <c r="F245" s="58"/>
      <c r="G245" s="14" t="s">
        <v>999</v>
      </c>
      <c r="H245" s="2">
        <v>111.4</v>
      </c>
      <c r="I245" s="2">
        <v>0</v>
      </c>
      <c r="J245" s="2">
        <f t="shared" si="44"/>
        <v>0</v>
      </c>
      <c r="K245" s="2">
        <f t="shared" si="45"/>
        <v>0</v>
      </c>
      <c r="L245" s="2">
        <f t="shared" si="46"/>
        <v>0</v>
      </c>
      <c r="M245" s="7" t="s">
        <v>831</v>
      </c>
      <c r="Z245" s="2">
        <f t="shared" si="47"/>
        <v>0</v>
      </c>
      <c r="AB245" s="2">
        <f t="shared" si="48"/>
        <v>0</v>
      </c>
      <c r="AC245" s="2">
        <f t="shared" si="49"/>
        <v>0</v>
      </c>
      <c r="AD245" s="2">
        <f t="shared" si="50"/>
        <v>0</v>
      </c>
      <c r="AE245" s="2">
        <f t="shared" si="51"/>
        <v>0</v>
      </c>
      <c r="AF245" s="2">
        <f t="shared" si="52"/>
        <v>0</v>
      </c>
      <c r="AG245" s="2">
        <f t="shared" si="53"/>
        <v>0</v>
      </c>
      <c r="AH245" s="2">
        <f t="shared" si="54"/>
        <v>0</v>
      </c>
      <c r="AI245" s="19" t="s">
        <v>255</v>
      </c>
      <c r="AJ245" s="2">
        <f t="shared" si="55"/>
        <v>0</v>
      </c>
      <c r="AK245" s="2">
        <f t="shared" si="56"/>
        <v>0</v>
      </c>
      <c r="AL245" s="2">
        <f t="shared" si="57"/>
        <v>0</v>
      </c>
      <c r="AN245" s="2">
        <v>15</v>
      </c>
      <c r="AO245" s="2">
        <f>I245*0.0275089264858011</f>
        <v>0</v>
      </c>
      <c r="AP245" s="2">
        <f>I245*(1-0.0275089264858011)</f>
        <v>0</v>
      </c>
      <c r="AQ245" s="43" t="s">
        <v>1215</v>
      </c>
      <c r="AV245" s="2">
        <f t="shared" si="58"/>
        <v>0</v>
      </c>
      <c r="AW245" s="2">
        <f t="shared" si="59"/>
        <v>0</v>
      </c>
      <c r="AX245" s="2">
        <f t="shared" si="60"/>
        <v>0</v>
      </c>
      <c r="AY245" s="43" t="s">
        <v>201</v>
      </c>
      <c r="AZ245" s="43" t="s">
        <v>441</v>
      </c>
      <c r="BA245" s="19" t="s">
        <v>1155</v>
      </c>
      <c r="BC245" s="2">
        <f t="shared" si="61"/>
        <v>0</v>
      </c>
      <c r="BD245" s="2">
        <f t="shared" si="62"/>
        <v>0</v>
      </c>
      <c r="BE245" s="2">
        <v>0</v>
      </c>
      <c r="BF245" s="2">
        <f>245</f>
        <v>245</v>
      </c>
      <c r="BH245" s="2">
        <f t="shared" si="63"/>
        <v>0</v>
      </c>
      <c r="BI245" s="2">
        <f t="shared" si="64"/>
        <v>0</v>
      </c>
      <c r="BJ245" s="2">
        <f t="shared" si="65"/>
        <v>0</v>
      </c>
      <c r="BK245" s="2"/>
      <c r="BL245" s="2">
        <v>721</v>
      </c>
    </row>
    <row r="246" spans="1:64" ht="15" customHeight="1">
      <c r="A246" s="15" t="s">
        <v>157</v>
      </c>
      <c r="B246" s="14" t="s">
        <v>76</v>
      </c>
      <c r="C246" s="58" t="s">
        <v>1359</v>
      </c>
      <c r="D246" s="58"/>
      <c r="E246" s="58"/>
      <c r="F246" s="58"/>
      <c r="G246" s="14" t="s">
        <v>999</v>
      </c>
      <c r="H246" s="2">
        <v>6</v>
      </c>
      <c r="I246" s="2">
        <v>0</v>
      </c>
      <c r="J246" s="2">
        <f t="shared" si="44"/>
        <v>0</v>
      </c>
      <c r="K246" s="2">
        <f t="shared" si="45"/>
        <v>0</v>
      </c>
      <c r="L246" s="2">
        <f t="shared" si="46"/>
        <v>0</v>
      </c>
      <c r="M246" s="7" t="s">
        <v>831</v>
      </c>
      <c r="Z246" s="2">
        <f t="shared" si="47"/>
        <v>0</v>
      </c>
      <c r="AB246" s="2">
        <f t="shared" si="48"/>
        <v>0</v>
      </c>
      <c r="AC246" s="2">
        <f t="shared" si="49"/>
        <v>0</v>
      </c>
      <c r="AD246" s="2">
        <f t="shared" si="50"/>
        <v>0</v>
      </c>
      <c r="AE246" s="2">
        <f t="shared" si="51"/>
        <v>0</v>
      </c>
      <c r="AF246" s="2">
        <f t="shared" si="52"/>
        <v>0</v>
      </c>
      <c r="AG246" s="2">
        <f t="shared" si="53"/>
        <v>0</v>
      </c>
      <c r="AH246" s="2">
        <f t="shared" si="54"/>
        <v>0</v>
      </c>
      <c r="AI246" s="19" t="s">
        <v>255</v>
      </c>
      <c r="AJ246" s="2">
        <f t="shared" si="55"/>
        <v>0</v>
      </c>
      <c r="AK246" s="2">
        <f t="shared" si="56"/>
        <v>0</v>
      </c>
      <c r="AL246" s="2">
        <f t="shared" si="57"/>
        <v>0</v>
      </c>
      <c r="AN246" s="2">
        <v>15</v>
      </c>
      <c r="AO246" s="2">
        <f>I246*0.0837606837606838</f>
        <v>0</v>
      </c>
      <c r="AP246" s="2">
        <f>I246*(1-0.0837606837606838)</f>
        <v>0</v>
      </c>
      <c r="AQ246" s="43" t="s">
        <v>1215</v>
      </c>
      <c r="AV246" s="2">
        <f t="shared" si="58"/>
        <v>0</v>
      </c>
      <c r="AW246" s="2">
        <f t="shared" si="59"/>
        <v>0</v>
      </c>
      <c r="AX246" s="2">
        <f t="shared" si="60"/>
        <v>0</v>
      </c>
      <c r="AY246" s="43" t="s">
        <v>201</v>
      </c>
      <c r="AZ246" s="43" t="s">
        <v>441</v>
      </c>
      <c r="BA246" s="19" t="s">
        <v>1155</v>
      </c>
      <c r="BC246" s="2">
        <f t="shared" si="61"/>
        <v>0</v>
      </c>
      <c r="BD246" s="2">
        <f t="shared" si="62"/>
        <v>0</v>
      </c>
      <c r="BE246" s="2">
        <v>0</v>
      </c>
      <c r="BF246" s="2">
        <f>246</f>
        <v>246</v>
      </c>
      <c r="BH246" s="2">
        <f t="shared" si="63"/>
        <v>0</v>
      </c>
      <c r="BI246" s="2">
        <f t="shared" si="64"/>
        <v>0</v>
      </c>
      <c r="BJ246" s="2">
        <f t="shared" si="65"/>
        <v>0</v>
      </c>
      <c r="BK246" s="2"/>
      <c r="BL246" s="2">
        <v>721</v>
      </c>
    </row>
    <row r="247" spans="1:64" ht="15" customHeight="1">
      <c r="A247" s="15" t="s">
        <v>649</v>
      </c>
      <c r="B247" s="14" t="s">
        <v>323</v>
      </c>
      <c r="C247" s="58" t="s">
        <v>352</v>
      </c>
      <c r="D247" s="58"/>
      <c r="E247" s="58"/>
      <c r="F247" s="58"/>
      <c r="G247" s="14" t="s">
        <v>319</v>
      </c>
      <c r="H247" s="2">
        <v>8</v>
      </c>
      <c r="I247" s="2">
        <v>0</v>
      </c>
      <c r="J247" s="2">
        <f t="shared" si="44"/>
        <v>0</v>
      </c>
      <c r="K247" s="2">
        <f t="shared" si="45"/>
        <v>0</v>
      </c>
      <c r="L247" s="2">
        <f t="shared" si="46"/>
        <v>0</v>
      </c>
      <c r="M247" s="7" t="s">
        <v>831</v>
      </c>
      <c r="Z247" s="2">
        <f t="shared" si="47"/>
        <v>0</v>
      </c>
      <c r="AB247" s="2">
        <f t="shared" si="48"/>
        <v>0</v>
      </c>
      <c r="AC247" s="2">
        <f t="shared" si="49"/>
        <v>0</v>
      </c>
      <c r="AD247" s="2">
        <f t="shared" si="50"/>
        <v>0</v>
      </c>
      <c r="AE247" s="2">
        <f t="shared" si="51"/>
        <v>0</v>
      </c>
      <c r="AF247" s="2">
        <f t="shared" si="52"/>
        <v>0</v>
      </c>
      <c r="AG247" s="2">
        <f t="shared" si="53"/>
        <v>0</v>
      </c>
      <c r="AH247" s="2">
        <f t="shared" si="54"/>
        <v>0</v>
      </c>
      <c r="AI247" s="19" t="s">
        <v>255</v>
      </c>
      <c r="AJ247" s="2">
        <f t="shared" si="55"/>
        <v>0</v>
      </c>
      <c r="AK247" s="2">
        <f t="shared" si="56"/>
        <v>0</v>
      </c>
      <c r="AL247" s="2">
        <f t="shared" si="57"/>
        <v>0</v>
      </c>
      <c r="AN247" s="2">
        <v>15</v>
      </c>
      <c r="AO247" s="2">
        <f>I247*0.925940136054422</f>
        <v>0</v>
      </c>
      <c r="AP247" s="2">
        <f>I247*(1-0.925940136054422)</f>
        <v>0</v>
      </c>
      <c r="AQ247" s="43" t="s">
        <v>1215</v>
      </c>
      <c r="AV247" s="2">
        <f t="shared" si="58"/>
        <v>0</v>
      </c>
      <c r="AW247" s="2">
        <f t="shared" si="59"/>
        <v>0</v>
      </c>
      <c r="AX247" s="2">
        <f t="shared" si="60"/>
        <v>0</v>
      </c>
      <c r="AY247" s="43" t="s">
        <v>201</v>
      </c>
      <c r="AZ247" s="43" t="s">
        <v>441</v>
      </c>
      <c r="BA247" s="19" t="s">
        <v>1155</v>
      </c>
      <c r="BC247" s="2">
        <f t="shared" si="61"/>
        <v>0</v>
      </c>
      <c r="BD247" s="2">
        <f t="shared" si="62"/>
        <v>0</v>
      </c>
      <c r="BE247" s="2">
        <v>0</v>
      </c>
      <c r="BF247" s="2">
        <f>247</f>
        <v>247</v>
      </c>
      <c r="BH247" s="2">
        <f t="shared" si="63"/>
        <v>0</v>
      </c>
      <c r="BI247" s="2">
        <f t="shared" si="64"/>
        <v>0</v>
      </c>
      <c r="BJ247" s="2">
        <f t="shared" si="65"/>
        <v>0</v>
      </c>
      <c r="BK247" s="2"/>
      <c r="BL247" s="2">
        <v>721</v>
      </c>
    </row>
    <row r="248" spans="1:13" ht="13.5" customHeight="1">
      <c r="A248" s="51"/>
      <c r="B248" s="32" t="s">
        <v>639</v>
      </c>
      <c r="C248" s="75" t="s">
        <v>963</v>
      </c>
      <c r="D248" s="76"/>
      <c r="E248" s="76"/>
      <c r="F248" s="76"/>
      <c r="G248" s="76"/>
      <c r="H248" s="76"/>
      <c r="I248" s="76"/>
      <c r="J248" s="76"/>
      <c r="K248" s="76"/>
      <c r="L248" s="76"/>
      <c r="M248" s="77"/>
    </row>
    <row r="249" spans="1:64" ht="15" customHeight="1">
      <c r="A249" s="15" t="s">
        <v>83</v>
      </c>
      <c r="B249" s="14" t="s">
        <v>21</v>
      </c>
      <c r="C249" s="58" t="s">
        <v>932</v>
      </c>
      <c r="D249" s="58"/>
      <c r="E249" s="58"/>
      <c r="F249" s="58"/>
      <c r="G249" s="14" t="s">
        <v>584</v>
      </c>
      <c r="H249" s="2">
        <v>12.49</v>
      </c>
      <c r="I249" s="2">
        <v>0</v>
      </c>
      <c r="J249" s="2">
        <f>H249*AO249</f>
        <v>0</v>
      </c>
      <c r="K249" s="2">
        <f>H249*AP249</f>
        <v>0</v>
      </c>
      <c r="L249" s="2">
        <f>H249*I249</f>
        <v>0</v>
      </c>
      <c r="M249" s="7" t="s">
        <v>831</v>
      </c>
      <c r="Z249" s="2">
        <f>IF(AQ249="5",BJ249,0)</f>
        <v>0</v>
      </c>
      <c r="AB249" s="2">
        <f>IF(AQ249="1",BH249,0)</f>
        <v>0</v>
      </c>
      <c r="AC249" s="2">
        <f>IF(AQ249="1",BI249,0)</f>
        <v>0</v>
      </c>
      <c r="AD249" s="2">
        <f>IF(AQ249="7",BH249,0)</f>
        <v>0</v>
      </c>
      <c r="AE249" s="2">
        <f>IF(AQ249="7",BI249,0)</f>
        <v>0</v>
      </c>
      <c r="AF249" s="2">
        <f>IF(AQ249="2",BH249,0)</f>
        <v>0</v>
      </c>
      <c r="AG249" s="2">
        <f>IF(AQ249="2",BI249,0)</f>
        <v>0</v>
      </c>
      <c r="AH249" s="2">
        <f>IF(AQ249="0",BJ249,0)</f>
        <v>0</v>
      </c>
      <c r="AI249" s="19" t="s">
        <v>255</v>
      </c>
      <c r="AJ249" s="2">
        <f>IF(AN249=0,L249,0)</f>
        <v>0</v>
      </c>
      <c r="AK249" s="2">
        <f>IF(AN249=15,L249,0)</f>
        <v>0</v>
      </c>
      <c r="AL249" s="2">
        <f>IF(AN249=21,L249,0)</f>
        <v>0</v>
      </c>
      <c r="AN249" s="2">
        <v>15</v>
      </c>
      <c r="AO249" s="2">
        <f>I249*0</f>
        <v>0</v>
      </c>
      <c r="AP249" s="2">
        <f>I249*(1-0)</f>
        <v>0</v>
      </c>
      <c r="AQ249" s="43" t="s">
        <v>655</v>
      </c>
      <c r="AV249" s="2">
        <f>AW249+AX249</f>
        <v>0</v>
      </c>
      <c r="AW249" s="2">
        <f>H249*AO249</f>
        <v>0</v>
      </c>
      <c r="AX249" s="2">
        <f>H249*AP249</f>
        <v>0</v>
      </c>
      <c r="AY249" s="43" t="s">
        <v>201</v>
      </c>
      <c r="AZ249" s="43" t="s">
        <v>441</v>
      </c>
      <c r="BA249" s="19" t="s">
        <v>1155</v>
      </c>
      <c r="BC249" s="2">
        <f>AW249+AX249</f>
        <v>0</v>
      </c>
      <c r="BD249" s="2">
        <f>I249/(100-BE249)*100</f>
        <v>0</v>
      </c>
      <c r="BE249" s="2">
        <v>0</v>
      </c>
      <c r="BF249" s="2">
        <f>249</f>
        <v>249</v>
      </c>
      <c r="BH249" s="2">
        <f>H249*AO249</f>
        <v>0</v>
      </c>
      <c r="BI249" s="2">
        <f>H249*AP249</f>
        <v>0</v>
      </c>
      <c r="BJ249" s="2">
        <f>H249*I249</f>
        <v>0</v>
      </c>
      <c r="BK249" s="2"/>
      <c r="BL249" s="2">
        <v>721</v>
      </c>
    </row>
    <row r="250" spans="1:47" ht="15" customHeight="1">
      <c r="A250" s="48" t="s">
        <v>844</v>
      </c>
      <c r="B250" s="17" t="s">
        <v>1089</v>
      </c>
      <c r="C250" s="74" t="s">
        <v>752</v>
      </c>
      <c r="D250" s="74"/>
      <c r="E250" s="74"/>
      <c r="F250" s="74"/>
      <c r="G250" s="40" t="s">
        <v>1110</v>
      </c>
      <c r="H250" s="40" t="s">
        <v>1110</v>
      </c>
      <c r="I250" s="40" t="s">
        <v>1110</v>
      </c>
      <c r="J250" s="23">
        <f>SUM(J251:J288)</f>
        <v>0</v>
      </c>
      <c r="K250" s="23">
        <f>SUM(K251:K288)</f>
        <v>0</v>
      </c>
      <c r="L250" s="23">
        <f>SUM(L251:L288)</f>
        <v>0</v>
      </c>
      <c r="M250" s="37" t="s">
        <v>844</v>
      </c>
      <c r="AI250" s="19" t="s">
        <v>255</v>
      </c>
      <c r="AS250" s="23">
        <f>SUM(AJ251:AJ288)</f>
        <v>0</v>
      </c>
      <c r="AT250" s="23">
        <f>SUM(AK251:AK288)</f>
        <v>0</v>
      </c>
      <c r="AU250" s="23">
        <f>SUM(AL251:AL288)</f>
        <v>0</v>
      </c>
    </row>
    <row r="251" spans="1:64" ht="15" customHeight="1">
      <c r="A251" s="15" t="s">
        <v>1306</v>
      </c>
      <c r="B251" s="14" t="s">
        <v>172</v>
      </c>
      <c r="C251" s="58" t="s">
        <v>626</v>
      </c>
      <c r="D251" s="58"/>
      <c r="E251" s="58"/>
      <c r="F251" s="58"/>
      <c r="G251" s="14" t="s">
        <v>999</v>
      </c>
      <c r="H251" s="2">
        <v>21</v>
      </c>
      <c r="I251" s="2">
        <v>0</v>
      </c>
      <c r="J251" s="2">
        <f>H251*AO251</f>
        <v>0</v>
      </c>
      <c r="K251" s="2">
        <f>H251*AP251</f>
        <v>0</v>
      </c>
      <c r="L251" s="2">
        <f>H251*I251</f>
        <v>0</v>
      </c>
      <c r="M251" s="7" t="s">
        <v>831</v>
      </c>
      <c r="Z251" s="2">
        <f>IF(AQ251="5",BJ251,0)</f>
        <v>0</v>
      </c>
      <c r="AB251" s="2">
        <f>IF(AQ251="1",BH251,0)</f>
        <v>0</v>
      </c>
      <c r="AC251" s="2">
        <f>IF(AQ251="1",BI251,0)</f>
        <v>0</v>
      </c>
      <c r="AD251" s="2">
        <f>IF(AQ251="7",BH251,0)</f>
        <v>0</v>
      </c>
      <c r="AE251" s="2">
        <f>IF(AQ251="7",BI251,0)</f>
        <v>0</v>
      </c>
      <c r="AF251" s="2">
        <f>IF(AQ251="2",BH251,0)</f>
        <v>0</v>
      </c>
      <c r="AG251" s="2">
        <f>IF(AQ251="2",BI251,0)</f>
        <v>0</v>
      </c>
      <c r="AH251" s="2">
        <f>IF(AQ251="0",BJ251,0)</f>
        <v>0</v>
      </c>
      <c r="AI251" s="19" t="s">
        <v>255</v>
      </c>
      <c r="AJ251" s="2">
        <f>IF(AN251=0,L251,0)</f>
        <v>0</v>
      </c>
      <c r="AK251" s="2">
        <f>IF(AN251=15,L251,0)</f>
        <v>0</v>
      </c>
      <c r="AL251" s="2">
        <f>IF(AN251=21,L251,0)</f>
        <v>0</v>
      </c>
      <c r="AN251" s="2">
        <v>15</v>
      </c>
      <c r="AO251" s="2">
        <f>I251*0.269322095814633</f>
        <v>0</v>
      </c>
      <c r="AP251" s="2">
        <f>I251*(1-0.269322095814633)</f>
        <v>0</v>
      </c>
      <c r="AQ251" s="43" t="s">
        <v>1215</v>
      </c>
      <c r="AV251" s="2">
        <f>AW251+AX251</f>
        <v>0</v>
      </c>
      <c r="AW251" s="2">
        <f>H251*AO251</f>
        <v>0</v>
      </c>
      <c r="AX251" s="2">
        <f>H251*AP251</f>
        <v>0</v>
      </c>
      <c r="AY251" s="43" t="s">
        <v>771</v>
      </c>
      <c r="AZ251" s="43" t="s">
        <v>441</v>
      </c>
      <c r="BA251" s="19" t="s">
        <v>1155</v>
      </c>
      <c r="BC251" s="2">
        <f>AW251+AX251</f>
        <v>0</v>
      </c>
      <c r="BD251" s="2">
        <f>I251/(100-BE251)*100</f>
        <v>0</v>
      </c>
      <c r="BE251" s="2">
        <v>0</v>
      </c>
      <c r="BF251" s="2">
        <f>251</f>
        <v>251</v>
      </c>
      <c r="BH251" s="2">
        <f>H251*AO251</f>
        <v>0</v>
      </c>
      <c r="BI251" s="2">
        <f>H251*AP251</f>
        <v>0</v>
      </c>
      <c r="BJ251" s="2">
        <f>H251*I251</f>
        <v>0</v>
      </c>
      <c r="BK251" s="2"/>
      <c r="BL251" s="2">
        <v>722</v>
      </c>
    </row>
    <row r="252" spans="1:13" ht="13.5" customHeight="1">
      <c r="A252" s="51"/>
      <c r="B252" s="32" t="s">
        <v>639</v>
      </c>
      <c r="C252" s="75" t="s">
        <v>369</v>
      </c>
      <c r="D252" s="76"/>
      <c r="E252" s="76"/>
      <c r="F252" s="76"/>
      <c r="G252" s="76"/>
      <c r="H252" s="76"/>
      <c r="I252" s="76"/>
      <c r="J252" s="76"/>
      <c r="K252" s="76"/>
      <c r="L252" s="76"/>
      <c r="M252" s="77"/>
    </row>
    <row r="253" spans="1:64" ht="15" customHeight="1">
      <c r="A253" s="15" t="s">
        <v>714</v>
      </c>
      <c r="B253" s="14" t="s">
        <v>172</v>
      </c>
      <c r="C253" s="58" t="s">
        <v>626</v>
      </c>
      <c r="D253" s="58"/>
      <c r="E253" s="58"/>
      <c r="F253" s="58"/>
      <c r="G253" s="14" t="s">
        <v>999</v>
      </c>
      <c r="H253" s="2">
        <v>15</v>
      </c>
      <c r="I253" s="2">
        <v>0</v>
      </c>
      <c r="J253" s="2">
        <f>H253*AO253</f>
        <v>0</v>
      </c>
      <c r="K253" s="2">
        <f>H253*AP253</f>
        <v>0</v>
      </c>
      <c r="L253" s="2">
        <f>H253*I253</f>
        <v>0</v>
      </c>
      <c r="M253" s="7" t="s">
        <v>831</v>
      </c>
      <c r="Z253" s="2">
        <f>IF(AQ253="5",BJ253,0)</f>
        <v>0</v>
      </c>
      <c r="AB253" s="2">
        <f>IF(AQ253="1",BH253,0)</f>
        <v>0</v>
      </c>
      <c r="AC253" s="2">
        <f>IF(AQ253="1",BI253,0)</f>
        <v>0</v>
      </c>
      <c r="AD253" s="2">
        <f>IF(AQ253="7",BH253,0)</f>
        <v>0</v>
      </c>
      <c r="AE253" s="2">
        <f>IF(AQ253="7",BI253,0)</f>
        <v>0</v>
      </c>
      <c r="AF253" s="2">
        <f>IF(AQ253="2",BH253,0)</f>
        <v>0</v>
      </c>
      <c r="AG253" s="2">
        <f>IF(AQ253="2",BI253,0)</f>
        <v>0</v>
      </c>
      <c r="AH253" s="2">
        <f>IF(AQ253="0",BJ253,0)</f>
        <v>0</v>
      </c>
      <c r="AI253" s="19" t="s">
        <v>255</v>
      </c>
      <c r="AJ253" s="2">
        <f>IF(AN253=0,L253,0)</f>
        <v>0</v>
      </c>
      <c r="AK253" s="2">
        <f>IF(AN253=15,L253,0)</f>
        <v>0</v>
      </c>
      <c r="AL253" s="2">
        <f>IF(AN253=21,L253,0)</f>
        <v>0</v>
      </c>
      <c r="AN253" s="2">
        <v>15</v>
      </c>
      <c r="AO253" s="2">
        <f>I253*0.269319987579682</f>
        <v>0</v>
      </c>
      <c r="AP253" s="2">
        <f>I253*(1-0.269319987579682)</f>
        <v>0</v>
      </c>
      <c r="AQ253" s="43" t="s">
        <v>1215</v>
      </c>
      <c r="AV253" s="2">
        <f>AW253+AX253</f>
        <v>0</v>
      </c>
      <c r="AW253" s="2">
        <f>H253*AO253</f>
        <v>0</v>
      </c>
      <c r="AX253" s="2">
        <f>H253*AP253</f>
        <v>0</v>
      </c>
      <c r="AY253" s="43" t="s">
        <v>771</v>
      </c>
      <c r="AZ253" s="43" t="s">
        <v>441</v>
      </c>
      <c r="BA253" s="19" t="s">
        <v>1155</v>
      </c>
      <c r="BC253" s="2">
        <f>AW253+AX253</f>
        <v>0</v>
      </c>
      <c r="BD253" s="2">
        <f>I253/(100-BE253)*100</f>
        <v>0</v>
      </c>
      <c r="BE253" s="2">
        <v>0</v>
      </c>
      <c r="BF253" s="2">
        <f>253</f>
        <v>253</v>
      </c>
      <c r="BH253" s="2">
        <f>H253*AO253</f>
        <v>0</v>
      </c>
      <c r="BI253" s="2">
        <f>H253*AP253</f>
        <v>0</v>
      </c>
      <c r="BJ253" s="2">
        <f>H253*I253</f>
        <v>0</v>
      </c>
      <c r="BK253" s="2"/>
      <c r="BL253" s="2">
        <v>722</v>
      </c>
    </row>
    <row r="254" spans="1:13" ht="13.5" customHeight="1">
      <c r="A254" s="51"/>
      <c r="B254" s="32" t="s">
        <v>639</v>
      </c>
      <c r="C254" s="75" t="s">
        <v>234</v>
      </c>
      <c r="D254" s="76"/>
      <c r="E254" s="76"/>
      <c r="F254" s="76"/>
      <c r="G254" s="76"/>
      <c r="H254" s="76"/>
      <c r="I254" s="76"/>
      <c r="J254" s="76"/>
      <c r="K254" s="76"/>
      <c r="L254" s="76"/>
      <c r="M254" s="77"/>
    </row>
    <row r="255" spans="1:64" ht="15" customHeight="1">
      <c r="A255" s="15" t="s">
        <v>518</v>
      </c>
      <c r="B255" s="14" t="s">
        <v>172</v>
      </c>
      <c r="C255" s="58" t="s">
        <v>626</v>
      </c>
      <c r="D255" s="58"/>
      <c r="E255" s="58"/>
      <c r="F255" s="58"/>
      <c r="G255" s="14" t="s">
        <v>999</v>
      </c>
      <c r="H255" s="2">
        <v>69</v>
      </c>
      <c r="I255" s="2">
        <v>0</v>
      </c>
      <c r="J255" s="2">
        <f>H255*AO255</f>
        <v>0</v>
      </c>
      <c r="K255" s="2">
        <f>H255*AP255</f>
        <v>0</v>
      </c>
      <c r="L255" s="2">
        <f>H255*I255</f>
        <v>0</v>
      </c>
      <c r="M255" s="7" t="s">
        <v>831</v>
      </c>
      <c r="Z255" s="2">
        <f>IF(AQ255="5",BJ255,0)</f>
        <v>0</v>
      </c>
      <c r="AB255" s="2">
        <f>IF(AQ255="1",BH255,0)</f>
        <v>0</v>
      </c>
      <c r="AC255" s="2">
        <f>IF(AQ255="1",BI255,0)</f>
        <v>0</v>
      </c>
      <c r="AD255" s="2">
        <f>IF(AQ255="7",BH255,0)</f>
        <v>0</v>
      </c>
      <c r="AE255" s="2">
        <f>IF(AQ255="7",BI255,0)</f>
        <v>0</v>
      </c>
      <c r="AF255" s="2">
        <f>IF(AQ255="2",BH255,0)</f>
        <v>0</v>
      </c>
      <c r="AG255" s="2">
        <f>IF(AQ255="2",BI255,0)</f>
        <v>0</v>
      </c>
      <c r="AH255" s="2">
        <f>IF(AQ255="0",BJ255,0)</f>
        <v>0</v>
      </c>
      <c r="AI255" s="19" t="s">
        <v>255</v>
      </c>
      <c r="AJ255" s="2">
        <f>IF(AN255=0,L255,0)</f>
        <v>0</v>
      </c>
      <c r="AK255" s="2">
        <f>IF(AN255=15,L255,0)</f>
        <v>0</v>
      </c>
      <c r="AL255" s="2">
        <f>IF(AN255=21,L255,0)</f>
        <v>0</v>
      </c>
      <c r="AN255" s="2">
        <v>15</v>
      </c>
      <c r="AO255" s="2">
        <f>I255*0.269322554130947</f>
        <v>0</v>
      </c>
      <c r="AP255" s="2">
        <f>I255*(1-0.269322554130947)</f>
        <v>0</v>
      </c>
      <c r="AQ255" s="43" t="s">
        <v>1215</v>
      </c>
      <c r="AV255" s="2">
        <f>AW255+AX255</f>
        <v>0</v>
      </c>
      <c r="AW255" s="2">
        <f>H255*AO255</f>
        <v>0</v>
      </c>
      <c r="AX255" s="2">
        <f>H255*AP255</f>
        <v>0</v>
      </c>
      <c r="AY255" s="43" t="s">
        <v>771</v>
      </c>
      <c r="AZ255" s="43" t="s">
        <v>441</v>
      </c>
      <c r="BA255" s="19" t="s">
        <v>1155</v>
      </c>
      <c r="BC255" s="2">
        <f>AW255+AX255</f>
        <v>0</v>
      </c>
      <c r="BD255" s="2">
        <f>I255/(100-BE255)*100</f>
        <v>0</v>
      </c>
      <c r="BE255" s="2">
        <v>0</v>
      </c>
      <c r="BF255" s="2">
        <f>255</f>
        <v>255</v>
      </c>
      <c r="BH255" s="2">
        <f>H255*AO255</f>
        <v>0</v>
      </c>
      <c r="BI255" s="2">
        <f>H255*AP255</f>
        <v>0</v>
      </c>
      <c r="BJ255" s="2">
        <f>H255*I255</f>
        <v>0</v>
      </c>
      <c r="BK255" s="2"/>
      <c r="BL255" s="2">
        <v>722</v>
      </c>
    </row>
    <row r="256" spans="1:13" ht="13.5" customHeight="1">
      <c r="A256" s="51"/>
      <c r="B256" s="32" t="s">
        <v>639</v>
      </c>
      <c r="C256" s="75" t="s">
        <v>553</v>
      </c>
      <c r="D256" s="76"/>
      <c r="E256" s="76"/>
      <c r="F256" s="76"/>
      <c r="G256" s="76"/>
      <c r="H256" s="76"/>
      <c r="I256" s="76"/>
      <c r="J256" s="76"/>
      <c r="K256" s="76"/>
      <c r="L256" s="76"/>
      <c r="M256" s="77"/>
    </row>
    <row r="257" spans="1:64" ht="15" customHeight="1">
      <c r="A257" s="15" t="s">
        <v>384</v>
      </c>
      <c r="B257" s="14" t="s">
        <v>850</v>
      </c>
      <c r="C257" s="58" t="s">
        <v>757</v>
      </c>
      <c r="D257" s="58"/>
      <c r="E257" s="58"/>
      <c r="F257" s="58"/>
      <c r="G257" s="14" t="s">
        <v>999</v>
      </c>
      <c r="H257" s="2">
        <v>7.5</v>
      </c>
      <c r="I257" s="2">
        <v>0</v>
      </c>
      <c r="J257" s="2">
        <f>H257*AO257</f>
        <v>0</v>
      </c>
      <c r="K257" s="2">
        <f>H257*AP257</f>
        <v>0</v>
      </c>
      <c r="L257" s="2">
        <f>H257*I257</f>
        <v>0</v>
      </c>
      <c r="M257" s="7" t="s">
        <v>831</v>
      </c>
      <c r="Z257" s="2">
        <f>IF(AQ257="5",BJ257,0)</f>
        <v>0</v>
      </c>
      <c r="AB257" s="2">
        <f>IF(AQ257="1",BH257,0)</f>
        <v>0</v>
      </c>
      <c r="AC257" s="2">
        <f>IF(AQ257="1",BI257,0)</f>
        <v>0</v>
      </c>
      <c r="AD257" s="2">
        <f>IF(AQ257="7",BH257,0)</f>
        <v>0</v>
      </c>
      <c r="AE257" s="2">
        <f>IF(AQ257="7",BI257,0)</f>
        <v>0</v>
      </c>
      <c r="AF257" s="2">
        <f>IF(AQ257="2",BH257,0)</f>
        <v>0</v>
      </c>
      <c r="AG257" s="2">
        <f>IF(AQ257="2",BI257,0)</f>
        <v>0</v>
      </c>
      <c r="AH257" s="2">
        <f>IF(AQ257="0",BJ257,0)</f>
        <v>0</v>
      </c>
      <c r="AI257" s="19" t="s">
        <v>255</v>
      </c>
      <c r="AJ257" s="2">
        <f>IF(AN257=0,L257,0)</f>
        <v>0</v>
      </c>
      <c r="AK257" s="2">
        <f>IF(AN257=15,L257,0)</f>
        <v>0</v>
      </c>
      <c r="AL257" s="2">
        <f>IF(AN257=21,L257,0)</f>
        <v>0</v>
      </c>
      <c r="AN257" s="2">
        <v>15</v>
      </c>
      <c r="AO257" s="2">
        <f>I257*0.319423314292275</f>
        <v>0</v>
      </c>
      <c r="AP257" s="2">
        <f>I257*(1-0.319423314292275)</f>
        <v>0</v>
      </c>
      <c r="AQ257" s="43" t="s">
        <v>1215</v>
      </c>
      <c r="AV257" s="2">
        <f>AW257+AX257</f>
        <v>0</v>
      </c>
      <c r="AW257" s="2">
        <f>H257*AO257</f>
        <v>0</v>
      </c>
      <c r="AX257" s="2">
        <f>H257*AP257</f>
        <v>0</v>
      </c>
      <c r="AY257" s="43" t="s">
        <v>771</v>
      </c>
      <c r="AZ257" s="43" t="s">
        <v>441</v>
      </c>
      <c r="BA257" s="19" t="s">
        <v>1155</v>
      </c>
      <c r="BC257" s="2">
        <f>AW257+AX257</f>
        <v>0</v>
      </c>
      <c r="BD257" s="2">
        <f>I257/(100-BE257)*100</f>
        <v>0</v>
      </c>
      <c r="BE257" s="2">
        <v>0</v>
      </c>
      <c r="BF257" s="2">
        <f>257</f>
        <v>257</v>
      </c>
      <c r="BH257" s="2">
        <f>H257*AO257</f>
        <v>0</v>
      </c>
      <c r="BI257" s="2">
        <f>H257*AP257</f>
        <v>0</v>
      </c>
      <c r="BJ257" s="2">
        <f>H257*I257</f>
        <v>0</v>
      </c>
      <c r="BK257" s="2"/>
      <c r="BL257" s="2">
        <v>722</v>
      </c>
    </row>
    <row r="258" spans="1:13" ht="13.5" customHeight="1">
      <c r="A258" s="51"/>
      <c r="B258" s="32" t="s">
        <v>639</v>
      </c>
      <c r="C258" s="75" t="s">
        <v>369</v>
      </c>
      <c r="D258" s="76"/>
      <c r="E258" s="76"/>
      <c r="F258" s="76"/>
      <c r="G258" s="76"/>
      <c r="H258" s="76"/>
      <c r="I258" s="76"/>
      <c r="J258" s="76"/>
      <c r="K258" s="76"/>
      <c r="L258" s="76"/>
      <c r="M258" s="77"/>
    </row>
    <row r="259" spans="1:64" ht="15" customHeight="1">
      <c r="A259" s="15" t="s">
        <v>846</v>
      </c>
      <c r="B259" s="14" t="s">
        <v>244</v>
      </c>
      <c r="C259" s="58" t="s">
        <v>392</v>
      </c>
      <c r="D259" s="58"/>
      <c r="E259" s="58"/>
      <c r="F259" s="58"/>
      <c r="G259" s="14" t="s">
        <v>999</v>
      </c>
      <c r="H259" s="2">
        <v>44</v>
      </c>
      <c r="I259" s="2">
        <v>0</v>
      </c>
      <c r="J259" s="2">
        <f>H259*AO259</f>
        <v>0</v>
      </c>
      <c r="K259" s="2">
        <f>H259*AP259</f>
        <v>0</v>
      </c>
      <c r="L259" s="2">
        <f>H259*I259</f>
        <v>0</v>
      </c>
      <c r="M259" s="7" t="s">
        <v>831</v>
      </c>
      <c r="Z259" s="2">
        <f>IF(AQ259="5",BJ259,0)</f>
        <v>0</v>
      </c>
      <c r="AB259" s="2">
        <f>IF(AQ259="1",BH259,0)</f>
        <v>0</v>
      </c>
      <c r="AC259" s="2">
        <f>IF(AQ259="1",BI259,0)</f>
        <v>0</v>
      </c>
      <c r="AD259" s="2">
        <f>IF(AQ259="7",BH259,0)</f>
        <v>0</v>
      </c>
      <c r="AE259" s="2">
        <f>IF(AQ259="7",BI259,0)</f>
        <v>0</v>
      </c>
      <c r="AF259" s="2">
        <f>IF(AQ259="2",BH259,0)</f>
        <v>0</v>
      </c>
      <c r="AG259" s="2">
        <f>IF(AQ259="2",BI259,0)</f>
        <v>0</v>
      </c>
      <c r="AH259" s="2">
        <f>IF(AQ259="0",BJ259,0)</f>
        <v>0</v>
      </c>
      <c r="AI259" s="19" t="s">
        <v>255</v>
      </c>
      <c r="AJ259" s="2">
        <f>IF(AN259=0,L259,0)</f>
        <v>0</v>
      </c>
      <c r="AK259" s="2">
        <f>IF(AN259=15,L259,0)</f>
        <v>0</v>
      </c>
      <c r="AL259" s="2">
        <f>IF(AN259=21,L259,0)</f>
        <v>0</v>
      </c>
      <c r="AN259" s="2">
        <v>15</v>
      </c>
      <c r="AO259" s="2">
        <f>I259*0.387813969582108</f>
        <v>0</v>
      </c>
      <c r="AP259" s="2">
        <f>I259*(1-0.387813969582108)</f>
        <v>0</v>
      </c>
      <c r="AQ259" s="43" t="s">
        <v>1215</v>
      </c>
      <c r="AV259" s="2">
        <f>AW259+AX259</f>
        <v>0</v>
      </c>
      <c r="AW259" s="2">
        <f>H259*AO259</f>
        <v>0</v>
      </c>
      <c r="AX259" s="2">
        <f>H259*AP259</f>
        <v>0</v>
      </c>
      <c r="AY259" s="43" t="s">
        <v>771</v>
      </c>
      <c r="AZ259" s="43" t="s">
        <v>441</v>
      </c>
      <c r="BA259" s="19" t="s">
        <v>1155</v>
      </c>
      <c r="BC259" s="2">
        <f>AW259+AX259</f>
        <v>0</v>
      </c>
      <c r="BD259" s="2">
        <f>I259/(100-BE259)*100</f>
        <v>0</v>
      </c>
      <c r="BE259" s="2">
        <v>0</v>
      </c>
      <c r="BF259" s="2">
        <f>259</f>
        <v>259</v>
      </c>
      <c r="BH259" s="2">
        <f>H259*AO259</f>
        <v>0</v>
      </c>
      <c r="BI259" s="2">
        <f>H259*AP259</f>
        <v>0</v>
      </c>
      <c r="BJ259" s="2">
        <f>H259*I259</f>
        <v>0</v>
      </c>
      <c r="BK259" s="2"/>
      <c r="BL259" s="2">
        <v>722</v>
      </c>
    </row>
    <row r="260" spans="1:13" ht="13.5" customHeight="1">
      <c r="A260" s="51"/>
      <c r="B260" s="32" t="s">
        <v>639</v>
      </c>
      <c r="C260" s="75" t="s">
        <v>234</v>
      </c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64" ht="15" customHeight="1">
      <c r="A261" s="15" t="s">
        <v>1117</v>
      </c>
      <c r="B261" s="14" t="s">
        <v>244</v>
      </c>
      <c r="C261" s="58" t="s">
        <v>392</v>
      </c>
      <c r="D261" s="58"/>
      <c r="E261" s="58"/>
      <c r="F261" s="58"/>
      <c r="G261" s="14" t="s">
        <v>999</v>
      </c>
      <c r="H261" s="2">
        <v>44</v>
      </c>
      <c r="I261" s="2">
        <v>0</v>
      </c>
      <c r="J261" s="2">
        <f>H261*AO261</f>
        <v>0</v>
      </c>
      <c r="K261" s="2">
        <f>H261*AP261</f>
        <v>0</v>
      </c>
      <c r="L261" s="2">
        <f>H261*I261</f>
        <v>0</v>
      </c>
      <c r="M261" s="7" t="s">
        <v>831</v>
      </c>
      <c r="Z261" s="2">
        <f>IF(AQ261="5",BJ261,0)</f>
        <v>0</v>
      </c>
      <c r="AB261" s="2">
        <f>IF(AQ261="1",BH261,0)</f>
        <v>0</v>
      </c>
      <c r="AC261" s="2">
        <f>IF(AQ261="1",BI261,0)</f>
        <v>0</v>
      </c>
      <c r="AD261" s="2">
        <f>IF(AQ261="7",BH261,0)</f>
        <v>0</v>
      </c>
      <c r="AE261" s="2">
        <f>IF(AQ261="7",BI261,0)</f>
        <v>0</v>
      </c>
      <c r="AF261" s="2">
        <f>IF(AQ261="2",BH261,0)</f>
        <v>0</v>
      </c>
      <c r="AG261" s="2">
        <f>IF(AQ261="2",BI261,0)</f>
        <v>0</v>
      </c>
      <c r="AH261" s="2">
        <f>IF(AQ261="0",BJ261,0)</f>
        <v>0</v>
      </c>
      <c r="AI261" s="19" t="s">
        <v>255</v>
      </c>
      <c r="AJ261" s="2">
        <f>IF(AN261=0,L261,0)</f>
        <v>0</v>
      </c>
      <c r="AK261" s="2">
        <f>IF(AN261=15,L261,0)</f>
        <v>0</v>
      </c>
      <c r="AL261" s="2">
        <f>IF(AN261=21,L261,0)</f>
        <v>0</v>
      </c>
      <c r="AN261" s="2">
        <v>15</v>
      </c>
      <c r="AO261" s="2">
        <f>I261*0.387813969582108</f>
        <v>0</v>
      </c>
      <c r="AP261" s="2">
        <f>I261*(1-0.387813969582108)</f>
        <v>0</v>
      </c>
      <c r="AQ261" s="43" t="s">
        <v>1215</v>
      </c>
      <c r="AV261" s="2">
        <f>AW261+AX261</f>
        <v>0</v>
      </c>
      <c r="AW261" s="2">
        <f>H261*AO261</f>
        <v>0</v>
      </c>
      <c r="AX261" s="2">
        <f>H261*AP261</f>
        <v>0</v>
      </c>
      <c r="AY261" s="43" t="s">
        <v>771</v>
      </c>
      <c r="AZ261" s="43" t="s">
        <v>441</v>
      </c>
      <c r="BA261" s="19" t="s">
        <v>1155</v>
      </c>
      <c r="BC261" s="2">
        <f>AW261+AX261</f>
        <v>0</v>
      </c>
      <c r="BD261" s="2">
        <f>I261/(100-BE261)*100</f>
        <v>0</v>
      </c>
      <c r="BE261" s="2">
        <v>0</v>
      </c>
      <c r="BF261" s="2">
        <f>261</f>
        <v>261</v>
      </c>
      <c r="BH261" s="2">
        <f>H261*AO261</f>
        <v>0</v>
      </c>
      <c r="BI261" s="2">
        <f>H261*AP261</f>
        <v>0</v>
      </c>
      <c r="BJ261" s="2">
        <f>H261*I261</f>
        <v>0</v>
      </c>
      <c r="BK261" s="2"/>
      <c r="BL261" s="2">
        <v>722</v>
      </c>
    </row>
    <row r="262" spans="1:13" ht="13.5" customHeight="1">
      <c r="A262" s="51"/>
      <c r="B262" s="32" t="s">
        <v>639</v>
      </c>
      <c r="C262" s="75" t="s">
        <v>369</v>
      </c>
      <c r="D262" s="76"/>
      <c r="E262" s="76"/>
      <c r="F262" s="76"/>
      <c r="G262" s="76"/>
      <c r="H262" s="76"/>
      <c r="I262" s="76"/>
      <c r="J262" s="76"/>
      <c r="K262" s="76"/>
      <c r="L262" s="76"/>
      <c r="M262" s="77"/>
    </row>
    <row r="263" spans="1:64" ht="15" customHeight="1">
      <c r="A263" s="15" t="s">
        <v>304</v>
      </c>
      <c r="B263" s="14" t="s">
        <v>850</v>
      </c>
      <c r="C263" s="58" t="s">
        <v>757</v>
      </c>
      <c r="D263" s="58"/>
      <c r="E263" s="58"/>
      <c r="F263" s="58"/>
      <c r="G263" s="14" t="s">
        <v>999</v>
      </c>
      <c r="H263" s="2">
        <v>2</v>
      </c>
      <c r="I263" s="2">
        <v>0</v>
      </c>
      <c r="J263" s="2">
        <f>H263*AO263</f>
        <v>0</v>
      </c>
      <c r="K263" s="2">
        <f>H263*AP263</f>
        <v>0</v>
      </c>
      <c r="L263" s="2">
        <f>H263*I263</f>
        <v>0</v>
      </c>
      <c r="M263" s="7" t="s">
        <v>831</v>
      </c>
      <c r="Z263" s="2">
        <f>IF(AQ263="5",BJ263,0)</f>
        <v>0</v>
      </c>
      <c r="AB263" s="2">
        <f>IF(AQ263="1",BH263,0)</f>
        <v>0</v>
      </c>
      <c r="AC263" s="2">
        <f>IF(AQ263="1",BI263,0)</f>
        <v>0</v>
      </c>
      <c r="AD263" s="2">
        <f>IF(AQ263="7",BH263,0)</f>
        <v>0</v>
      </c>
      <c r="AE263" s="2">
        <f>IF(AQ263="7",BI263,0)</f>
        <v>0</v>
      </c>
      <c r="AF263" s="2">
        <f>IF(AQ263="2",BH263,0)</f>
        <v>0</v>
      </c>
      <c r="AG263" s="2">
        <f>IF(AQ263="2",BI263,0)</f>
        <v>0</v>
      </c>
      <c r="AH263" s="2">
        <f>IF(AQ263="0",BJ263,0)</f>
        <v>0</v>
      </c>
      <c r="AI263" s="19" t="s">
        <v>255</v>
      </c>
      <c r="AJ263" s="2">
        <f>IF(AN263=0,L263,0)</f>
        <v>0</v>
      </c>
      <c r="AK263" s="2">
        <f>IF(AN263=15,L263,0)</f>
        <v>0</v>
      </c>
      <c r="AL263" s="2">
        <f>IF(AN263=21,L263,0)</f>
        <v>0</v>
      </c>
      <c r="AN263" s="2">
        <v>15</v>
      </c>
      <c r="AO263" s="2">
        <f>I263*0.319418729817008</f>
        <v>0</v>
      </c>
      <c r="AP263" s="2">
        <f>I263*(1-0.319418729817008)</f>
        <v>0</v>
      </c>
      <c r="AQ263" s="43" t="s">
        <v>1215</v>
      </c>
      <c r="AV263" s="2">
        <f>AW263+AX263</f>
        <v>0</v>
      </c>
      <c r="AW263" s="2">
        <f>H263*AO263</f>
        <v>0</v>
      </c>
      <c r="AX263" s="2">
        <f>H263*AP263</f>
        <v>0</v>
      </c>
      <c r="AY263" s="43" t="s">
        <v>771</v>
      </c>
      <c r="AZ263" s="43" t="s">
        <v>441</v>
      </c>
      <c r="BA263" s="19" t="s">
        <v>1155</v>
      </c>
      <c r="BC263" s="2">
        <f>AW263+AX263</f>
        <v>0</v>
      </c>
      <c r="BD263" s="2">
        <f>I263/(100-BE263)*100</f>
        <v>0</v>
      </c>
      <c r="BE263" s="2">
        <v>0</v>
      </c>
      <c r="BF263" s="2">
        <f>263</f>
        <v>263</v>
      </c>
      <c r="BH263" s="2">
        <f>H263*AO263</f>
        <v>0</v>
      </c>
      <c r="BI263" s="2">
        <f>H263*AP263</f>
        <v>0</v>
      </c>
      <c r="BJ263" s="2">
        <f>H263*I263</f>
        <v>0</v>
      </c>
      <c r="BK263" s="2"/>
      <c r="BL263" s="2">
        <v>722</v>
      </c>
    </row>
    <row r="264" spans="1:13" ht="13.5" customHeight="1">
      <c r="A264" s="51"/>
      <c r="B264" s="32" t="s">
        <v>639</v>
      </c>
      <c r="C264" s="75" t="s">
        <v>234</v>
      </c>
      <c r="D264" s="76"/>
      <c r="E264" s="76"/>
      <c r="F264" s="76"/>
      <c r="G264" s="76"/>
      <c r="H264" s="76"/>
      <c r="I264" s="76"/>
      <c r="J264" s="76"/>
      <c r="K264" s="76"/>
      <c r="L264" s="76"/>
      <c r="M264" s="77"/>
    </row>
    <row r="265" spans="1:64" ht="15" customHeight="1">
      <c r="A265" s="15" t="s">
        <v>1284</v>
      </c>
      <c r="B265" s="14" t="s">
        <v>1270</v>
      </c>
      <c r="C265" s="58" t="s">
        <v>904</v>
      </c>
      <c r="D265" s="58"/>
      <c r="E265" s="58"/>
      <c r="F265" s="58"/>
      <c r="G265" s="14" t="s">
        <v>999</v>
      </c>
      <c r="H265" s="2">
        <v>21</v>
      </c>
      <c r="I265" s="2">
        <v>0</v>
      </c>
      <c r="J265" s="2">
        <f>H265*AO265</f>
        <v>0</v>
      </c>
      <c r="K265" s="2">
        <f>H265*AP265</f>
        <v>0</v>
      </c>
      <c r="L265" s="2">
        <f>H265*I265</f>
        <v>0</v>
      </c>
      <c r="M265" s="7" t="s">
        <v>831</v>
      </c>
      <c r="Z265" s="2">
        <f>IF(AQ265="5",BJ265,0)</f>
        <v>0</v>
      </c>
      <c r="AB265" s="2">
        <f>IF(AQ265="1",BH265,0)</f>
        <v>0</v>
      </c>
      <c r="AC265" s="2">
        <f>IF(AQ265="1",BI265,0)</f>
        <v>0</v>
      </c>
      <c r="AD265" s="2">
        <f>IF(AQ265="7",BH265,0)</f>
        <v>0</v>
      </c>
      <c r="AE265" s="2">
        <f>IF(AQ265="7",BI265,0)</f>
        <v>0</v>
      </c>
      <c r="AF265" s="2">
        <f>IF(AQ265="2",BH265,0)</f>
        <v>0</v>
      </c>
      <c r="AG265" s="2">
        <f>IF(AQ265="2",BI265,0)</f>
        <v>0</v>
      </c>
      <c r="AH265" s="2">
        <f>IF(AQ265="0",BJ265,0)</f>
        <v>0</v>
      </c>
      <c r="AI265" s="19" t="s">
        <v>255</v>
      </c>
      <c r="AJ265" s="2">
        <f>IF(AN265=0,L265,0)</f>
        <v>0</v>
      </c>
      <c r="AK265" s="2">
        <f>IF(AN265=15,L265,0)</f>
        <v>0</v>
      </c>
      <c r="AL265" s="2">
        <f>IF(AN265=21,L265,0)</f>
        <v>0</v>
      </c>
      <c r="AN265" s="2">
        <v>15</v>
      </c>
      <c r="AO265" s="2">
        <f>I265*0.218076477404403</f>
        <v>0</v>
      </c>
      <c r="AP265" s="2">
        <f>I265*(1-0.218076477404403)</f>
        <v>0</v>
      </c>
      <c r="AQ265" s="43" t="s">
        <v>1215</v>
      </c>
      <c r="AV265" s="2">
        <f>AW265+AX265</f>
        <v>0</v>
      </c>
      <c r="AW265" s="2">
        <f>H265*AO265</f>
        <v>0</v>
      </c>
      <c r="AX265" s="2">
        <f>H265*AP265</f>
        <v>0</v>
      </c>
      <c r="AY265" s="43" t="s">
        <v>771</v>
      </c>
      <c r="AZ265" s="43" t="s">
        <v>441</v>
      </c>
      <c r="BA265" s="19" t="s">
        <v>1155</v>
      </c>
      <c r="BC265" s="2">
        <f>AW265+AX265</f>
        <v>0</v>
      </c>
      <c r="BD265" s="2">
        <f>I265/(100-BE265)*100</f>
        <v>0</v>
      </c>
      <c r="BE265" s="2">
        <v>0</v>
      </c>
      <c r="BF265" s="2">
        <f>265</f>
        <v>265</v>
      </c>
      <c r="BH265" s="2">
        <f>H265*AO265</f>
        <v>0</v>
      </c>
      <c r="BI265" s="2">
        <f>H265*AP265</f>
        <v>0</v>
      </c>
      <c r="BJ265" s="2">
        <f>H265*I265</f>
        <v>0</v>
      </c>
      <c r="BK265" s="2"/>
      <c r="BL265" s="2">
        <v>722</v>
      </c>
    </row>
    <row r="266" spans="1:13" ht="13.5" customHeight="1">
      <c r="A266" s="51"/>
      <c r="B266" s="32" t="s">
        <v>639</v>
      </c>
      <c r="C266" s="75" t="s">
        <v>209</v>
      </c>
      <c r="D266" s="76"/>
      <c r="E266" s="76"/>
      <c r="F266" s="76"/>
      <c r="G266" s="76"/>
      <c r="H266" s="76"/>
      <c r="I266" s="76"/>
      <c r="J266" s="76"/>
      <c r="K266" s="76"/>
      <c r="L266" s="76"/>
      <c r="M266" s="77"/>
    </row>
    <row r="267" spans="1:64" ht="15" customHeight="1">
      <c r="A267" s="15" t="s">
        <v>516</v>
      </c>
      <c r="B267" s="14" t="s">
        <v>1171</v>
      </c>
      <c r="C267" s="58" t="s">
        <v>1083</v>
      </c>
      <c r="D267" s="58"/>
      <c r="E267" s="58"/>
      <c r="F267" s="58"/>
      <c r="G267" s="14" t="s">
        <v>999</v>
      </c>
      <c r="H267" s="2">
        <v>69</v>
      </c>
      <c r="I267" s="2">
        <v>0</v>
      </c>
      <c r="J267" s="2">
        <f>H267*AO267</f>
        <v>0</v>
      </c>
      <c r="K267" s="2">
        <f>H267*AP267</f>
        <v>0</v>
      </c>
      <c r="L267" s="2">
        <f>H267*I267</f>
        <v>0</v>
      </c>
      <c r="M267" s="7" t="s">
        <v>831</v>
      </c>
      <c r="Z267" s="2">
        <f>IF(AQ267="5",BJ267,0)</f>
        <v>0</v>
      </c>
      <c r="AB267" s="2">
        <f>IF(AQ267="1",BH267,0)</f>
        <v>0</v>
      </c>
      <c r="AC267" s="2">
        <f>IF(AQ267="1",BI267,0)</f>
        <v>0</v>
      </c>
      <c r="AD267" s="2">
        <f>IF(AQ267="7",BH267,0)</f>
        <v>0</v>
      </c>
      <c r="AE267" s="2">
        <f>IF(AQ267="7",BI267,0)</f>
        <v>0</v>
      </c>
      <c r="AF267" s="2">
        <f>IF(AQ267="2",BH267,0)</f>
        <v>0</v>
      </c>
      <c r="AG267" s="2">
        <f>IF(AQ267="2",BI267,0)</f>
        <v>0</v>
      </c>
      <c r="AH267" s="2">
        <f>IF(AQ267="0",BJ267,0)</f>
        <v>0</v>
      </c>
      <c r="AI267" s="19" t="s">
        <v>255</v>
      </c>
      <c r="AJ267" s="2">
        <f>IF(AN267=0,L267,0)</f>
        <v>0</v>
      </c>
      <c r="AK267" s="2">
        <f>IF(AN267=15,L267,0)</f>
        <v>0</v>
      </c>
      <c r="AL267" s="2">
        <f>IF(AN267=21,L267,0)</f>
        <v>0</v>
      </c>
      <c r="AN267" s="2">
        <v>15</v>
      </c>
      <c r="AO267" s="2">
        <f>I267*0.357333333333333</f>
        <v>0</v>
      </c>
      <c r="AP267" s="2">
        <f>I267*(1-0.357333333333333)</f>
        <v>0</v>
      </c>
      <c r="AQ267" s="43" t="s">
        <v>1215</v>
      </c>
      <c r="AV267" s="2">
        <f>AW267+AX267</f>
        <v>0</v>
      </c>
      <c r="AW267" s="2">
        <f>H267*AO267</f>
        <v>0</v>
      </c>
      <c r="AX267" s="2">
        <f>H267*AP267</f>
        <v>0</v>
      </c>
      <c r="AY267" s="43" t="s">
        <v>771</v>
      </c>
      <c r="AZ267" s="43" t="s">
        <v>441</v>
      </c>
      <c r="BA267" s="19" t="s">
        <v>1155</v>
      </c>
      <c r="BC267" s="2">
        <f>AW267+AX267</f>
        <v>0</v>
      </c>
      <c r="BD267" s="2">
        <f>I267/(100-BE267)*100</f>
        <v>0</v>
      </c>
      <c r="BE267" s="2">
        <v>0</v>
      </c>
      <c r="BF267" s="2">
        <f>267</f>
        <v>267</v>
      </c>
      <c r="BH267" s="2">
        <f>H267*AO267</f>
        <v>0</v>
      </c>
      <c r="BI267" s="2">
        <f>H267*AP267</f>
        <v>0</v>
      </c>
      <c r="BJ267" s="2">
        <f>H267*I267</f>
        <v>0</v>
      </c>
      <c r="BK267" s="2"/>
      <c r="BL267" s="2">
        <v>722</v>
      </c>
    </row>
    <row r="268" spans="1:13" ht="13.5" customHeight="1">
      <c r="A268" s="51"/>
      <c r="B268" s="32" t="s">
        <v>639</v>
      </c>
      <c r="C268" s="75" t="s">
        <v>209</v>
      </c>
      <c r="D268" s="76"/>
      <c r="E268" s="76"/>
      <c r="F268" s="76"/>
      <c r="G268" s="76"/>
      <c r="H268" s="76"/>
      <c r="I268" s="76"/>
      <c r="J268" s="76"/>
      <c r="K268" s="76"/>
      <c r="L268" s="76"/>
      <c r="M268" s="77"/>
    </row>
    <row r="269" spans="1:64" ht="15" customHeight="1">
      <c r="A269" s="15" t="s">
        <v>1102</v>
      </c>
      <c r="B269" s="14" t="s">
        <v>1171</v>
      </c>
      <c r="C269" s="58" t="s">
        <v>1083</v>
      </c>
      <c r="D269" s="58"/>
      <c r="E269" s="58"/>
      <c r="F269" s="58"/>
      <c r="G269" s="14" t="s">
        <v>999</v>
      </c>
      <c r="H269" s="2">
        <v>15</v>
      </c>
      <c r="I269" s="2">
        <v>0</v>
      </c>
      <c r="J269" s="2">
        <f>H269*AO269</f>
        <v>0</v>
      </c>
      <c r="K269" s="2">
        <f>H269*AP269</f>
        <v>0</v>
      </c>
      <c r="L269" s="2">
        <f>H269*I269</f>
        <v>0</v>
      </c>
      <c r="M269" s="7" t="s">
        <v>831</v>
      </c>
      <c r="Z269" s="2">
        <f>IF(AQ269="5",BJ269,0)</f>
        <v>0</v>
      </c>
      <c r="AB269" s="2">
        <f>IF(AQ269="1",BH269,0)</f>
        <v>0</v>
      </c>
      <c r="AC269" s="2">
        <f>IF(AQ269="1",BI269,0)</f>
        <v>0</v>
      </c>
      <c r="AD269" s="2">
        <f>IF(AQ269="7",BH269,0)</f>
        <v>0</v>
      </c>
      <c r="AE269" s="2">
        <f>IF(AQ269="7",BI269,0)</f>
        <v>0</v>
      </c>
      <c r="AF269" s="2">
        <f>IF(AQ269="2",BH269,0)</f>
        <v>0</v>
      </c>
      <c r="AG269" s="2">
        <f>IF(AQ269="2",BI269,0)</f>
        <v>0</v>
      </c>
      <c r="AH269" s="2">
        <f>IF(AQ269="0",BJ269,0)</f>
        <v>0</v>
      </c>
      <c r="AI269" s="19" t="s">
        <v>255</v>
      </c>
      <c r="AJ269" s="2">
        <f>IF(AN269=0,L269,0)</f>
        <v>0</v>
      </c>
      <c r="AK269" s="2">
        <f>IF(AN269=15,L269,0)</f>
        <v>0</v>
      </c>
      <c r="AL269" s="2">
        <f>IF(AN269=21,L269,0)</f>
        <v>0</v>
      </c>
      <c r="AN269" s="2">
        <v>15</v>
      </c>
      <c r="AO269" s="2">
        <f>I269*0.357333333333333</f>
        <v>0</v>
      </c>
      <c r="AP269" s="2">
        <f>I269*(1-0.357333333333333)</f>
        <v>0</v>
      </c>
      <c r="AQ269" s="43" t="s">
        <v>1215</v>
      </c>
      <c r="AV269" s="2">
        <f>AW269+AX269</f>
        <v>0</v>
      </c>
      <c r="AW269" s="2">
        <f>H269*AO269</f>
        <v>0</v>
      </c>
      <c r="AX269" s="2">
        <f>H269*AP269</f>
        <v>0</v>
      </c>
      <c r="AY269" s="43" t="s">
        <v>771</v>
      </c>
      <c r="AZ269" s="43" t="s">
        <v>441</v>
      </c>
      <c r="BA269" s="19" t="s">
        <v>1155</v>
      </c>
      <c r="BC269" s="2">
        <f>AW269+AX269</f>
        <v>0</v>
      </c>
      <c r="BD269" s="2">
        <f>I269/(100-BE269)*100</f>
        <v>0</v>
      </c>
      <c r="BE269" s="2">
        <v>0</v>
      </c>
      <c r="BF269" s="2">
        <f>269</f>
        <v>269</v>
      </c>
      <c r="BH269" s="2">
        <f>H269*AO269</f>
        <v>0</v>
      </c>
      <c r="BI269" s="2">
        <f>H269*AP269</f>
        <v>0</v>
      </c>
      <c r="BJ269" s="2">
        <f>H269*I269</f>
        <v>0</v>
      </c>
      <c r="BK269" s="2"/>
      <c r="BL269" s="2">
        <v>722</v>
      </c>
    </row>
    <row r="270" spans="1:13" ht="13.5" customHeight="1">
      <c r="A270" s="51"/>
      <c r="B270" s="32" t="s">
        <v>639</v>
      </c>
      <c r="C270" s="75" t="s">
        <v>209</v>
      </c>
      <c r="D270" s="76"/>
      <c r="E270" s="76"/>
      <c r="F270" s="76"/>
      <c r="G270" s="76"/>
      <c r="H270" s="76"/>
      <c r="I270" s="76"/>
      <c r="J270" s="76"/>
      <c r="K270" s="76"/>
      <c r="L270" s="76"/>
      <c r="M270" s="77"/>
    </row>
    <row r="271" spans="1:64" ht="15" customHeight="1">
      <c r="A271" s="15" t="s">
        <v>890</v>
      </c>
      <c r="B271" s="14" t="s">
        <v>586</v>
      </c>
      <c r="C271" s="58" t="s">
        <v>904</v>
      </c>
      <c r="D271" s="58"/>
      <c r="E271" s="58"/>
      <c r="F271" s="58"/>
      <c r="G271" s="14" t="s">
        <v>999</v>
      </c>
      <c r="H271" s="2">
        <v>35</v>
      </c>
      <c r="I271" s="2">
        <v>0</v>
      </c>
      <c r="J271" s="2">
        <f>H271*AO271</f>
        <v>0</v>
      </c>
      <c r="K271" s="2">
        <f>H271*AP271</f>
        <v>0</v>
      </c>
      <c r="L271" s="2">
        <f>H271*I271</f>
        <v>0</v>
      </c>
      <c r="M271" s="7" t="s">
        <v>831</v>
      </c>
      <c r="Z271" s="2">
        <f>IF(AQ271="5",BJ271,0)</f>
        <v>0</v>
      </c>
      <c r="AB271" s="2">
        <f>IF(AQ271="1",BH271,0)</f>
        <v>0</v>
      </c>
      <c r="AC271" s="2">
        <f>IF(AQ271="1",BI271,0)</f>
        <v>0</v>
      </c>
      <c r="AD271" s="2">
        <f>IF(AQ271="7",BH271,0)</f>
        <v>0</v>
      </c>
      <c r="AE271" s="2">
        <f>IF(AQ271="7",BI271,0)</f>
        <v>0</v>
      </c>
      <c r="AF271" s="2">
        <f>IF(AQ271="2",BH271,0)</f>
        <v>0</v>
      </c>
      <c r="AG271" s="2">
        <f>IF(AQ271="2",BI271,0)</f>
        <v>0</v>
      </c>
      <c r="AH271" s="2">
        <f>IF(AQ271="0",BJ271,0)</f>
        <v>0</v>
      </c>
      <c r="AI271" s="19" t="s">
        <v>255</v>
      </c>
      <c r="AJ271" s="2">
        <f>IF(AN271=0,L271,0)</f>
        <v>0</v>
      </c>
      <c r="AK271" s="2">
        <f>IF(AN271=15,L271,0)</f>
        <v>0</v>
      </c>
      <c r="AL271" s="2">
        <f>IF(AN271=21,L271,0)</f>
        <v>0</v>
      </c>
      <c r="AN271" s="2">
        <v>15</v>
      </c>
      <c r="AO271" s="2">
        <f>I271*0.273167981961669</f>
        <v>0</v>
      </c>
      <c r="AP271" s="2">
        <f>I271*(1-0.273167981961669)</f>
        <v>0</v>
      </c>
      <c r="AQ271" s="43" t="s">
        <v>1215</v>
      </c>
      <c r="AV271" s="2">
        <f>AW271+AX271</f>
        <v>0</v>
      </c>
      <c r="AW271" s="2">
        <f>H271*AO271</f>
        <v>0</v>
      </c>
      <c r="AX271" s="2">
        <f>H271*AP271</f>
        <v>0</v>
      </c>
      <c r="AY271" s="43" t="s">
        <v>771</v>
      </c>
      <c r="AZ271" s="43" t="s">
        <v>441</v>
      </c>
      <c r="BA271" s="19" t="s">
        <v>1155</v>
      </c>
      <c r="BC271" s="2">
        <f>AW271+AX271</f>
        <v>0</v>
      </c>
      <c r="BD271" s="2">
        <f>I271/(100-BE271)*100</f>
        <v>0</v>
      </c>
      <c r="BE271" s="2">
        <v>0</v>
      </c>
      <c r="BF271" s="2">
        <f>271</f>
        <v>271</v>
      </c>
      <c r="BH271" s="2">
        <f>H271*AO271</f>
        <v>0</v>
      </c>
      <c r="BI271" s="2">
        <f>H271*AP271</f>
        <v>0</v>
      </c>
      <c r="BJ271" s="2">
        <f>H271*I271</f>
        <v>0</v>
      </c>
      <c r="BK271" s="2"/>
      <c r="BL271" s="2">
        <v>722</v>
      </c>
    </row>
    <row r="272" spans="1:13" ht="13.5" customHeight="1">
      <c r="A272" s="51"/>
      <c r="B272" s="32" t="s">
        <v>639</v>
      </c>
      <c r="C272" s="75" t="s">
        <v>235</v>
      </c>
      <c r="D272" s="76"/>
      <c r="E272" s="76"/>
      <c r="F272" s="76"/>
      <c r="G272" s="76"/>
      <c r="H272" s="76"/>
      <c r="I272" s="76"/>
      <c r="J272" s="76"/>
      <c r="K272" s="76"/>
      <c r="L272" s="76"/>
      <c r="M272" s="77"/>
    </row>
    <row r="273" spans="1:64" ht="15" customHeight="1">
      <c r="A273" s="15" t="s">
        <v>1126</v>
      </c>
      <c r="B273" s="14" t="s">
        <v>528</v>
      </c>
      <c r="C273" s="58" t="s">
        <v>1083</v>
      </c>
      <c r="D273" s="58"/>
      <c r="E273" s="58"/>
      <c r="F273" s="58"/>
      <c r="G273" s="14" t="s">
        <v>999</v>
      </c>
      <c r="H273" s="2">
        <v>35</v>
      </c>
      <c r="I273" s="2">
        <v>0</v>
      </c>
      <c r="J273" s="2">
        <f>H273*AO273</f>
        <v>0</v>
      </c>
      <c r="K273" s="2">
        <f>H273*AP273</f>
        <v>0</v>
      </c>
      <c r="L273" s="2">
        <f>H273*I273</f>
        <v>0</v>
      </c>
      <c r="M273" s="7" t="s">
        <v>831</v>
      </c>
      <c r="Z273" s="2">
        <f>IF(AQ273="5",BJ273,0)</f>
        <v>0</v>
      </c>
      <c r="AB273" s="2">
        <f>IF(AQ273="1",BH273,0)</f>
        <v>0</v>
      </c>
      <c r="AC273" s="2">
        <f>IF(AQ273="1",BI273,0)</f>
        <v>0</v>
      </c>
      <c r="AD273" s="2">
        <f>IF(AQ273="7",BH273,0)</f>
        <v>0</v>
      </c>
      <c r="AE273" s="2">
        <f>IF(AQ273="7",BI273,0)</f>
        <v>0</v>
      </c>
      <c r="AF273" s="2">
        <f>IF(AQ273="2",BH273,0)</f>
        <v>0</v>
      </c>
      <c r="AG273" s="2">
        <f>IF(AQ273="2",BI273,0)</f>
        <v>0</v>
      </c>
      <c r="AH273" s="2">
        <f>IF(AQ273="0",BJ273,0)</f>
        <v>0</v>
      </c>
      <c r="AI273" s="19" t="s">
        <v>255</v>
      </c>
      <c r="AJ273" s="2">
        <f>IF(AN273=0,L273,0)</f>
        <v>0</v>
      </c>
      <c r="AK273" s="2">
        <f>IF(AN273=15,L273,0)</f>
        <v>0</v>
      </c>
      <c r="AL273" s="2">
        <f>IF(AN273=21,L273,0)</f>
        <v>0</v>
      </c>
      <c r="AN273" s="2">
        <v>15</v>
      </c>
      <c r="AO273" s="2">
        <f>I273*0.436943231441048</f>
        <v>0</v>
      </c>
      <c r="AP273" s="2">
        <f>I273*(1-0.436943231441048)</f>
        <v>0</v>
      </c>
      <c r="AQ273" s="43" t="s">
        <v>1215</v>
      </c>
      <c r="AV273" s="2">
        <f>AW273+AX273</f>
        <v>0</v>
      </c>
      <c r="AW273" s="2">
        <f>H273*AO273</f>
        <v>0</v>
      </c>
      <c r="AX273" s="2">
        <f>H273*AP273</f>
        <v>0</v>
      </c>
      <c r="AY273" s="43" t="s">
        <v>771</v>
      </c>
      <c r="AZ273" s="43" t="s">
        <v>441</v>
      </c>
      <c r="BA273" s="19" t="s">
        <v>1155</v>
      </c>
      <c r="BC273" s="2">
        <f>AW273+AX273</f>
        <v>0</v>
      </c>
      <c r="BD273" s="2">
        <f>I273/(100-BE273)*100</f>
        <v>0</v>
      </c>
      <c r="BE273" s="2">
        <v>0</v>
      </c>
      <c r="BF273" s="2">
        <f>273</f>
        <v>273</v>
      </c>
      <c r="BH273" s="2">
        <f>H273*AO273</f>
        <v>0</v>
      </c>
      <c r="BI273" s="2">
        <f>H273*AP273</f>
        <v>0</v>
      </c>
      <c r="BJ273" s="2">
        <f>H273*I273</f>
        <v>0</v>
      </c>
      <c r="BK273" s="2"/>
      <c r="BL273" s="2">
        <v>722</v>
      </c>
    </row>
    <row r="274" spans="1:13" ht="13.5" customHeight="1">
      <c r="A274" s="51"/>
      <c r="B274" s="32" t="s">
        <v>639</v>
      </c>
      <c r="C274" s="75" t="s">
        <v>235</v>
      </c>
      <c r="D274" s="76"/>
      <c r="E274" s="76"/>
      <c r="F274" s="76"/>
      <c r="G274" s="76"/>
      <c r="H274" s="76"/>
      <c r="I274" s="76"/>
      <c r="J274" s="76"/>
      <c r="K274" s="76"/>
      <c r="L274" s="76"/>
      <c r="M274" s="77"/>
    </row>
    <row r="275" spans="1:64" ht="15" customHeight="1">
      <c r="A275" s="15" t="s">
        <v>241</v>
      </c>
      <c r="B275" s="14" t="s">
        <v>749</v>
      </c>
      <c r="C275" s="58" t="s">
        <v>512</v>
      </c>
      <c r="D275" s="58"/>
      <c r="E275" s="58"/>
      <c r="F275" s="58"/>
      <c r="G275" s="14" t="s">
        <v>999</v>
      </c>
      <c r="H275" s="2">
        <v>121</v>
      </c>
      <c r="I275" s="2">
        <v>0</v>
      </c>
      <c r="J275" s="2">
        <f>H275*AO275</f>
        <v>0</v>
      </c>
      <c r="K275" s="2">
        <f>H275*AP275</f>
        <v>0</v>
      </c>
      <c r="L275" s="2">
        <f>H275*I275</f>
        <v>0</v>
      </c>
      <c r="M275" s="7" t="s">
        <v>831</v>
      </c>
      <c r="Z275" s="2">
        <f>IF(AQ275="5",BJ275,0)</f>
        <v>0</v>
      </c>
      <c r="AB275" s="2">
        <f>IF(AQ275="1",BH275,0)</f>
        <v>0</v>
      </c>
      <c r="AC275" s="2">
        <f>IF(AQ275="1",BI275,0)</f>
        <v>0</v>
      </c>
      <c r="AD275" s="2">
        <f>IF(AQ275="7",BH275,0)</f>
        <v>0</v>
      </c>
      <c r="AE275" s="2">
        <f>IF(AQ275="7",BI275,0)</f>
        <v>0</v>
      </c>
      <c r="AF275" s="2">
        <f>IF(AQ275="2",BH275,0)</f>
        <v>0</v>
      </c>
      <c r="AG275" s="2">
        <f>IF(AQ275="2",BI275,0)</f>
        <v>0</v>
      </c>
      <c r="AH275" s="2">
        <f>IF(AQ275="0",BJ275,0)</f>
        <v>0</v>
      </c>
      <c r="AI275" s="19" t="s">
        <v>255</v>
      </c>
      <c r="AJ275" s="2">
        <f>IF(AN275=0,L275,0)</f>
        <v>0</v>
      </c>
      <c r="AK275" s="2">
        <f>IF(AN275=15,L275,0)</f>
        <v>0</v>
      </c>
      <c r="AL275" s="2">
        <f>IF(AN275=21,L275,0)</f>
        <v>0</v>
      </c>
      <c r="AN275" s="2">
        <v>15</v>
      </c>
      <c r="AO275" s="2">
        <f>I275*0.260491493383743</f>
        <v>0</v>
      </c>
      <c r="AP275" s="2">
        <f>I275*(1-0.260491493383743)</f>
        <v>0</v>
      </c>
      <c r="AQ275" s="43" t="s">
        <v>1215</v>
      </c>
      <c r="AV275" s="2">
        <f>AW275+AX275</f>
        <v>0</v>
      </c>
      <c r="AW275" s="2">
        <f>H275*AO275</f>
        <v>0</v>
      </c>
      <c r="AX275" s="2">
        <f>H275*AP275</f>
        <v>0</v>
      </c>
      <c r="AY275" s="43" t="s">
        <v>771</v>
      </c>
      <c r="AZ275" s="43" t="s">
        <v>441</v>
      </c>
      <c r="BA275" s="19" t="s">
        <v>1155</v>
      </c>
      <c r="BC275" s="2">
        <f>AW275+AX275</f>
        <v>0</v>
      </c>
      <c r="BD275" s="2">
        <f>I275/(100-BE275)*100</f>
        <v>0</v>
      </c>
      <c r="BE275" s="2">
        <v>0</v>
      </c>
      <c r="BF275" s="2">
        <f>275</f>
        <v>275</v>
      </c>
      <c r="BH275" s="2">
        <f>H275*AO275</f>
        <v>0</v>
      </c>
      <c r="BI275" s="2">
        <f>H275*AP275</f>
        <v>0</v>
      </c>
      <c r="BJ275" s="2">
        <f>H275*I275</f>
        <v>0</v>
      </c>
      <c r="BK275" s="2"/>
      <c r="BL275" s="2">
        <v>722</v>
      </c>
    </row>
    <row r="276" spans="1:64" ht="15" customHeight="1">
      <c r="A276" s="15" t="s">
        <v>598</v>
      </c>
      <c r="B276" s="14" t="s">
        <v>1026</v>
      </c>
      <c r="C276" s="58" t="s">
        <v>1083</v>
      </c>
      <c r="D276" s="58"/>
      <c r="E276" s="58"/>
      <c r="F276" s="58"/>
      <c r="G276" s="14" t="s">
        <v>999</v>
      </c>
      <c r="H276" s="2">
        <v>2</v>
      </c>
      <c r="I276" s="2">
        <v>0</v>
      </c>
      <c r="J276" s="2">
        <f>H276*AO276</f>
        <v>0</v>
      </c>
      <c r="K276" s="2">
        <f>H276*AP276</f>
        <v>0</v>
      </c>
      <c r="L276" s="2">
        <f>H276*I276</f>
        <v>0</v>
      </c>
      <c r="M276" s="7" t="s">
        <v>831</v>
      </c>
      <c r="Z276" s="2">
        <f>IF(AQ276="5",BJ276,0)</f>
        <v>0</v>
      </c>
      <c r="AB276" s="2">
        <f>IF(AQ276="1",BH276,0)</f>
        <v>0</v>
      </c>
      <c r="AC276" s="2">
        <f>IF(AQ276="1",BI276,0)</f>
        <v>0</v>
      </c>
      <c r="AD276" s="2">
        <f>IF(AQ276="7",BH276,0)</f>
        <v>0</v>
      </c>
      <c r="AE276" s="2">
        <f>IF(AQ276="7",BI276,0)</f>
        <v>0</v>
      </c>
      <c r="AF276" s="2">
        <f>IF(AQ276="2",BH276,0)</f>
        <v>0</v>
      </c>
      <c r="AG276" s="2">
        <f>IF(AQ276="2",BI276,0)</f>
        <v>0</v>
      </c>
      <c r="AH276" s="2">
        <f>IF(AQ276="0",BJ276,0)</f>
        <v>0</v>
      </c>
      <c r="AI276" s="19" t="s">
        <v>255</v>
      </c>
      <c r="AJ276" s="2">
        <f>IF(AN276=0,L276,0)</f>
        <v>0</v>
      </c>
      <c r="AK276" s="2">
        <f>IF(AN276=15,L276,0)</f>
        <v>0</v>
      </c>
      <c r="AL276" s="2">
        <f>IF(AN276=21,L276,0)</f>
        <v>0</v>
      </c>
      <c r="AN276" s="2">
        <v>15</v>
      </c>
      <c r="AO276" s="2">
        <f>I276*0.408532110091743</f>
        <v>0</v>
      </c>
      <c r="AP276" s="2">
        <f>I276*(1-0.408532110091743)</f>
        <v>0</v>
      </c>
      <c r="AQ276" s="43" t="s">
        <v>1215</v>
      </c>
      <c r="AV276" s="2">
        <f>AW276+AX276</f>
        <v>0</v>
      </c>
      <c r="AW276" s="2">
        <f>H276*AO276</f>
        <v>0</v>
      </c>
      <c r="AX276" s="2">
        <f>H276*AP276</f>
        <v>0</v>
      </c>
      <c r="AY276" s="43" t="s">
        <v>771</v>
      </c>
      <c r="AZ276" s="43" t="s">
        <v>441</v>
      </c>
      <c r="BA276" s="19" t="s">
        <v>1155</v>
      </c>
      <c r="BC276" s="2">
        <f>AW276+AX276</f>
        <v>0</v>
      </c>
      <c r="BD276" s="2">
        <f>I276/(100-BE276)*100</f>
        <v>0</v>
      </c>
      <c r="BE276" s="2">
        <v>0</v>
      </c>
      <c r="BF276" s="2">
        <f>276</f>
        <v>276</v>
      </c>
      <c r="BH276" s="2">
        <f>H276*AO276</f>
        <v>0</v>
      </c>
      <c r="BI276" s="2">
        <f>H276*AP276</f>
        <v>0</v>
      </c>
      <c r="BJ276" s="2">
        <f>H276*I276</f>
        <v>0</v>
      </c>
      <c r="BK276" s="2"/>
      <c r="BL276" s="2">
        <v>722</v>
      </c>
    </row>
    <row r="277" spans="1:13" ht="13.5" customHeight="1">
      <c r="A277" s="51"/>
      <c r="B277" s="32" t="s">
        <v>639</v>
      </c>
      <c r="C277" s="75" t="s">
        <v>560</v>
      </c>
      <c r="D277" s="76"/>
      <c r="E277" s="76"/>
      <c r="F277" s="76"/>
      <c r="G277" s="76"/>
      <c r="H277" s="76"/>
      <c r="I277" s="76"/>
      <c r="J277" s="76"/>
      <c r="K277" s="76"/>
      <c r="L277" s="76"/>
      <c r="M277" s="77"/>
    </row>
    <row r="278" spans="1:64" ht="15" customHeight="1">
      <c r="A278" s="15" t="s">
        <v>678</v>
      </c>
      <c r="B278" s="14" t="s">
        <v>586</v>
      </c>
      <c r="C278" s="58" t="s">
        <v>904</v>
      </c>
      <c r="D278" s="58"/>
      <c r="E278" s="58"/>
      <c r="F278" s="58"/>
      <c r="G278" s="14" t="s">
        <v>999</v>
      </c>
      <c r="H278" s="2">
        <v>44</v>
      </c>
      <c r="I278" s="2">
        <v>0</v>
      </c>
      <c r="J278" s="2">
        <f>H278*AO278</f>
        <v>0</v>
      </c>
      <c r="K278" s="2">
        <f>H278*AP278</f>
        <v>0</v>
      </c>
      <c r="L278" s="2">
        <f>H278*I278</f>
        <v>0</v>
      </c>
      <c r="M278" s="7" t="s">
        <v>831</v>
      </c>
      <c r="Z278" s="2">
        <f>IF(AQ278="5",BJ278,0)</f>
        <v>0</v>
      </c>
      <c r="AB278" s="2">
        <f>IF(AQ278="1",BH278,0)</f>
        <v>0</v>
      </c>
      <c r="AC278" s="2">
        <f>IF(AQ278="1",BI278,0)</f>
        <v>0</v>
      </c>
      <c r="AD278" s="2">
        <f>IF(AQ278="7",BH278,0)</f>
        <v>0</v>
      </c>
      <c r="AE278" s="2">
        <f>IF(AQ278="7",BI278,0)</f>
        <v>0</v>
      </c>
      <c r="AF278" s="2">
        <f>IF(AQ278="2",BH278,0)</f>
        <v>0</v>
      </c>
      <c r="AG278" s="2">
        <f>IF(AQ278="2",BI278,0)</f>
        <v>0</v>
      </c>
      <c r="AH278" s="2">
        <f>IF(AQ278="0",BJ278,0)</f>
        <v>0</v>
      </c>
      <c r="AI278" s="19" t="s">
        <v>255</v>
      </c>
      <c r="AJ278" s="2">
        <f>IF(AN278=0,L278,0)</f>
        <v>0</v>
      </c>
      <c r="AK278" s="2">
        <f>IF(AN278=15,L278,0)</f>
        <v>0</v>
      </c>
      <c r="AL278" s="2">
        <f>IF(AN278=21,L278,0)</f>
        <v>0</v>
      </c>
      <c r="AN278" s="2">
        <v>15</v>
      </c>
      <c r="AO278" s="2">
        <f>I278*0.273167981961669</f>
        <v>0</v>
      </c>
      <c r="AP278" s="2">
        <f>I278*(1-0.273167981961669)</f>
        <v>0</v>
      </c>
      <c r="AQ278" s="43" t="s">
        <v>1215</v>
      </c>
      <c r="AV278" s="2">
        <f>AW278+AX278</f>
        <v>0</v>
      </c>
      <c r="AW278" s="2">
        <f>H278*AO278</f>
        <v>0</v>
      </c>
      <c r="AX278" s="2">
        <f>H278*AP278</f>
        <v>0</v>
      </c>
      <c r="AY278" s="43" t="s">
        <v>771</v>
      </c>
      <c r="AZ278" s="43" t="s">
        <v>441</v>
      </c>
      <c r="BA278" s="19" t="s">
        <v>1155</v>
      </c>
      <c r="BC278" s="2">
        <f>AW278+AX278</f>
        <v>0</v>
      </c>
      <c r="BD278" s="2">
        <f>I278/(100-BE278)*100</f>
        <v>0</v>
      </c>
      <c r="BE278" s="2">
        <v>0</v>
      </c>
      <c r="BF278" s="2">
        <f>278</f>
        <v>278</v>
      </c>
      <c r="BH278" s="2">
        <f>H278*AO278</f>
        <v>0</v>
      </c>
      <c r="BI278" s="2">
        <f>H278*AP278</f>
        <v>0</v>
      </c>
      <c r="BJ278" s="2">
        <f>H278*I278</f>
        <v>0</v>
      </c>
      <c r="BK278" s="2"/>
      <c r="BL278" s="2">
        <v>722</v>
      </c>
    </row>
    <row r="279" spans="1:13" ht="13.5" customHeight="1">
      <c r="A279" s="51"/>
      <c r="B279" s="32" t="s">
        <v>639</v>
      </c>
      <c r="C279" s="75" t="s">
        <v>235</v>
      </c>
      <c r="D279" s="76"/>
      <c r="E279" s="76"/>
      <c r="F279" s="76"/>
      <c r="G279" s="76"/>
      <c r="H279" s="76"/>
      <c r="I279" s="76"/>
      <c r="J279" s="76"/>
      <c r="K279" s="76"/>
      <c r="L279" s="76"/>
      <c r="M279" s="77"/>
    </row>
    <row r="280" spans="1:64" ht="15" customHeight="1">
      <c r="A280" s="15" t="s">
        <v>1087</v>
      </c>
      <c r="B280" s="14" t="s">
        <v>1200</v>
      </c>
      <c r="C280" s="58" t="s">
        <v>631</v>
      </c>
      <c r="D280" s="58"/>
      <c r="E280" s="58"/>
      <c r="F280" s="58"/>
      <c r="G280" s="14" t="s">
        <v>999</v>
      </c>
      <c r="H280" s="2">
        <v>44</v>
      </c>
      <c r="I280" s="2">
        <v>0</v>
      </c>
      <c r="J280" s="2">
        <f>H280*AO280</f>
        <v>0</v>
      </c>
      <c r="K280" s="2">
        <f>H280*AP280</f>
        <v>0</v>
      </c>
      <c r="L280" s="2">
        <f>H280*I280</f>
        <v>0</v>
      </c>
      <c r="M280" s="7" t="s">
        <v>831</v>
      </c>
      <c r="Z280" s="2">
        <f>IF(AQ280="5",BJ280,0)</f>
        <v>0</v>
      </c>
      <c r="AB280" s="2">
        <f>IF(AQ280="1",BH280,0)</f>
        <v>0</v>
      </c>
      <c r="AC280" s="2">
        <f>IF(AQ280="1",BI280,0)</f>
        <v>0</v>
      </c>
      <c r="AD280" s="2">
        <f>IF(AQ280="7",BH280,0)</f>
        <v>0</v>
      </c>
      <c r="AE280" s="2">
        <f>IF(AQ280="7",BI280,0)</f>
        <v>0</v>
      </c>
      <c r="AF280" s="2">
        <f>IF(AQ280="2",BH280,0)</f>
        <v>0</v>
      </c>
      <c r="AG280" s="2">
        <f>IF(AQ280="2",BI280,0)</f>
        <v>0</v>
      </c>
      <c r="AH280" s="2">
        <f>IF(AQ280="0",BJ280,0)</f>
        <v>0</v>
      </c>
      <c r="AI280" s="19" t="s">
        <v>255</v>
      </c>
      <c r="AJ280" s="2">
        <f>IF(AN280=0,L280,0)</f>
        <v>0</v>
      </c>
      <c r="AK280" s="2">
        <f>IF(AN280=15,L280,0)</f>
        <v>0</v>
      </c>
      <c r="AL280" s="2">
        <f>IF(AN280=21,L280,0)</f>
        <v>0</v>
      </c>
      <c r="AN280" s="2">
        <v>15</v>
      </c>
      <c r="AO280" s="2">
        <f>I280*0.531127272727273</f>
        <v>0</v>
      </c>
      <c r="AP280" s="2">
        <f>I280*(1-0.531127272727273)</f>
        <v>0</v>
      </c>
      <c r="AQ280" s="43" t="s">
        <v>1215</v>
      </c>
      <c r="AV280" s="2">
        <f>AW280+AX280</f>
        <v>0</v>
      </c>
      <c r="AW280" s="2">
        <f>H280*AO280</f>
        <v>0</v>
      </c>
      <c r="AX280" s="2">
        <f>H280*AP280</f>
        <v>0</v>
      </c>
      <c r="AY280" s="43" t="s">
        <v>771</v>
      </c>
      <c r="AZ280" s="43" t="s">
        <v>441</v>
      </c>
      <c r="BA280" s="19" t="s">
        <v>1155</v>
      </c>
      <c r="BC280" s="2">
        <f>AW280+AX280</f>
        <v>0</v>
      </c>
      <c r="BD280" s="2">
        <f>I280/(100-BE280)*100</f>
        <v>0</v>
      </c>
      <c r="BE280" s="2">
        <v>0</v>
      </c>
      <c r="BF280" s="2">
        <f>280</f>
        <v>280</v>
      </c>
      <c r="BH280" s="2">
        <f>H280*AO280</f>
        <v>0</v>
      </c>
      <c r="BI280" s="2">
        <f>H280*AP280</f>
        <v>0</v>
      </c>
      <c r="BJ280" s="2">
        <f>H280*I280</f>
        <v>0</v>
      </c>
      <c r="BK280" s="2"/>
      <c r="BL280" s="2">
        <v>722</v>
      </c>
    </row>
    <row r="281" spans="1:13" ht="13.5" customHeight="1">
      <c r="A281" s="51"/>
      <c r="B281" s="32" t="s">
        <v>639</v>
      </c>
      <c r="C281" s="75" t="s">
        <v>235</v>
      </c>
      <c r="D281" s="76"/>
      <c r="E281" s="76"/>
      <c r="F281" s="76"/>
      <c r="G281" s="76"/>
      <c r="H281" s="76"/>
      <c r="I281" s="76"/>
      <c r="J281" s="76"/>
      <c r="K281" s="76"/>
      <c r="L281" s="76"/>
      <c r="M281" s="77"/>
    </row>
    <row r="282" spans="1:64" ht="15" customHeight="1">
      <c r="A282" s="15" t="s">
        <v>1231</v>
      </c>
      <c r="B282" s="14" t="s">
        <v>749</v>
      </c>
      <c r="C282" s="58" t="s">
        <v>512</v>
      </c>
      <c r="D282" s="58"/>
      <c r="E282" s="58"/>
      <c r="F282" s="58"/>
      <c r="G282" s="14" t="s">
        <v>999</v>
      </c>
      <c r="H282" s="2">
        <v>202.5</v>
      </c>
      <c r="I282" s="2">
        <v>0</v>
      </c>
      <c r="J282" s="2">
        <f>H282*AO282</f>
        <v>0</v>
      </c>
      <c r="K282" s="2">
        <f>H282*AP282</f>
        <v>0</v>
      </c>
      <c r="L282" s="2">
        <f>H282*I282</f>
        <v>0</v>
      </c>
      <c r="M282" s="7" t="s">
        <v>831</v>
      </c>
      <c r="Z282" s="2">
        <f>IF(AQ282="5",BJ282,0)</f>
        <v>0</v>
      </c>
      <c r="AB282" s="2">
        <f>IF(AQ282="1",BH282,0)</f>
        <v>0</v>
      </c>
      <c r="AC282" s="2">
        <f>IF(AQ282="1",BI282,0)</f>
        <v>0</v>
      </c>
      <c r="AD282" s="2">
        <f>IF(AQ282="7",BH282,0)</f>
        <v>0</v>
      </c>
      <c r="AE282" s="2">
        <f>IF(AQ282="7",BI282,0)</f>
        <v>0</v>
      </c>
      <c r="AF282" s="2">
        <f>IF(AQ282="2",BH282,0)</f>
        <v>0</v>
      </c>
      <c r="AG282" s="2">
        <f>IF(AQ282="2",BI282,0)</f>
        <v>0</v>
      </c>
      <c r="AH282" s="2">
        <f>IF(AQ282="0",BJ282,0)</f>
        <v>0</v>
      </c>
      <c r="AI282" s="19" t="s">
        <v>255</v>
      </c>
      <c r="AJ282" s="2">
        <f>IF(AN282=0,L282,0)</f>
        <v>0</v>
      </c>
      <c r="AK282" s="2">
        <f>IF(AN282=15,L282,0)</f>
        <v>0</v>
      </c>
      <c r="AL282" s="2">
        <f>IF(AN282=21,L282,0)</f>
        <v>0</v>
      </c>
      <c r="AN282" s="2">
        <v>15</v>
      </c>
      <c r="AO282" s="2">
        <f>I282*0.260490277531436</f>
        <v>0</v>
      </c>
      <c r="AP282" s="2">
        <f>I282*(1-0.260490277531436)</f>
        <v>0</v>
      </c>
      <c r="AQ282" s="43" t="s">
        <v>1215</v>
      </c>
      <c r="AV282" s="2">
        <f>AW282+AX282</f>
        <v>0</v>
      </c>
      <c r="AW282" s="2">
        <f>H282*AO282</f>
        <v>0</v>
      </c>
      <c r="AX282" s="2">
        <f>H282*AP282</f>
        <v>0</v>
      </c>
      <c r="AY282" s="43" t="s">
        <v>771</v>
      </c>
      <c r="AZ282" s="43" t="s">
        <v>441</v>
      </c>
      <c r="BA282" s="19" t="s">
        <v>1155</v>
      </c>
      <c r="BC282" s="2">
        <f>AW282+AX282</f>
        <v>0</v>
      </c>
      <c r="BD282" s="2">
        <f>I282/(100-BE282)*100</f>
        <v>0</v>
      </c>
      <c r="BE282" s="2">
        <v>0</v>
      </c>
      <c r="BF282" s="2">
        <f>282</f>
        <v>282</v>
      </c>
      <c r="BH282" s="2">
        <f>H282*AO282</f>
        <v>0</v>
      </c>
      <c r="BI282" s="2">
        <f>H282*AP282</f>
        <v>0</v>
      </c>
      <c r="BJ282" s="2">
        <f>H282*I282</f>
        <v>0</v>
      </c>
      <c r="BK282" s="2"/>
      <c r="BL282" s="2">
        <v>722</v>
      </c>
    </row>
    <row r="283" spans="1:64" ht="15" customHeight="1">
      <c r="A283" s="15" t="s">
        <v>3</v>
      </c>
      <c r="B283" s="14" t="s">
        <v>211</v>
      </c>
      <c r="C283" s="58" t="s">
        <v>882</v>
      </c>
      <c r="D283" s="58"/>
      <c r="E283" s="58"/>
      <c r="F283" s="58"/>
      <c r="G283" s="14" t="s">
        <v>999</v>
      </c>
      <c r="H283" s="2">
        <v>133.5</v>
      </c>
      <c r="I283" s="2">
        <v>0</v>
      </c>
      <c r="J283" s="2">
        <f>H283*AO283</f>
        <v>0</v>
      </c>
      <c r="K283" s="2">
        <f>H283*AP283</f>
        <v>0</v>
      </c>
      <c r="L283" s="2">
        <f>H283*I283</f>
        <v>0</v>
      </c>
      <c r="M283" s="7" t="s">
        <v>831</v>
      </c>
      <c r="Z283" s="2">
        <f>IF(AQ283="5",BJ283,0)</f>
        <v>0</v>
      </c>
      <c r="AB283" s="2">
        <f>IF(AQ283="1",BH283,0)</f>
        <v>0</v>
      </c>
      <c r="AC283" s="2">
        <f>IF(AQ283="1",BI283,0)</f>
        <v>0</v>
      </c>
      <c r="AD283" s="2">
        <f>IF(AQ283="7",BH283,0)</f>
        <v>0</v>
      </c>
      <c r="AE283" s="2">
        <f>IF(AQ283="7",BI283,0)</f>
        <v>0</v>
      </c>
      <c r="AF283" s="2">
        <f>IF(AQ283="2",BH283,0)</f>
        <v>0</v>
      </c>
      <c r="AG283" s="2">
        <f>IF(AQ283="2",BI283,0)</f>
        <v>0</v>
      </c>
      <c r="AH283" s="2">
        <f>IF(AQ283="0",BJ283,0)</f>
        <v>0</v>
      </c>
      <c r="AI283" s="19" t="s">
        <v>255</v>
      </c>
      <c r="AJ283" s="2">
        <f>IF(AN283=0,L283,0)</f>
        <v>0</v>
      </c>
      <c r="AK283" s="2">
        <f>IF(AN283=15,L283,0)</f>
        <v>0</v>
      </c>
      <c r="AL283" s="2">
        <f>IF(AN283=21,L283,0)</f>
        <v>0</v>
      </c>
      <c r="AN283" s="2">
        <v>15</v>
      </c>
      <c r="AO283" s="2">
        <f>I283*0.052380402853546</f>
        <v>0</v>
      </c>
      <c r="AP283" s="2">
        <f>I283*(1-0.052380402853546)</f>
        <v>0</v>
      </c>
      <c r="AQ283" s="43" t="s">
        <v>1215</v>
      </c>
      <c r="AV283" s="2">
        <f>AW283+AX283</f>
        <v>0</v>
      </c>
      <c r="AW283" s="2">
        <f>H283*AO283</f>
        <v>0</v>
      </c>
      <c r="AX283" s="2">
        <f>H283*AP283</f>
        <v>0</v>
      </c>
      <c r="AY283" s="43" t="s">
        <v>771</v>
      </c>
      <c r="AZ283" s="43" t="s">
        <v>441</v>
      </c>
      <c r="BA283" s="19" t="s">
        <v>1155</v>
      </c>
      <c r="BC283" s="2">
        <f>AW283+AX283</f>
        <v>0</v>
      </c>
      <c r="BD283" s="2">
        <f>I283/(100-BE283)*100</f>
        <v>0</v>
      </c>
      <c r="BE283" s="2">
        <v>0</v>
      </c>
      <c r="BF283" s="2">
        <f>283</f>
        <v>283</v>
      </c>
      <c r="BH283" s="2">
        <f>H283*AO283</f>
        <v>0</v>
      </c>
      <c r="BI283" s="2">
        <f>H283*AP283</f>
        <v>0</v>
      </c>
      <c r="BJ283" s="2">
        <f>H283*I283</f>
        <v>0</v>
      </c>
      <c r="BK283" s="2"/>
      <c r="BL283" s="2">
        <v>722</v>
      </c>
    </row>
    <row r="284" spans="1:64" ht="15" customHeight="1">
      <c r="A284" s="15" t="s">
        <v>40</v>
      </c>
      <c r="B284" s="14" t="s">
        <v>440</v>
      </c>
      <c r="C284" s="58" t="s">
        <v>446</v>
      </c>
      <c r="D284" s="58"/>
      <c r="E284" s="58"/>
      <c r="F284" s="58"/>
      <c r="G284" s="14" t="s">
        <v>319</v>
      </c>
      <c r="H284" s="2">
        <v>1</v>
      </c>
      <c r="I284" s="2">
        <v>0</v>
      </c>
      <c r="J284" s="2">
        <f>H284*AO284</f>
        <v>0</v>
      </c>
      <c r="K284" s="2">
        <f>H284*AP284</f>
        <v>0</v>
      </c>
      <c r="L284" s="2">
        <f>H284*I284</f>
        <v>0</v>
      </c>
      <c r="M284" s="7" t="s">
        <v>831</v>
      </c>
      <c r="Z284" s="2">
        <f>IF(AQ284="5",BJ284,0)</f>
        <v>0</v>
      </c>
      <c r="AB284" s="2">
        <f>IF(AQ284="1",BH284,0)</f>
        <v>0</v>
      </c>
      <c r="AC284" s="2">
        <f>IF(AQ284="1",BI284,0)</f>
        <v>0</v>
      </c>
      <c r="AD284" s="2">
        <f>IF(AQ284="7",BH284,0)</f>
        <v>0</v>
      </c>
      <c r="AE284" s="2">
        <f>IF(AQ284="7",BI284,0)</f>
        <v>0</v>
      </c>
      <c r="AF284" s="2">
        <f>IF(AQ284="2",BH284,0)</f>
        <v>0</v>
      </c>
      <c r="AG284" s="2">
        <f>IF(AQ284="2",BI284,0)</f>
        <v>0</v>
      </c>
      <c r="AH284" s="2">
        <f>IF(AQ284="0",BJ284,0)</f>
        <v>0</v>
      </c>
      <c r="AI284" s="19" t="s">
        <v>255</v>
      </c>
      <c r="AJ284" s="2">
        <f>IF(AN284=0,L284,0)</f>
        <v>0</v>
      </c>
      <c r="AK284" s="2">
        <f>IF(AN284=15,L284,0)</f>
        <v>0</v>
      </c>
      <c r="AL284" s="2">
        <f>IF(AN284=21,L284,0)</f>
        <v>0</v>
      </c>
      <c r="AN284" s="2">
        <v>15</v>
      </c>
      <c r="AO284" s="2">
        <f>I284*0.941558375634518</f>
        <v>0</v>
      </c>
      <c r="AP284" s="2">
        <f>I284*(1-0.941558375634518)</f>
        <v>0</v>
      </c>
      <c r="AQ284" s="43" t="s">
        <v>1215</v>
      </c>
      <c r="AV284" s="2">
        <f>AW284+AX284</f>
        <v>0</v>
      </c>
      <c r="AW284" s="2">
        <f>H284*AO284</f>
        <v>0</v>
      </c>
      <c r="AX284" s="2">
        <f>H284*AP284</f>
        <v>0</v>
      </c>
      <c r="AY284" s="43" t="s">
        <v>771</v>
      </c>
      <c r="AZ284" s="43" t="s">
        <v>441</v>
      </c>
      <c r="BA284" s="19" t="s">
        <v>1155</v>
      </c>
      <c r="BC284" s="2">
        <f>AW284+AX284</f>
        <v>0</v>
      </c>
      <c r="BD284" s="2">
        <f>I284/(100-BE284)*100</f>
        <v>0</v>
      </c>
      <c r="BE284" s="2">
        <v>0</v>
      </c>
      <c r="BF284" s="2">
        <f>284</f>
        <v>284</v>
      </c>
      <c r="BH284" s="2">
        <f>H284*AO284</f>
        <v>0</v>
      </c>
      <c r="BI284" s="2">
        <f>H284*AP284</f>
        <v>0</v>
      </c>
      <c r="BJ284" s="2">
        <f>H284*I284</f>
        <v>0</v>
      </c>
      <c r="BK284" s="2"/>
      <c r="BL284" s="2">
        <v>722</v>
      </c>
    </row>
    <row r="285" spans="1:64" ht="15" customHeight="1">
      <c r="A285" s="15" t="s">
        <v>67</v>
      </c>
      <c r="B285" s="14" t="s">
        <v>858</v>
      </c>
      <c r="C285" s="58" t="s">
        <v>984</v>
      </c>
      <c r="D285" s="58"/>
      <c r="E285" s="58"/>
      <c r="F285" s="58"/>
      <c r="G285" s="14" t="s">
        <v>933</v>
      </c>
      <c r="H285" s="2">
        <v>1</v>
      </c>
      <c r="I285" s="2">
        <v>0</v>
      </c>
      <c r="J285" s="2">
        <f>H285*AO285</f>
        <v>0</v>
      </c>
      <c r="K285" s="2">
        <f>H285*AP285</f>
        <v>0</v>
      </c>
      <c r="L285" s="2">
        <f>H285*I285</f>
        <v>0</v>
      </c>
      <c r="M285" s="7" t="s">
        <v>844</v>
      </c>
      <c r="Z285" s="2">
        <f>IF(AQ285="5",BJ285,0)</f>
        <v>0</v>
      </c>
      <c r="AB285" s="2">
        <f>IF(AQ285="1",BH285,0)</f>
        <v>0</v>
      </c>
      <c r="AC285" s="2">
        <f>IF(AQ285="1",BI285,0)</f>
        <v>0</v>
      </c>
      <c r="AD285" s="2">
        <f>IF(AQ285="7",BH285,0)</f>
        <v>0</v>
      </c>
      <c r="AE285" s="2">
        <f>IF(AQ285="7",BI285,0)</f>
        <v>0</v>
      </c>
      <c r="AF285" s="2">
        <f>IF(AQ285="2",BH285,0)</f>
        <v>0</v>
      </c>
      <c r="AG285" s="2">
        <f>IF(AQ285="2",BI285,0)</f>
        <v>0</v>
      </c>
      <c r="AH285" s="2">
        <f>IF(AQ285="0",BJ285,0)</f>
        <v>0</v>
      </c>
      <c r="AI285" s="19" t="s">
        <v>255</v>
      </c>
      <c r="AJ285" s="2">
        <f>IF(AN285=0,L285,0)</f>
        <v>0</v>
      </c>
      <c r="AK285" s="2">
        <f>IF(AN285=15,L285,0)</f>
        <v>0</v>
      </c>
      <c r="AL285" s="2">
        <f>IF(AN285=21,L285,0)</f>
        <v>0</v>
      </c>
      <c r="AN285" s="2">
        <v>15</v>
      </c>
      <c r="AO285" s="2">
        <f>I285*0.8</f>
        <v>0</v>
      </c>
      <c r="AP285" s="2">
        <f>I285*(1-0.8)</f>
        <v>0</v>
      </c>
      <c r="AQ285" s="43" t="s">
        <v>1215</v>
      </c>
      <c r="AV285" s="2">
        <f>AW285+AX285</f>
        <v>0</v>
      </c>
      <c r="AW285" s="2">
        <f>H285*AO285</f>
        <v>0</v>
      </c>
      <c r="AX285" s="2">
        <f>H285*AP285</f>
        <v>0</v>
      </c>
      <c r="AY285" s="43" t="s">
        <v>771</v>
      </c>
      <c r="AZ285" s="43" t="s">
        <v>441</v>
      </c>
      <c r="BA285" s="19" t="s">
        <v>1155</v>
      </c>
      <c r="BC285" s="2">
        <f>AW285+AX285</f>
        <v>0</v>
      </c>
      <c r="BD285" s="2">
        <f>I285/(100-BE285)*100</f>
        <v>0</v>
      </c>
      <c r="BE285" s="2">
        <v>0</v>
      </c>
      <c r="BF285" s="2">
        <f>285</f>
        <v>285</v>
      </c>
      <c r="BH285" s="2">
        <f>H285*AO285</f>
        <v>0</v>
      </c>
      <c r="BI285" s="2">
        <f>H285*AP285</f>
        <v>0</v>
      </c>
      <c r="BJ285" s="2">
        <f>H285*I285</f>
        <v>0</v>
      </c>
      <c r="BK285" s="2"/>
      <c r="BL285" s="2">
        <v>722</v>
      </c>
    </row>
    <row r="286" spans="1:13" ht="13.5" customHeight="1">
      <c r="A286" s="51"/>
      <c r="B286" s="32" t="s">
        <v>639</v>
      </c>
      <c r="C286" s="75" t="s">
        <v>660</v>
      </c>
      <c r="D286" s="76"/>
      <c r="E286" s="76"/>
      <c r="F286" s="76"/>
      <c r="G286" s="76"/>
      <c r="H286" s="76"/>
      <c r="I286" s="76"/>
      <c r="J286" s="76"/>
      <c r="K286" s="76"/>
      <c r="L286" s="76"/>
      <c r="M286" s="77"/>
    </row>
    <row r="287" spans="1:64" ht="15" customHeight="1">
      <c r="A287" s="15" t="s">
        <v>899</v>
      </c>
      <c r="B287" s="14" t="s">
        <v>835</v>
      </c>
      <c r="C287" s="58" t="s">
        <v>851</v>
      </c>
      <c r="D287" s="58"/>
      <c r="E287" s="58"/>
      <c r="F287" s="58"/>
      <c r="G287" s="14" t="s">
        <v>319</v>
      </c>
      <c r="H287" s="2">
        <v>3</v>
      </c>
      <c r="I287" s="2">
        <v>0</v>
      </c>
      <c r="J287" s="2">
        <f>H287*AO287</f>
        <v>0</v>
      </c>
      <c r="K287" s="2">
        <f>H287*AP287</f>
        <v>0</v>
      </c>
      <c r="L287" s="2">
        <f>H287*I287</f>
        <v>0</v>
      </c>
      <c r="M287" s="7" t="s">
        <v>831</v>
      </c>
      <c r="Z287" s="2">
        <f>IF(AQ287="5",BJ287,0)</f>
        <v>0</v>
      </c>
      <c r="AB287" s="2">
        <f>IF(AQ287="1",BH287,0)</f>
        <v>0</v>
      </c>
      <c r="AC287" s="2">
        <f>IF(AQ287="1",BI287,0)</f>
        <v>0</v>
      </c>
      <c r="AD287" s="2">
        <f>IF(AQ287="7",BH287,0)</f>
        <v>0</v>
      </c>
      <c r="AE287" s="2">
        <f>IF(AQ287="7",BI287,0)</f>
        <v>0</v>
      </c>
      <c r="AF287" s="2">
        <f>IF(AQ287="2",BH287,0)</f>
        <v>0</v>
      </c>
      <c r="AG287" s="2">
        <f>IF(AQ287="2",BI287,0)</f>
        <v>0</v>
      </c>
      <c r="AH287" s="2">
        <f>IF(AQ287="0",BJ287,0)</f>
        <v>0</v>
      </c>
      <c r="AI287" s="19" t="s">
        <v>255</v>
      </c>
      <c r="AJ287" s="2">
        <f>IF(AN287=0,L287,0)</f>
        <v>0</v>
      </c>
      <c r="AK287" s="2">
        <f>IF(AN287=15,L287,0)</f>
        <v>0</v>
      </c>
      <c r="AL287" s="2">
        <f>IF(AN287=21,L287,0)</f>
        <v>0</v>
      </c>
      <c r="AN287" s="2">
        <v>15</v>
      </c>
      <c r="AO287" s="2">
        <f>I287*0.971899419729207</f>
        <v>0</v>
      </c>
      <c r="AP287" s="2">
        <f>I287*(1-0.971899419729207)</f>
        <v>0</v>
      </c>
      <c r="AQ287" s="43" t="s">
        <v>1215</v>
      </c>
      <c r="AV287" s="2">
        <f>AW287+AX287</f>
        <v>0</v>
      </c>
      <c r="AW287" s="2">
        <f>H287*AO287</f>
        <v>0</v>
      </c>
      <c r="AX287" s="2">
        <f>H287*AP287</f>
        <v>0</v>
      </c>
      <c r="AY287" s="43" t="s">
        <v>771</v>
      </c>
      <c r="AZ287" s="43" t="s">
        <v>441</v>
      </c>
      <c r="BA287" s="19" t="s">
        <v>1155</v>
      </c>
      <c r="BC287" s="2">
        <f>AW287+AX287</f>
        <v>0</v>
      </c>
      <c r="BD287" s="2">
        <f>I287/(100-BE287)*100</f>
        <v>0</v>
      </c>
      <c r="BE287" s="2">
        <v>0</v>
      </c>
      <c r="BF287" s="2">
        <f>287</f>
        <v>287</v>
      </c>
      <c r="BH287" s="2">
        <f>H287*AO287</f>
        <v>0</v>
      </c>
      <c r="BI287" s="2">
        <f>H287*AP287</f>
        <v>0</v>
      </c>
      <c r="BJ287" s="2">
        <f>H287*I287</f>
        <v>0</v>
      </c>
      <c r="BK287" s="2"/>
      <c r="BL287" s="2">
        <v>722</v>
      </c>
    </row>
    <row r="288" spans="1:64" ht="15" customHeight="1">
      <c r="A288" s="15" t="s">
        <v>1339</v>
      </c>
      <c r="B288" s="14" t="s">
        <v>1024</v>
      </c>
      <c r="C288" s="58" t="s">
        <v>104</v>
      </c>
      <c r="D288" s="58"/>
      <c r="E288" s="58"/>
      <c r="F288" s="58"/>
      <c r="G288" s="14" t="s">
        <v>584</v>
      </c>
      <c r="H288" s="2">
        <v>0.201</v>
      </c>
      <c r="I288" s="2">
        <v>0</v>
      </c>
      <c r="J288" s="2">
        <f>H288*AO288</f>
        <v>0</v>
      </c>
      <c r="K288" s="2">
        <f>H288*AP288</f>
        <v>0</v>
      </c>
      <c r="L288" s="2">
        <f>H288*I288</f>
        <v>0</v>
      </c>
      <c r="M288" s="7" t="s">
        <v>831</v>
      </c>
      <c r="Z288" s="2">
        <f>IF(AQ288="5",BJ288,0)</f>
        <v>0</v>
      </c>
      <c r="AB288" s="2">
        <f>IF(AQ288="1",BH288,0)</f>
        <v>0</v>
      </c>
      <c r="AC288" s="2">
        <f>IF(AQ288="1",BI288,0)</f>
        <v>0</v>
      </c>
      <c r="AD288" s="2">
        <f>IF(AQ288="7",BH288,0)</f>
        <v>0</v>
      </c>
      <c r="AE288" s="2">
        <f>IF(AQ288="7",BI288,0)</f>
        <v>0</v>
      </c>
      <c r="AF288" s="2">
        <f>IF(AQ288="2",BH288,0)</f>
        <v>0</v>
      </c>
      <c r="AG288" s="2">
        <f>IF(AQ288="2",BI288,0)</f>
        <v>0</v>
      </c>
      <c r="AH288" s="2">
        <f>IF(AQ288="0",BJ288,0)</f>
        <v>0</v>
      </c>
      <c r="AI288" s="19" t="s">
        <v>255</v>
      </c>
      <c r="AJ288" s="2">
        <f>IF(AN288=0,L288,0)</f>
        <v>0</v>
      </c>
      <c r="AK288" s="2">
        <f>IF(AN288=15,L288,0)</f>
        <v>0</v>
      </c>
      <c r="AL288" s="2">
        <f>IF(AN288=21,L288,0)</f>
        <v>0</v>
      </c>
      <c r="AN288" s="2">
        <v>15</v>
      </c>
      <c r="AO288" s="2">
        <f>I288*0</f>
        <v>0</v>
      </c>
      <c r="AP288" s="2">
        <f>I288*(1-0)</f>
        <v>0</v>
      </c>
      <c r="AQ288" s="43" t="s">
        <v>655</v>
      </c>
      <c r="AV288" s="2">
        <f>AW288+AX288</f>
        <v>0</v>
      </c>
      <c r="AW288" s="2">
        <f>H288*AO288</f>
        <v>0</v>
      </c>
      <c r="AX288" s="2">
        <f>H288*AP288</f>
        <v>0</v>
      </c>
      <c r="AY288" s="43" t="s">
        <v>771</v>
      </c>
      <c r="AZ288" s="43" t="s">
        <v>441</v>
      </c>
      <c r="BA288" s="19" t="s">
        <v>1155</v>
      </c>
      <c r="BC288" s="2">
        <f>AW288+AX288</f>
        <v>0</v>
      </c>
      <c r="BD288" s="2">
        <f>I288/(100-BE288)*100</f>
        <v>0</v>
      </c>
      <c r="BE288" s="2">
        <v>0</v>
      </c>
      <c r="BF288" s="2">
        <f>288</f>
        <v>288</v>
      </c>
      <c r="BH288" s="2">
        <f>H288*AO288</f>
        <v>0</v>
      </c>
      <c r="BI288" s="2">
        <f>H288*AP288</f>
        <v>0</v>
      </c>
      <c r="BJ288" s="2">
        <f>H288*I288</f>
        <v>0</v>
      </c>
      <c r="BK288" s="2"/>
      <c r="BL288" s="2">
        <v>722</v>
      </c>
    </row>
    <row r="289" spans="1:47" ht="15" customHeight="1">
      <c r="A289" s="48" t="s">
        <v>844</v>
      </c>
      <c r="B289" s="17" t="s">
        <v>1166</v>
      </c>
      <c r="C289" s="74" t="s">
        <v>726</v>
      </c>
      <c r="D289" s="74"/>
      <c r="E289" s="74"/>
      <c r="F289" s="74"/>
      <c r="G289" s="40" t="s">
        <v>1110</v>
      </c>
      <c r="H289" s="40" t="s">
        <v>1110</v>
      </c>
      <c r="I289" s="40" t="s">
        <v>1110</v>
      </c>
      <c r="J289" s="23">
        <f>SUM(J290:J299)</f>
        <v>0</v>
      </c>
      <c r="K289" s="23">
        <f>SUM(K290:K299)</f>
        <v>0</v>
      </c>
      <c r="L289" s="23">
        <f>SUM(L290:L299)</f>
        <v>0</v>
      </c>
      <c r="M289" s="37" t="s">
        <v>844</v>
      </c>
      <c r="AI289" s="19" t="s">
        <v>255</v>
      </c>
      <c r="AS289" s="23">
        <f>SUM(AJ290:AJ299)</f>
        <v>0</v>
      </c>
      <c r="AT289" s="23">
        <f>SUM(AK290:AK299)</f>
        <v>0</v>
      </c>
      <c r="AU289" s="23">
        <f>SUM(AL290:AL299)</f>
        <v>0</v>
      </c>
    </row>
    <row r="290" spans="1:64" ht="15" customHeight="1">
      <c r="A290" s="15" t="s">
        <v>374</v>
      </c>
      <c r="B290" s="14" t="s">
        <v>264</v>
      </c>
      <c r="C290" s="58" t="s">
        <v>1039</v>
      </c>
      <c r="D290" s="58"/>
      <c r="E290" s="58"/>
      <c r="F290" s="58"/>
      <c r="G290" s="14" t="s">
        <v>319</v>
      </c>
      <c r="H290" s="2">
        <v>6</v>
      </c>
      <c r="I290" s="2">
        <v>0</v>
      </c>
      <c r="J290" s="2">
        <f aca="true" t="shared" si="66" ref="J290:J297">H290*AO290</f>
        <v>0</v>
      </c>
      <c r="K290" s="2">
        <f aca="true" t="shared" si="67" ref="K290:K297">H290*AP290</f>
        <v>0</v>
      </c>
      <c r="L290" s="2">
        <f aca="true" t="shared" si="68" ref="L290:L297">H290*I290</f>
        <v>0</v>
      </c>
      <c r="M290" s="7" t="s">
        <v>831</v>
      </c>
      <c r="Z290" s="2">
        <f aca="true" t="shared" si="69" ref="Z290:Z297">IF(AQ290="5",BJ290,0)</f>
        <v>0</v>
      </c>
      <c r="AB290" s="2">
        <f aca="true" t="shared" si="70" ref="AB290:AB297">IF(AQ290="1",BH290,0)</f>
        <v>0</v>
      </c>
      <c r="AC290" s="2">
        <f aca="true" t="shared" si="71" ref="AC290:AC297">IF(AQ290="1",BI290,0)</f>
        <v>0</v>
      </c>
      <c r="AD290" s="2">
        <f aca="true" t="shared" si="72" ref="AD290:AD297">IF(AQ290="7",BH290,0)</f>
        <v>0</v>
      </c>
      <c r="AE290" s="2">
        <f aca="true" t="shared" si="73" ref="AE290:AE297">IF(AQ290="7",BI290,0)</f>
        <v>0</v>
      </c>
      <c r="AF290" s="2">
        <f aca="true" t="shared" si="74" ref="AF290:AF297">IF(AQ290="2",BH290,0)</f>
        <v>0</v>
      </c>
      <c r="AG290" s="2">
        <f aca="true" t="shared" si="75" ref="AG290:AG297">IF(AQ290="2",BI290,0)</f>
        <v>0</v>
      </c>
      <c r="AH290" s="2">
        <f aca="true" t="shared" si="76" ref="AH290:AH297">IF(AQ290="0",BJ290,0)</f>
        <v>0</v>
      </c>
      <c r="AI290" s="19" t="s">
        <v>255</v>
      </c>
      <c r="AJ290" s="2">
        <f aca="true" t="shared" si="77" ref="AJ290:AJ297">IF(AN290=0,L290,0)</f>
        <v>0</v>
      </c>
      <c r="AK290" s="2">
        <f aca="true" t="shared" si="78" ref="AK290:AK297">IF(AN290=15,L290,0)</f>
        <v>0</v>
      </c>
      <c r="AL290" s="2">
        <f aca="true" t="shared" si="79" ref="AL290:AL297">IF(AN290=21,L290,0)</f>
        <v>0</v>
      </c>
      <c r="AN290" s="2">
        <v>15</v>
      </c>
      <c r="AO290" s="2">
        <f>I290*0.74491707693895</f>
        <v>0</v>
      </c>
      <c r="AP290" s="2">
        <f>I290*(1-0.74491707693895)</f>
        <v>0</v>
      </c>
      <c r="AQ290" s="43" t="s">
        <v>1215</v>
      </c>
      <c r="AV290" s="2">
        <f aca="true" t="shared" si="80" ref="AV290:AV297">AW290+AX290</f>
        <v>0</v>
      </c>
      <c r="AW290" s="2">
        <f aca="true" t="shared" si="81" ref="AW290:AW297">H290*AO290</f>
        <v>0</v>
      </c>
      <c r="AX290" s="2">
        <f aca="true" t="shared" si="82" ref="AX290:AX297">H290*AP290</f>
        <v>0</v>
      </c>
      <c r="AY290" s="43" t="s">
        <v>566</v>
      </c>
      <c r="AZ290" s="43" t="s">
        <v>441</v>
      </c>
      <c r="BA290" s="19" t="s">
        <v>1155</v>
      </c>
      <c r="BC290" s="2">
        <f aca="true" t="shared" si="83" ref="BC290:BC297">AW290+AX290</f>
        <v>0</v>
      </c>
      <c r="BD290" s="2">
        <f aca="true" t="shared" si="84" ref="BD290:BD297">I290/(100-BE290)*100</f>
        <v>0</v>
      </c>
      <c r="BE290" s="2">
        <v>0</v>
      </c>
      <c r="BF290" s="2">
        <f>290</f>
        <v>290</v>
      </c>
      <c r="BH290" s="2">
        <f aca="true" t="shared" si="85" ref="BH290:BH297">H290*AO290</f>
        <v>0</v>
      </c>
      <c r="BI290" s="2">
        <f aca="true" t="shared" si="86" ref="BI290:BI297">H290*AP290</f>
        <v>0</v>
      </c>
      <c r="BJ290" s="2">
        <f aca="true" t="shared" si="87" ref="BJ290:BJ297">H290*I290</f>
        <v>0</v>
      </c>
      <c r="BK290" s="2"/>
      <c r="BL290" s="2">
        <v>725</v>
      </c>
    </row>
    <row r="291" spans="1:64" ht="15" customHeight="1">
      <c r="A291" s="15" t="s">
        <v>81</v>
      </c>
      <c r="B291" s="14" t="s">
        <v>264</v>
      </c>
      <c r="C291" s="58" t="s">
        <v>738</v>
      </c>
      <c r="D291" s="58"/>
      <c r="E291" s="58"/>
      <c r="F291" s="58"/>
      <c r="G291" s="14" t="s">
        <v>319</v>
      </c>
      <c r="H291" s="2">
        <v>3</v>
      </c>
      <c r="I291" s="2">
        <v>0</v>
      </c>
      <c r="J291" s="2">
        <f t="shared" si="66"/>
        <v>0</v>
      </c>
      <c r="K291" s="2">
        <f t="shared" si="67"/>
        <v>0</v>
      </c>
      <c r="L291" s="2">
        <f t="shared" si="68"/>
        <v>0</v>
      </c>
      <c r="M291" s="7" t="s">
        <v>831</v>
      </c>
      <c r="Z291" s="2">
        <f t="shared" si="69"/>
        <v>0</v>
      </c>
      <c r="AB291" s="2">
        <f t="shared" si="70"/>
        <v>0</v>
      </c>
      <c r="AC291" s="2">
        <f t="shared" si="71"/>
        <v>0</v>
      </c>
      <c r="AD291" s="2">
        <f t="shared" si="72"/>
        <v>0</v>
      </c>
      <c r="AE291" s="2">
        <f t="shared" si="73"/>
        <v>0</v>
      </c>
      <c r="AF291" s="2">
        <f t="shared" si="74"/>
        <v>0</v>
      </c>
      <c r="AG291" s="2">
        <f t="shared" si="75"/>
        <v>0</v>
      </c>
      <c r="AH291" s="2">
        <f t="shared" si="76"/>
        <v>0</v>
      </c>
      <c r="AI291" s="19" t="s">
        <v>255</v>
      </c>
      <c r="AJ291" s="2">
        <f t="shared" si="77"/>
        <v>0</v>
      </c>
      <c r="AK291" s="2">
        <f t="shared" si="78"/>
        <v>0</v>
      </c>
      <c r="AL291" s="2">
        <f t="shared" si="79"/>
        <v>0</v>
      </c>
      <c r="AN291" s="2">
        <v>15</v>
      </c>
      <c r="AO291" s="2">
        <f>I291*0.66520625</f>
        <v>0</v>
      </c>
      <c r="AP291" s="2">
        <f>I291*(1-0.66520625)</f>
        <v>0</v>
      </c>
      <c r="AQ291" s="43" t="s">
        <v>1215</v>
      </c>
      <c r="AV291" s="2">
        <f t="shared" si="80"/>
        <v>0</v>
      </c>
      <c r="AW291" s="2">
        <f t="shared" si="81"/>
        <v>0</v>
      </c>
      <c r="AX291" s="2">
        <f t="shared" si="82"/>
        <v>0</v>
      </c>
      <c r="AY291" s="43" t="s">
        <v>566</v>
      </c>
      <c r="AZ291" s="43" t="s">
        <v>441</v>
      </c>
      <c r="BA291" s="19" t="s">
        <v>1155</v>
      </c>
      <c r="BC291" s="2">
        <f t="shared" si="83"/>
        <v>0</v>
      </c>
      <c r="BD291" s="2">
        <f t="shared" si="84"/>
        <v>0</v>
      </c>
      <c r="BE291" s="2">
        <v>0</v>
      </c>
      <c r="BF291" s="2">
        <f>291</f>
        <v>291</v>
      </c>
      <c r="BH291" s="2">
        <f t="shared" si="85"/>
        <v>0</v>
      </c>
      <c r="BI291" s="2">
        <f t="shared" si="86"/>
        <v>0</v>
      </c>
      <c r="BJ291" s="2">
        <f t="shared" si="87"/>
        <v>0</v>
      </c>
      <c r="BK291" s="2"/>
      <c r="BL291" s="2">
        <v>725</v>
      </c>
    </row>
    <row r="292" spans="1:64" ht="15" customHeight="1">
      <c r="A292" s="15" t="s">
        <v>203</v>
      </c>
      <c r="B292" s="14" t="s">
        <v>204</v>
      </c>
      <c r="C292" s="58" t="s">
        <v>228</v>
      </c>
      <c r="D292" s="58"/>
      <c r="E292" s="58"/>
      <c r="F292" s="58"/>
      <c r="G292" s="14" t="s">
        <v>319</v>
      </c>
      <c r="H292" s="2">
        <v>3</v>
      </c>
      <c r="I292" s="2">
        <v>0</v>
      </c>
      <c r="J292" s="2">
        <f t="shared" si="66"/>
        <v>0</v>
      </c>
      <c r="K292" s="2">
        <f t="shared" si="67"/>
        <v>0</v>
      </c>
      <c r="L292" s="2">
        <f t="shared" si="68"/>
        <v>0</v>
      </c>
      <c r="M292" s="7" t="s">
        <v>831</v>
      </c>
      <c r="Z292" s="2">
        <f t="shared" si="69"/>
        <v>0</v>
      </c>
      <c r="AB292" s="2">
        <f t="shared" si="70"/>
        <v>0</v>
      </c>
      <c r="AC292" s="2">
        <f t="shared" si="71"/>
        <v>0</v>
      </c>
      <c r="AD292" s="2">
        <f t="shared" si="72"/>
        <v>0</v>
      </c>
      <c r="AE292" s="2">
        <f t="shared" si="73"/>
        <v>0</v>
      </c>
      <c r="AF292" s="2">
        <f t="shared" si="74"/>
        <v>0</v>
      </c>
      <c r="AG292" s="2">
        <f t="shared" si="75"/>
        <v>0</v>
      </c>
      <c r="AH292" s="2">
        <f t="shared" si="76"/>
        <v>0</v>
      </c>
      <c r="AI292" s="19" t="s">
        <v>255</v>
      </c>
      <c r="AJ292" s="2">
        <f t="shared" si="77"/>
        <v>0</v>
      </c>
      <c r="AK292" s="2">
        <f t="shared" si="78"/>
        <v>0</v>
      </c>
      <c r="AL292" s="2">
        <f t="shared" si="79"/>
        <v>0</v>
      </c>
      <c r="AN292" s="2">
        <v>15</v>
      </c>
      <c r="AO292" s="2">
        <f>I292*0.7677734375</f>
        <v>0</v>
      </c>
      <c r="AP292" s="2">
        <f>I292*(1-0.7677734375)</f>
        <v>0</v>
      </c>
      <c r="AQ292" s="43" t="s">
        <v>1215</v>
      </c>
      <c r="AV292" s="2">
        <f t="shared" si="80"/>
        <v>0</v>
      </c>
      <c r="AW292" s="2">
        <f t="shared" si="81"/>
        <v>0</v>
      </c>
      <c r="AX292" s="2">
        <f t="shared" si="82"/>
        <v>0</v>
      </c>
      <c r="AY292" s="43" t="s">
        <v>566</v>
      </c>
      <c r="AZ292" s="43" t="s">
        <v>441</v>
      </c>
      <c r="BA292" s="19" t="s">
        <v>1155</v>
      </c>
      <c r="BC292" s="2">
        <f t="shared" si="83"/>
        <v>0</v>
      </c>
      <c r="BD292" s="2">
        <f t="shared" si="84"/>
        <v>0</v>
      </c>
      <c r="BE292" s="2">
        <v>0</v>
      </c>
      <c r="BF292" s="2">
        <f>292</f>
        <v>292</v>
      </c>
      <c r="BH292" s="2">
        <f t="shared" si="85"/>
        <v>0</v>
      </c>
      <c r="BI292" s="2">
        <f t="shared" si="86"/>
        <v>0</v>
      </c>
      <c r="BJ292" s="2">
        <f t="shared" si="87"/>
        <v>0</v>
      </c>
      <c r="BK292" s="2"/>
      <c r="BL292" s="2">
        <v>725</v>
      </c>
    </row>
    <row r="293" spans="1:64" ht="15" customHeight="1">
      <c r="A293" s="15" t="s">
        <v>1099</v>
      </c>
      <c r="B293" s="14" t="s">
        <v>150</v>
      </c>
      <c r="C293" s="58" t="s">
        <v>1203</v>
      </c>
      <c r="D293" s="58"/>
      <c r="E293" s="58"/>
      <c r="F293" s="58"/>
      <c r="G293" s="14" t="s">
        <v>319</v>
      </c>
      <c r="H293" s="2">
        <v>3</v>
      </c>
      <c r="I293" s="2">
        <v>0</v>
      </c>
      <c r="J293" s="2">
        <f t="shared" si="66"/>
        <v>0</v>
      </c>
      <c r="K293" s="2">
        <f t="shared" si="67"/>
        <v>0</v>
      </c>
      <c r="L293" s="2">
        <f t="shared" si="68"/>
        <v>0</v>
      </c>
      <c r="M293" s="7" t="s">
        <v>831</v>
      </c>
      <c r="Z293" s="2">
        <f t="shared" si="69"/>
        <v>0</v>
      </c>
      <c r="AB293" s="2">
        <f t="shared" si="70"/>
        <v>0</v>
      </c>
      <c r="AC293" s="2">
        <f t="shared" si="71"/>
        <v>0</v>
      </c>
      <c r="AD293" s="2">
        <f t="shared" si="72"/>
        <v>0</v>
      </c>
      <c r="AE293" s="2">
        <f t="shared" si="73"/>
        <v>0</v>
      </c>
      <c r="AF293" s="2">
        <f t="shared" si="74"/>
        <v>0</v>
      </c>
      <c r="AG293" s="2">
        <f t="shared" si="75"/>
        <v>0</v>
      </c>
      <c r="AH293" s="2">
        <f t="shared" si="76"/>
        <v>0</v>
      </c>
      <c r="AI293" s="19" t="s">
        <v>255</v>
      </c>
      <c r="AJ293" s="2">
        <f t="shared" si="77"/>
        <v>0</v>
      </c>
      <c r="AK293" s="2">
        <f t="shared" si="78"/>
        <v>0</v>
      </c>
      <c r="AL293" s="2">
        <f t="shared" si="79"/>
        <v>0</v>
      </c>
      <c r="AN293" s="2">
        <v>15</v>
      </c>
      <c r="AO293" s="2">
        <f>I293*0.746264522147158</f>
        <v>0</v>
      </c>
      <c r="AP293" s="2">
        <f>I293*(1-0.746264522147158)</f>
        <v>0</v>
      </c>
      <c r="AQ293" s="43" t="s">
        <v>1215</v>
      </c>
      <c r="AV293" s="2">
        <f t="shared" si="80"/>
        <v>0</v>
      </c>
      <c r="AW293" s="2">
        <f t="shared" si="81"/>
        <v>0</v>
      </c>
      <c r="AX293" s="2">
        <f t="shared" si="82"/>
        <v>0</v>
      </c>
      <c r="AY293" s="43" t="s">
        <v>566</v>
      </c>
      <c r="AZ293" s="43" t="s">
        <v>441</v>
      </c>
      <c r="BA293" s="19" t="s">
        <v>1155</v>
      </c>
      <c r="BC293" s="2">
        <f t="shared" si="83"/>
        <v>0</v>
      </c>
      <c r="BD293" s="2">
        <f t="shared" si="84"/>
        <v>0</v>
      </c>
      <c r="BE293" s="2">
        <v>0</v>
      </c>
      <c r="BF293" s="2">
        <f>293</f>
        <v>293</v>
      </c>
      <c r="BH293" s="2">
        <f t="shared" si="85"/>
        <v>0</v>
      </c>
      <c r="BI293" s="2">
        <f t="shared" si="86"/>
        <v>0</v>
      </c>
      <c r="BJ293" s="2">
        <f t="shared" si="87"/>
        <v>0</v>
      </c>
      <c r="BK293" s="2"/>
      <c r="BL293" s="2">
        <v>725</v>
      </c>
    </row>
    <row r="294" spans="1:64" ht="15" customHeight="1">
      <c r="A294" s="15" t="s">
        <v>744</v>
      </c>
      <c r="B294" s="14" t="s">
        <v>1022</v>
      </c>
      <c r="C294" s="58" t="s">
        <v>1115</v>
      </c>
      <c r="D294" s="58"/>
      <c r="E294" s="58"/>
      <c r="F294" s="58"/>
      <c r="G294" s="14" t="s">
        <v>319</v>
      </c>
      <c r="H294" s="2">
        <v>3</v>
      </c>
      <c r="I294" s="2">
        <v>0</v>
      </c>
      <c r="J294" s="2">
        <f t="shared" si="66"/>
        <v>0</v>
      </c>
      <c r="K294" s="2">
        <f t="shared" si="67"/>
        <v>0</v>
      </c>
      <c r="L294" s="2">
        <f t="shared" si="68"/>
        <v>0</v>
      </c>
      <c r="M294" s="7" t="s">
        <v>831</v>
      </c>
      <c r="Z294" s="2">
        <f t="shared" si="69"/>
        <v>0</v>
      </c>
      <c r="AB294" s="2">
        <f t="shared" si="70"/>
        <v>0</v>
      </c>
      <c r="AC294" s="2">
        <f t="shared" si="71"/>
        <v>0</v>
      </c>
      <c r="AD294" s="2">
        <f t="shared" si="72"/>
        <v>0</v>
      </c>
      <c r="AE294" s="2">
        <f t="shared" si="73"/>
        <v>0</v>
      </c>
      <c r="AF294" s="2">
        <f t="shared" si="74"/>
        <v>0</v>
      </c>
      <c r="AG294" s="2">
        <f t="shared" si="75"/>
        <v>0</v>
      </c>
      <c r="AH294" s="2">
        <f t="shared" si="76"/>
        <v>0</v>
      </c>
      <c r="AI294" s="19" t="s">
        <v>255</v>
      </c>
      <c r="AJ294" s="2">
        <f t="shared" si="77"/>
        <v>0</v>
      </c>
      <c r="AK294" s="2">
        <f t="shared" si="78"/>
        <v>0</v>
      </c>
      <c r="AL294" s="2">
        <f t="shared" si="79"/>
        <v>0</v>
      </c>
      <c r="AN294" s="2">
        <v>15</v>
      </c>
      <c r="AO294" s="2">
        <f>I294*0.856874676643156</f>
        <v>0</v>
      </c>
      <c r="AP294" s="2">
        <f>I294*(1-0.856874676643156)</f>
        <v>0</v>
      </c>
      <c r="AQ294" s="43" t="s">
        <v>1215</v>
      </c>
      <c r="AV294" s="2">
        <f t="shared" si="80"/>
        <v>0</v>
      </c>
      <c r="AW294" s="2">
        <f t="shared" si="81"/>
        <v>0</v>
      </c>
      <c r="AX294" s="2">
        <f t="shared" si="82"/>
        <v>0</v>
      </c>
      <c r="AY294" s="43" t="s">
        <v>566</v>
      </c>
      <c r="AZ294" s="43" t="s">
        <v>441</v>
      </c>
      <c r="BA294" s="19" t="s">
        <v>1155</v>
      </c>
      <c r="BC294" s="2">
        <f t="shared" si="83"/>
        <v>0</v>
      </c>
      <c r="BD294" s="2">
        <f t="shared" si="84"/>
        <v>0</v>
      </c>
      <c r="BE294" s="2">
        <v>0</v>
      </c>
      <c r="BF294" s="2">
        <f>294</f>
        <v>294</v>
      </c>
      <c r="BH294" s="2">
        <f t="shared" si="85"/>
        <v>0</v>
      </c>
      <c r="BI294" s="2">
        <f t="shared" si="86"/>
        <v>0</v>
      </c>
      <c r="BJ294" s="2">
        <f t="shared" si="87"/>
        <v>0</v>
      </c>
      <c r="BK294" s="2"/>
      <c r="BL294" s="2">
        <v>725</v>
      </c>
    </row>
    <row r="295" spans="1:64" ht="15" customHeight="1">
      <c r="A295" s="15" t="s">
        <v>373</v>
      </c>
      <c r="B295" s="14" t="s">
        <v>1364</v>
      </c>
      <c r="C295" s="58" t="s">
        <v>484</v>
      </c>
      <c r="D295" s="58"/>
      <c r="E295" s="58"/>
      <c r="F295" s="58"/>
      <c r="G295" s="14" t="s">
        <v>449</v>
      </c>
      <c r="H295" s="2">
        <v>6</v>
      </c>
      <c r="I295" s="2">
        <v>0</v>
      </c>
      <c r="J295" s="2">
        <f t="shared" si="66"/>
        <v>0</v>
      </c>
      <c r="K295" s="2">
        <f t="shared" si="67"/>
        <v>0</v>
      </c>
      <c r="L295" s="2">
        <f t="shared" si="68"/>
        <v>0</v>
      </c>
      <c r="M295" s="7" t="s">
        <v>831</v>
      </c>
      <c r="Z295" s="2">
        <f t="shared" si="69"/>
        <v>0</v>
      </c>
      <c r="AB295" s="2">
        <f t="shared" si="70"/>
        <v>0</v>
      </c>
      <c r="AC295" s="2">
        <f t="shared" si="71"/>
        <v>0</v>
      </c>
      <c r="AD295" s="2">
        <f t="shared" si="72"/>
        <v>0</v>
      </c>
      <c r="AE295" s="2">
        <f t="shared" si="73"/>
        <v>0</v>
      </c>
      <c r="AF295" s="2">
        <f t="shared" si="74"/>
        <v>0</v>
      </c>
      <c r="AG295" s="2">
        <f t="shared" si="75"/>
        <v>0</v>
      </c>
      <c r="AH295" s="2">
        <f t="shared" si="76"/>
        <v>0</v>
      </c>
      <c r="AI295" s="19" t="s">
        <v>255</v>
      </c>
      <c r="AJ295" s="2">
        <f t="shared" si="77"/>
        <v>0</v>
      </c>
      <c r="AK295" s="2">
        <f t="shared" si="78"/>
        <v>0</v>
      </c>
      <c r="AL295" s="2">
        <f t="shared" si="79"/>
        <v>0</v>
      </c>
      <c r="AN295" s="2">
        <v>15</v>
      </c>
      <c r="AO295" s="2">
        <f>I295*0.909484210512122</f>
        <v>0</v>
      </c>
      <c r="AP295" s="2">
        <f>I295*(1-0.909484210512122)</f>
        <v>0</v>
      </c>
      <c r="AQ295" s="43" t="s">
        <v>1215</v>
      </c>
      <c r="AV295" s="2">
        <f t="shared" si="80"/>
        <v>0</v>
      </c>
      <c r="AW295" s="2">
        <f t="shared" si="81"/>
        <v>0</v>
      </c>
      <c r="AX295" s="2">
        <f t="shared" si="82"/>
        <v>0</v>
      </c>
      <c r="AY295" s="43" t="s">
        <v>566</v>
      </c>
      <c r="AZ295" s="43" t="s">
        <v>441</v>
      </c>
      <c r="BA295" s="19" t="s">
        <v>1155</v>
      </c>
      <c r="BC295" s="2">
        <f t="shared" si="83"/>
        <v>0</v>
      </c>
      <c r="BD295" s="2">
        <f t="shared" si="84"/>
        <v>0</v>
      </c>
      <c r="BE295" s="2">
        <v>0</v>
      </c>
      <c r="BF295" s="2">
        <f>295</f>
        <v>295</v>
      </c>
      <c r="BH295" s="2">
        <f t="shared" si="85"/>
        <v>0</v>
      </c>
      <c r="BI295" s="2">
        <f t="shared" si="86"/>
        <v>0</v>
      </c>
      <c r="BJ295" s="2">
        <f t="shared" si="87"/>
        <v>0</v>
      </c>
      <c r="BK295" s="2"/>
      <c r="BL295" s="2">
        <v>725</v>
      </c>
    </row>
    <row r="296" spans="1:64" ht="15" customHeight="1">
      <c r="A296" s="15" t="s">
        <v>981</v>
      </c>
      <c r="B296" s="14" t="s">
        <v>48</v>
      </c>
      <c r="C296" s="58" t="s">
        <v>434</v>
      </c>
      <c r="D296" s="58"/>
      <c r="E296" s="58"/>
      <c r="F296" s="58"/>
      <c r="G296" s="14" t="s">
        <v>319</v>
      </c>
      <c r="H296" s="2">
        <v>6</v>
      </c>
      <c r="I296" s="2">
        <v>0</v>
      </c>
      <c r="J296" s="2">
        <f t="shared" si="66"/>
        <v>0</v>
      </c>
      <c r="K296" s="2">
        <f t="shared" si="67"/>
        <v>0</v>
      </c>
      <c r="L296" s="2">
        <f t="shared" si="68"/>
        <v>0</v>
      </c>
      <c r="M296" s="7" t="s">
        <v>831</v>
      </c>
      <c r="Z296" s="2">
        <f t="shared" si="69"/>
        <v>0</v>
      </c>
      <c r="AB296" s="2">
        <f t="shared" si="70"/>
        <v>0</v>
      </c>
      <c r="AC296" s="2">
        <f t="shared" si="71"/>
        <v>0</v>
      </c>
      <c r="AD296" s="2">
        <f t="shared" si="72"/>
        <v>0</v>
      </c>
      <c r="AE296" s="2">
        <f t="shared" si="73"/>
        <v>0</v>
      </c>
      <c r="AF296" s="2">
        <f t="shared" si="74"/>
        <v>0</v>
      </c>
      <c r="AG296" s="2">
        <f t="shared" si="75"/>
        <v>0</v>
      </c>
      <c r="AH296" s="2">
        <f t="shared" si="76"/>
        <v>0</v>
      </c>
      <c r="AI296" s="19" t="s">
        <v>255</v>
      </c>
      <c r="AJ296" s="2">
        <f t="shared" si="77"/>
        <v>0</v>
      </c>
      <c r="AK296" s="2">
        <f t="shared" si="78"/>
        <v>0</v>
      </c>
      <c r="AL296" s="2">
        <f t="shared" si="79"/>
        <v>0</v>
      </c>
      <c r="AN296" s="2">
        <v>15</v>
      </c>
      <c r="AO296" s="2">
        <f>I296*0.843919394406923</f>
        <v>0</v>
      </c>
      <c r="AP296" s="2">
        <f>I296*(1-0.843919394406923)</f>
        <v>0</v>
      </c>
      <c r="AQ296" s="43" t="s">
        <v>1215</v>
      </c>
      <c r="AV296" s="2">
        <f t="shared" si="80"/>
        <v>0</v>
      </c>
      <c r="AW296" s="2">
        <f t="shared" si="81"/>
        <v>0</v>
      </c>
      <c r="AX296" s="2">
        <f t="shared" si="82"/>
        <v>0</v>
      </c>
      <c r="AY296" s="43" t="s">
        <v>566</v>
      </c>
      <c r="AZ296" s="43" t="s">
        <v>441</v>
      </c>
      <c r="BA296" s="19" t="s">
        <v>1155</v>
      </c>
      <c r="BC296" s="2">
        <f t="shared" si="83"/>
        <v>0</v>
      </c>
      <c r="BD296" s="2">
        <f t="shared" si="84"/>
        <v>0</v>
      </c>
      <c r="BE296" s="2">
        <v>0</v>
      </c>
      <c r="BF296" s="2">
        <f>296</f>
        <v>296</v>
      </c>
      <c r="BH296" s="2">
        <f t="shared" si="85"/>
        <v>0</v>
      </c>
      <c r="BI296" s="2">
        <f t="shared" si="86"/>
        <v>0</v>
      </c>
      <c r="BJ296" s="2">
        <f t="shared" si="87"/>
        <v>0</v>
      </c>
      <c r="BK296" s="2"/>
      <c r="BL296" s="2">
        <v>725</v>
      </c>
    </row>
    <row r="297" spans="1:64" ht="15" customHeight="1">
      <c r="A297" s="15" t="s">
        <v>1263</v>
      </c>
      <c r="B297" s="14" t="s">
        <v>93</v>
      </c>
      <c r="C297" s="58" t="s">
        <v>1068</v>
      </c>
      <c r="D297" s="58"/>
      <c r="E297" s="58"/>
      <c r="F297" s="58"/>
      <c r="G297" s="14" t="s">
        <v>319</v>
      </c>
      <c r="H297" s="2">
        <v>3</v>
      </c>
      <c r="I297" s="2">
        <v>0</v>
      </c>
      <c r="J297" s="2">
        <f t="shared" si="66"/>
        <v>0</v>
      </c>
      <c r="K297" s="2">
        <f t="shared" si="67"/>
        <v>0</v>
      </c>
      <c r="L297" s="2">
        <f t="shared" si="68"/>
        <v>0</v>
      </c>
      <c r="M297" s="7" t="s">
        <v>831</v>
      </c>
      <c r="Z297" s="2">
        <f t="shared" si="69"/>
        <v>0</v>
      </c>
      <c r="AB297" s="2">
        <f t="shared" si="70"/>
        <v>0</v>
      </c>
      <c r="AC297" s="2">
        <f t="shared" si="71"/>
        <v>0</v>
      </c>
      <c r="AD297" s="2">
        <f t="shared" si="72"/>
        <v>0</v>
      </c>
      <c r="AE297" s="2">
        <f t="shared" si="73"/>
        <v>0</v>
      </c>
      <c r="AF297" s="2">
        <f t="shared" si="74"/>
        <v>0</v>
      </c>
      <c r="AG297" s="2">
        <f t="shared" si="75"/>
        <v>0</v>
      </c>
      <c r="AH297" s="2">
        <f t="shared" si="76"/>
        <v>0</v>
      </c>
      <c r="AI297" s="19" t="s">
        <v>255</v>
      </c>
      <c r="AJ297" s="2">
        <f t="shared" si="77"/>
        <v>0</v>
      </c>
      <c r="AK297" s="2">
        <f t="shared" si="78"/>
        <v>0</v>
      </c>
      <c r="AL297" s="2">
        <f t="shared" si="79"/>
        <v>0</v>
      </c>
      <c r="AN297" s="2">
        <v>15</v>
      </c>
      <c r="AO297" s="2">
        <f>I297*0.761319073083779</f>
        <v>0</v>
      </c>
      <c r="AP297" s="2">
        <f>I297*(1-0.761319073083779)</f>
        <v>0</v>
      </c>
      <c r="AQ297" s="43" t="s">
        <v>1215</v>
      </c>
      <c r="AV297" s="2">
        <f t="shared" si="80"/>
        <v>0</v>
      </c>
      <c r="AW297" s="2">
        <f t="shared" si="81"/>
        <v>0</v>
      </c>
      <c r="AX297" s="2">
        <f t="shared" si="82"/>
        <v>0</v>
      </c>
      <c r="AY297" s="43" t="s">
        <v>566</v>
      </c>
      <c r="AZ297" s="43" t="s">
        <v>441</v>
      </c>
      <c r="BA297" s="19" t="s">
        <v>1155</v>
      </c>
      <c r="BC297" s="2">
        <f t="shared" si="83"/>
        <v>0</v>
      </c>
      <c r="BD297" s="2">
        <f t="shared" si="84"/>
        <v>0</v>
      </c>
      <c r="BE297" s="2">
        <v>0</v>
      </c>
      <c r="BF297" s="2">
        <f>297</f>
        <v>297</v>
      </c>
      <c r="BH297" s="2">
        <f t="shared" si="85"/>
        <v>0</v>
      </c>
      <c r="BI297" s="2">
        <f t="shared" si="86"/>
        <v>0</v>
      </c>
      <c r="BJ297" s="2">
        <f t="shared" si="87"/>
        <v>0</v>
      </c>
      <c r="BK297" s="2"/>
      <c r="BL297" s="2">
        <v>725</v>
      </c>
    </row>
    <row r="298" spans="1:13" ht="13.5" customHeight="1">
      <c r="A298" s="51"/>
      <c r="B298" s="32" t="s">
        <v>639</v>
      </c>
      <c r="C298" s="75" t="s">
        <v>58</v>
      </c>
      <c r="D298" s="76"/>
      <c r="E298" s="76"/>
      <c r="F298" s="76"/>
      <c r="G298" s="76"/>
      <c r="H298" s="76"/>
      <c r="I298" s="76"/>
      <c r="J298" s="76"/>
      <c r="K298" s="76"/>
      <c r="L298" s="76"/>
      <c r="M298" s="77"/>
    </row>
    <row r="299" spans="1:64" ht="15" customHeight="1">
      <c r="A299" s="15" t="s">
        <v>313</v>
      </c>
      <c r="B299" s="14" t="s">
        <v>952</v>
      </c>
      <c r="C299" s="58" t="s">
        <v>1119</v>
      </c>
      <c r="D299" s="58"/>
      <c r="E299" s="58"/>
      <c r="F299" s="58"/>
      <c r="G299" s="14" t="s">
        <v>584</v>
      </c>
      <c r="H299" s="2">
        <v>1.415</v>
      </c>
      <c r="I299" s="2">
        <v>0</v>
      </c>
      <c r="J299" s="2">
        <f>H299*AO299</f>
        <v>0</v>
      </c>
      <c r="K299" s="2">
        <f>H299*AP299</f>
        <v>0</v>
      </c>
      <c r="L299" s="2">
        <f>H299*I299</f>
        <v>0</v>
      </c>
      <c r="M299" s="7" t="s">
        <v>831</v>
      </c>
      <c r="Z299" s="2">
        <f>IF(AQ299="5",BJ299,0)</f>
        <v>0</v>
      </c>
      <c r="AB299" s="2">
        <f>IF(AQ299="1",BH299,0)</f>
        <v>0</v>
      </c>
      <c r="AC299" s="2">
        <f>IF(AQ299="1",BI299,0)</f>
        <v>0</v>
      </c>
      <c r="AD299" s="2">
        <f>IF(AQ299="7",BH299,0)</f>
        <v>0</v>
      </c>
      <c r="AE299" s="2">
        <f>IF(AQ299="7",BI299,0)</f>
        <v>0</v>
      </c>
      <c r="AF299" s="2">
        <f>IF(AQ299="2",BH299,0)</f>
        <v>0</v>
      </c>
      <c r="AG299" s="2">
        <f>IF(AQ299="2",BI299,0)</f>
        <v>0</v>
      </c>
      <c r="AH299" s="2">
        <f>IF(AQ299="0",BJ299,0)</f>
        <v>0</v>
      </c>
      <c r="AI299" s="19" t="s">
        <v>255</v>
      </c>
      <c r="AJ299" s="2">
        <f>IF(AN299=0,L299,0)</f>
        <v>0</v>
      </c>
      <c r="AK299" s="2">
        <f>IF(AN299=15,L299,0)</f>
        <v>0</v>
      </c>
      <c r="AL299" s="2">
        <f>IF(AN299=21,L299,0)</f>
        <v>0</v>
      </c>
      <c r="AN299" s="2">
        <v>15</v>
      </c>
      <c r="AO299" s="2">
        <f>I299*0</f>
        <v>0</v>
      </c>
      <c r="AP299" s="2">
        <f>I299*(1-0)</f>
        <v>0</v>
      </c>
      <c r="AQ299" s="43" t="s">
        <v>655</v>
      </c>
      <c r="AV299" s="2">
        <f>AW299+AX299</f>
        <v>0</v>
      </c>
      <c r="AW299" s="2">
        <f>H299*AO299</f>
        <v>0</v>
      </c>
      <c r="AX299" s="2">
        <f>H299*AP299</f>
        <v>0</v>
      </c>
      <c r="AY299" s="43" t="s">
        <v>566</v>
      </c>
      <c r="AZ299" s="43" t="s">
        <v>441</v>
      </c>
      <c r="BA299" s="19" t="s">
        <v>1155</v>
      </c>
      <c r="BC299" s="2">
        <f>AW299+AX299</f>
        <v>0</v>
      </c>
      <c r="BD299" s="2">
        <f>I299/(100-BE299)*100</f>
        <v>0</v>
      </c>
      <c r="BE299" s="2">
        <v>0</v>
      </c>
      <c r="BF299" s="2">
        <f>299</f>
        <v>299</v>
      </c>
      <c r="BH299" s="2">
        <f>H299*AO299</f>
        <v>0</v>
      </c>
      <c r="BI299" s="2">
        <f>H299*AP299</f>
        <v>0</v>
      </c>
      <c r="BJ299" s="2">
        <f>H299*I299</f>
        <v>0</v>
      </c>
      <c r="BK299" s="2"/>
      <c r="BL299" s="2">
        <v>725</v>
      </c>
    </row>
    <row r="300" spans="1:47" ht="15" customHeight="1">
      <c r="A300" s="48" t="s">
        <v>844</v>
      </c>
      <c r="B300" s="17" t="s">
        <v>690</v>
      </c>
      <c r="C300" s="74" t="s">
        <v>1277</v>
      </c>
      <c r="D300" s="74"/>
      <c r="E300" s="74"/>
      <c r="F300" s="74"/>
      <c r="G300" s="40" t="s">
        <v>1110</v>
      </c>
      <c r="H300" s="40" t="s">
        <v>1110</v>
      </c>
      <c r="I300" s="40" t="s">
        <v>1110</v>
      </c>
      <c r="J300" s="23">
        <f>SUM(J301:J305)</f>
        <v>0</v>
      </c>
      <c r="K300" s="23">
        <f>SUM(K301:K305)</f>
        <v>0</v>
      </c>
      <c r="L300" s="23">
        <f>SUM(L301:L305)</f>
        <v>0</v>
      </c>
      <c r="M300" s="37" t="s">
        <v>844</v>
      </c>
      <c r="AI300" s="19" t="s">
        <v>255</v>
      </c>
      <c r="AS300" s="23">
        <f>SUM(AJ301:AJ305)</f>
        <v>0</v>
      </c>
      <c r="AT300" s="23">
        <f>SUM(AK301:AK305)</f>
        <v>0</v>
      </c>
      <c r="AU300" s="23">
        <f>SUM(AL301:AL305)</f>
        <v>0</v>
      </c>
    </row>
    <row r="301" spans="1:64" ht="15" customHeight="1">
      <c r="A301" s="15" t="s">
        <v>1297</v>
      </c>
      <c r="B301" s="14" t="s">
        <v>591</v>
      </c>
      <c r="C301" s="58" t="s">
        <v>600</v>
      </c>
      <c r="D301" s="58"/>
      <c r="E301" s="58"/>
      <c r="F301" s="58"/>
      <c r="G301" s="14" t="s">
        <v>319</v>
      </c>
      <c r="H301" s="2">
        <v>6</v>
      </c>
      <c r="I301" s="2">
        <v>0</v>
      </c>
      <c r="J301" s="2">
        <f>H301*AO301</f>
        <v>0</v>
      </c>
      <c r="K301" s="2">
        <f>H301*AP301</f>
        <v>0</v>
      </c>
      <c r="L301" s="2">
        <f>H301*I301</f>
        <v>0</v>
      </c>
      <c r="M301" s="7" t="s">
        <v>831</v>
      </c>
      <c r="Z301" s="2">
        <f>IF(AQ301="5",BJ301,0)</f>
        <v>0</v>
      </c>
      <c r="AB301" s="2">
        <f>IF(AQ301="1",BH301,0)</f>
        <v>0</v>
      </c>
      <c r="AC301" s="2">
        <f>IF(AQ301="1",BI301,0)</f>
        <v>0</v>
      </c>
      <c r="AD301" s="2">
        <f>IF(AQ301="7",BH301,0)</f>
        <v>0</v>
      </c>
      <c r="AE301" s="2">
        <f>IF(AQ301="7",BI301,0)</f>
        <v>0</v>
      </c>
      <c r="AF301" s="2">
        <f>IF(AQ301="2",BH301,0)</f>
        <v>0</v>
      </c>
      <c r="AG301" s="2">
        <f>IF(AQ301="2",BI301,0)</f>
        <v>0</v>
      </c>
      <c r="AH301" s="2">
        <f>IF(AQ301="0",BJ301,0)</f>
        <v>0</v>
      </c>
      <c r="AI301" s="19" t="s">
        <v>255</v>
      </c>
      <c r="AJ301" s="2">
        <f>IF(AN301=0,L301,0)</f>
        <v>0</v>
      </c>
      <c r="AK301" s="2">
        <f>IF(AN301=15,L301,0)</f>
        <v>0</v>
      </c>
      <c r="AL301" s="2">
        <f>IF(AN301=21,L301,0)</f>
        <v>0</v>
      </c>
      <c r="AN301" s="2">
        <v>15</v>
      </c>
      <c r="AO301" s="2">
        <f>I301*0</f>
        <v>0</v>
      </c>
      <c r="AP301" s="2">
        <f>I301*(1-0)</f>
        <v>0</v>
      </c>
      <c r="AQ301" s="43" t="s">
        <v>1215</v>
      </c>
      <c r="AV301" s="2">
        <f>AW301+AX301</f>
        <v>0</v>
      </c>
      <c r="AW301" s="2">
        <f>H301*AO301</f>
        <v>0</v>
      </c>
      <c r="AX301" s="2">
        <f>H301*AP301</f>
        <v>0</v>
      </c>
      <c r="AY301" s="43" t="s">
        <v>972</v>
      </c>
      <c r="AZ301" s="43" t="s">
        <v>441</v>
      </c>
      <c r="BA301" s="19" t="s">
        <v>1155</v>
      </c>
      <c r="BC301" s="2">
        <f>AW301+AX301</f>
        <v>0</v>
      </c>
      <c r="BD301" s="2">
        <f>I301/(100-BE301)*100</f>
        <v>0</v>
      </c>
      <c r="BE301" s="2">
        <v>0</v>
      </c>
      <c r="BF301" s="2">
        <f>301</f>
        <v>301</v>
      </c>
      <c r="BH301" s="2">
        <f>H301*AO301</f>
        <v>0</v>
      </c>
      <c r="BI301" s="2">
        <f>H301*AP301</f>
        <v>0</v>
      </c>
      <c r="BJ301" s="2">
        <f>H301*I301</f>
        <v>0</v>
      </c>
      <c r="BK301" s="2"/>
      <c r="BL301" s="2">
        <v>728</v>
      </c>
    </row>
    <row r="302" spans="1:13" ht="13.5" customHeight="1">
      <c r="A302" s="51"/>
      <c r="B302" s="32" t="s">
        <v>639</v>
      </c>
      <c r="C302" s="75" t="s">
        <v>1131</v>
      </c>
      <c r="D302" s="76"/>
      <c r="E302" s="76"/>
      <c r="F302" s="76"/>
      <c r="G302" s="76"/>
      <c r="H302" s="76"/>
      <c r="I302" s="76"/>
      <c r="J302" s="76"/>
      <c r="K302" s="76"/>
      <c r="L302" s="76"/>
      <c r="M302" s="77"/>
    </row>
    <row r="303" spans="1:64" ht="15" customHeight="1">
      <c r="A303" s="15" t="s">
        <v>412</v>
      </c>
      <c r="B303" s="14" t="s">
        <v>763</v>
      </c>
      <c r="C303" s="58" t="s">
        <v>248</v>
      </c>
      <c r="D303" s="58"/>
      <c r="E303" s="58"/>
      <c r="F303" s="58"/>
      <c r="G303" s="14" t="s">
        <v>319</v>
      </c>
      <c r="H303" s="2">
        <v>6</v>
      </c>
      <c r="I303" s="2">
        <v>0</v>
      </c>
      <c r="J303" s="2">
        <f>H303*AO303</f>
        <v>0</v>
      </c>
      <c r="K303" s="2">
        <f>H303*AP303</f>
        <v>0</v>
      </c>
      <c r="L303" s="2">
        <f>H303*I303</f>
        <v>0</v>
      </c>
      <c r="M303" s="7" t="s">
        <v>831</v>
      </c>
      <c r="Z303" s="2">
        <f>IF(AQ303="5",BJ303,0)</f>
        <v>0</v>
      </c>
      <c r="AB303" s="2">
        <f>IF(AQ303="1",BH303,0)</f>
        <v>0</v>
      </c>
      <c r="AC303" s="2">
        <f>IF(AQ303="1",BI303,0)</f>
        <v>0</v>
      </c>
      <c r="AD303" s="2">
        <f>IF(AQ303="7",BH303,0)</f>
        <v>0</v>
      </c>
      <c r="AE303" s="2">
        <f>IF(AQ303="7",BI303,0)</f>
        <v>0</v>
      </c>
      <c r="AF303" s="2">
        <f>IF(AQ303="2",BH303,0)</f>
        <v>0</v>
      </c>
      <c r="AG303" s="2">
        <f>IF(AQ303="2",BI303,0)</f>
        <v>0</v>
      </c>
      <c r="AH303" s="2">
        <f>IF(AQ303="0",BJ303,0)</f>
        <v>0</v>
      </c>
      <c r="AI303" s="19" t="s">
        <v>255</v>
      </c>
      <c r="AJ303" s="2">
        <f>IF(AN303=0,L303,0)</f>
        <v>0</v>
      </c>
      <c r="AK303" s="2">
        <f>IF(AN303=15,L303,0)</f>
        <v>0</v>
      </c>
      <c r="AL303" s="2">
        <f>IF(AN303=21,L303,0)</f>
        <v>0</v>
      </c>
      <c r="AN303" s="2">
        <v>15</v>
      </c>
      <c r="AO303" s="2">
        <f>I303*1</f>
        <v>0</v>
      </c>
      <c r="AP303" s="2">
        <f>I303*(1-1)</f>
        <v>0</v>
      </c>
      <c r="AQ303" s="43" t="s">
        <v>1215</v>
      </c>
      <c r="AV303" s="2">
        <f>AW303+AX303</f>
        <v>0</v>
      </c>
      <c r="AW303" s="2">
        <f>H303*AO303</f>
        <v>0</v>
      </c>
      <c r="AX303" s="2">
        <f>H303*AP303</f>
        <v>0</v>
      </c>
      <c r="AY303" s="43" t="s">
        <v>972</v>
      </c>
      <c r="AZ303" s="43" t="s">
        <v>441</v>
      </c>
      <c r="BA303" s="19" t="s">
        <v>1155</v>
      </c>
      <c r="BC303" s="2">
        <f>AW303+AX303</f>
        <v>0</v>
      </c>
      <c r="BD303" s="2">
        <f>I303/(100-BE303)*100</f>
        <v>0</v>
      </c>
      <c r="BE303" s="2">
        <v>0</v>
      </c>
      <c r="BF303" s="2">
        <f>303</f>
        <v>303</v>
      </c>
      <c r="BH303" s="2">
        <f>H303*AO303</f>
        <v>0</v>
      </c>
      <c r="BI303" s="2">
        <f>H303*AP303</f>
        <v>0</v>
      </c>
      <c r="BJ303" s="2">
        <f>H303*I303</f>
        <v>0</v>
      </c>
      <c r="BK303" s="2"/>
      <c r="BL303" s="2">
        <v>728</v>
      </c>
    </row>
    <row r="304" spans="1:64" ht="15" customHeight="1">
      <c r="A304" s="15" t="s">
        <v>974</v>
      </c>
      <c r="B304" s="14" t="s">
        <v>634</v>
      </c>
      <c r="C304" s="58" t="s">
        <v>753</v>
      </c>
      <c r="D304" s="58"/>
      <c r="E304" s="58"/>
      <c r="F304" s="58"/>
      <c r="G304" s="14" t="s">
        <v>319</v>
      </c>
      <c r="H304" s="2">
        <v>3</v>
      </c>
      <c r="I304" s="2">
        <v>0</v>
      </c>
      <c r="J304" s="2">
        <f>H304*AO304</f>
        <v>0</v>
      </c>
      <c r="K304" s="2">
        <f>H304*AP304</f>
        <v>0</v>
      </c>
      <c r="L304" s="2">
        <f>H304*I304</f>
        <v>0</v>
      </c>
      <c r="M304" s="7" t="s">
        <v>831</v>
      </c>
      <c r="Z304" s="2">
        <f>IF(AQ304="5",BJ304,0)</f>
        <v>0</v>
      </c>
      <c r="AB304" s="2">
        <f>IF(AQ304="1",BH304,0)</f>
        <v>0</v>
      </c>
      <c r="AC304" s="2">
        <f>IF(AQ304="1",BI304,0)</f>
        <v>0</v>
      </c>
      <c r="AD304" s="2">
        <f>IF(AQ304="7",BH304,0)</f>
        <v>0</v>
      </c>
      <c r="AE304" s="2">
        <f>IF(AQ304="7",BI304,0)</f>
        <v>0</v>
      </c>
      <c r="AF304" s="2">
        <f>IF(AQ304="2",BH304,0)</f>
        <v>0</v>
      </c>
      <c r="AG304" s="2">
        <f>IF(AQ304="2",BI304,0)</f>
        <v>0</v>
      </c>
      <c r="AH304" s="2">
        <f>IF(AQ304="0",BJ304,0)</f>
        <v>0</v>
      </c>
      <c r="AI304" s="19" t="s">
        <v>255</v>
      </c>
      <c r="AJ304" s="2">
        <f>IF(AN304=0,L304,0)</f>
        <v>0</v>
      </c>
      <c r="AK304" s="2">
        <f>IF(AN304=15,L304,0)</f>
        <v>0</v>
      </c>
      <c r="AL304" s="2">
        <f>IF(AN304=21,L304,0)</f>
        <v>0</v>
      </c>
      <c r="AN304" s="2">
        <v>15</v>
      </c>
      <c r="AO304" s="2">
        <f>I304*0</f>
        <v>0</v>
      </c>
      <c r="AP304" s="2">
        <f>I304*(1-0)</f>
        <v>0</v>
      </c>
      <c r="AQ304" s="43" t="s">
        <v>1215</v>
      </c>
      <c r="AV304" s="2">
        <f>AW304+AX304</f>
        <v>0</v>
      </c>
      <c r="AW304" s="2">
        <f>H304*AO304</f>
        <v>0</v>
      </c>
      <c r="AX304" s="2">
        <f>H304*AP304</f>
        <v>0</v>
      </c>
      <c r="AY304" s="43" t="s">
        <v>972</v>
      </c>
      <c r="AZ304" s="43" t="s">
        <v>441</v>
      </c>
      <c r="BA304" s="19" t="s">
        <v>1155</v>
      </c>
      <c r="BC304" s="2">
        <f>AW304+AX304</f>
        <v>0</v>
      </c>
      <c r="BD304" s="2">
        <f>I304/(100-BE304)*100</f>
        <v>0</v>
      </c>
      <c r="BE304" s="2">
        <v>0</v>
      </c>
      <c r="BF304" s="2">
        <f>304</f>
        <v>304</v>
      </c>
      <c r="BH304" s="2">
        <f>H304*AO304</f>
        <v>0</v>
      </c>
      <c r="BI304" s="2">
        <f>H304*AP304</f>
        <v>0</v>
      </c>
      <c r="BJ304" s="2">
        <f>H304*I304</f>
        <v>0</v>
      </c>
      <c r="BK304" s="2"/>
      <c r="BL304" s="2">
        <v>728</v>
      </c>
    </row>
    <row r="305" spans="1:64" ht="15" customHeight="1">
      <c r="A305" s="15" t="s">
        <v>651</v>
      </c>
      <c r="B305" s="14" t="s">
        <v>1017</v>
      </c>
      <c r="C305" s="58" t="s">
        <v>356</v>
      </c>
      <c r="D305" s="58"/>
      <c r="E305" s="58"/>
      <c r="F305" s="58"/>
      <c r="G305" s="14" t="s">
        <v>319</v>
      </c>
      <c r="H305" s="2">
        <v>3</v>
      </c>
      <c r="I305" s="2">
        <v>0</v>
      </c>
      <c r="J305" s="2">
        <f>H305*AO305</f>
        <v>0</v>
      </c>
      <c r="K305" s="2">
        <f>H305*AP305</f>
        <v>0</v>
      </c>
      <c r="L305" s="2">
        <f>H305*I305</f>
        <v>0</v>
      </c>
      <c r="M305" s="7" t="s">
        <v>831</v>
      </c>
      <c r="Z305" s="2">
        <f>IF(AQ305="5",BJ305,0)</f>
        <v>0</v>
      </c>
      <c r="AB305" s="2">
        <f>IF(AQ305="1",BH305,0)</f>
        <v>0</v>
      </c>
      <c r="AC305" s="2">
        <f>IF(AQ305="1",BI305,0)</f>
        <v>0</v>
      </c>
      <c r="AD305" s="2">
        <f>IF(AQ305="7",BH305,0)</f>
        <v>0</v>
      </c>
      <c r="AE305" s="2">
        <f>IF(AQ305="7",BI305,0)</f>
        <v>0</v>
      </c>
      <c r="AF305" s="2">
        <f>IF(AQ305="2",BH305,0)</f>
        <v>0</v>
      </c>
      <c r="AG305" s="2">
        <f>IF(AQ305="2",BI305,0)</f>
        <v>0</v>
      </c>
      <c r="AH305" s="2">
        <f>IF(AQ305="0",BJ305,0)</f>
        <v>0</v>
      </c>
      <c r="AI305" s="19" t="s">
        <v>255</v>
      </c>
      <c r="AJ305" s="2">
        <f>IF(AN305=0,L305,0)</f>
        <v>0</v>
      </c>
      <c r="AK305" s="2">
        <f>IF(AN305=15,L305,0)</f>
        <v>0</v>
      </c>
      <c r="AL305" s="2">
        <f>IF(AN305=21,L305,0)</f>
        <v>0</v>
      </c>
      <c r="AN305" s="2">
        <v>15</v>
      </c>
      <c r="AO305" s="2">
        <f>I305*1</f>
        <v>0</v>
      </c>
      <c r="AP305" s="2">
        <f>I305*(1-1)</f>
        <v>0</v>
      </c>
      <c r="AQ305" s="43" t="s">
        <v>1215</v>
      </c>
      <c r="AV305" s="2">
        <f>AW305+AX305</f>
        <v>0</v>
      </c>
      <c r="AW305" s="2">
        <f>H305*AO305</f>
        <v>0</v>
      </c>
      <c r="AX305" s="2">
        <f>H305*AP305</f>
        <v>0</v>
      </c>
      <c r="AY305" s="43" t="s">
        <v>972</v>
      </c>
      <c r="AZ305" s="43" t="s">
        <v>441</v>
      </c>
      <c r="BA305" s="19" t="s">
        <v>1155</v>
      </c>
      <c r="BC305" s="2">
        <f>AW305+AX305</f>
        <v>0</v>
      </c>
      <c r="BD305" s="2">
        <f>I305/(100-BE305)*100</f>
        <v>0</v>
      </c>
      <c r="BE305" s="2">
        <v>0</v>
      </c>
      <c r="BF305" s="2">
        <f>305</f>
        <v>305</v>
      </c>
      <c r="BH305" s="2">
        <f>H305*AO305</f>
        <v>0</v>
      </c>
      <c r="BI305" s="2">
        <f>H305*AP305</f>
        <v>0</v>
      </c>
      <c r="BJ305" s="2">
        <f>H305*I305</f>
        <v>0</v>
      </c>
      <c r="BK305" s="2"/>
      <c r="BL305" s="2">
        <v>728</v>
      </c>
    </row>
    <row r="306" spans="1:47" ht="15" customHeight="1">
      <c r="A306" s="48" t="s">
        <v>844</v>
      </c>
      <c r="B306" s="17" t="s">
        <v>487</v>
      </c>
      <c r="C306" s="74" t="s">
        <v>552</v>
      </c>
      <c r="D306" s="74"/>
      <c r="E306" s="74"/>
      <c r="F306" s="74"/>
      <c r="G306" s="40" t="s">
        <v>1110</v>
      </c>
      <c r="H306" s="40" t="s">
        <v>1110</v>
      </c>
      <c r="I306" s="40" t="s">
        <v>1110</v>
      </c>
      <c r="J306" s="23">
        <f>SUM(J307:J314)</f>
        <v>0</v>
      </c>
      <c r="K306" s="23">
        <f>SUM(K307:K314)</f>
        <v>0</v>
      </c>
      <c r="L306" s="23">
        <f>SUM(L307:L314)</f>
        <v>0</v>
      </c>
      <c r="M306" s="37" t="s">
        <v>844</v>
      </c>
      <c r="AI306" s="19" t="s">
        <v>255</v>
      </c>
      <c r="AS306" s="23">
        <f>SUM(AJ307:AJ314)</f>
        <v>0</v>
      </c>
      <c r="AT306" s="23">
        <f>SUM(AK307:AK314)</f>
        <v>0</v>
      </c>
      <c r="AU306" s="23">
        <f>SUM(AL307:AL314)</f>
        <v>0</v>
      </c>
    </row>
    <row r="307" spans="1:64" ht="15" customHeight="1">
      <c r="A307" s="15" t="s">
        <v>29</v>
      </c>
      <c r="B307" s="14" t="s">
        <v>406</v>
      </c>
      <c r="C307" s="58" t="s">
        <v>122</v>
      </c>
      <c r="D307" s="58"/>
      <c r="E307" s="58"/>
      <c r="F307" s="58"/>
      <c r="G307" s="14" t="s">
        <v>933</v>
      </c>
      <c r="H307" s="2">
        <v>3</v>
      </c>
      <c r="I307" s="2">
        <v>0</v>
      </c>
      <c r="J307" s="2">
        <f>H307*AO307</f>
        <v>0</v>
      </c>
      <c r="K307" s="2">
        <f>H307*AP307</f>
        <v>0</v>
      </c>
      <c r="L307" s="2">
        <f>H307*I307</f>
        <v>0</v>
      </c>
      <c r="M307" s="7" t="s">
        <v>844</v>
      </c>
      <c r="Z307" s="2">
        <f>IF(AQ307="5",BJ307,0)</f>
        <v>0</v>
      </c>
      <c r="AB307" s="2">
        <f>IF(AQ307="1",BH307,0)</f>
        <v>0</v>
      </c>
      <c r="AC307" s="2">
        <f>IF(AQ307="1",BI307,0)</f>
        <v>0</v>
      </c>
      <c r="AD307" s="2">
        <f>IF(AQ307="7",BH307,0)</f>
        <v>0</v>
      </c>
      <c r="AE307" s="2">
        <f>IF(AQ307="7",BI307,0)</f>
        <v>0</v>
      </c>
      <c r="AF307" s="2">
        <f>IF(AQ307="2",BH307,0)</f>
        <v>0</v>
      </c>
      <c r="AG307" s="2">
        <f>IF(AQ307="2",BI307,0)</f>
        <v>0</v>
      </c>
      <c r="AH307" s="2">
        <f>IF(AQ307="0",BJ307,0)</f>
        <v>0</v>
      </c>
      <c r="AI307" s="19" t="s">
        <v>255</v>
      </c>
      <c r="AJ307" s="2">
        <f>IF(AN307=0,L307,0)</f>
        <v>0</v>
      </c>
      <c r="AK307" s="2">
        <f>IF(AN307=15,L307,0)</f>
        <v>0</v>
      </c>
      <c r="AL307" s="2">
        <f>IF(AN307=21,L307,0)</f>
        <v>0</v>
      </c>
      <c r="AN307" s="2">
        <v>15</v>
      </c>
      <c r="AO307" s="2">
        <f>I307*0.945578231292517</f>
        <v>0</v>
      </c>
      <c r="AP307" s="2">
        <f>I307*(1-0.945578231292517)</f>
        <v>0</v>
      </c>
      <c r="AQ307" s="43" t="s">
        <v>1215</v>
      </c>
      <c r="AV307" s="2">
        <f>AW307+AX307</f>
        <v>0</v>
      </c>
      <c r="AW307" s="2">
        <f>H307*AO307</f>
        <v>0</v>
      </c>
      <c r="AX307" s="2">
        <f>H307*AP307</f>
        <v>0</v>
      </c>
      <c r="AY307" s="43" t="s">
        <v>372</v>
      </c>
      <c r="AZ307" s="43" t="s">
        <v>431</v>
      </c>
      <c r="BA307" s="19" t="s">
        <v>1155</v>
      </c>
      <c r="BC307" s="2">
        <f>AW307+AX307</f>
        <v>0</v>
      </c>
      <c r="BD307" s="2">
        <f>I307/(100-BE307)*100</f>
        <v>0</v>
      </c>
      <c r="BE307" s="2">
        <v>0</v>
      </c>
      <c r="BF307" s="2">
        <f>307</f>
        <v>307</v>
      </c>
      <c r="BH307" s="2">
        <f>H307*AO307</f>
        <v>0</v>
      </c>
      <c r="BI307" s="2">
        <f>H307*AP307</f>
        <v>0</v>
      </c>
      <c r="BJ307" s="2">
        <f>H307*I307</f>
        <v>0</v>
      </c>
      <c r="BK307" s="2"/>
      <c r="BL307" s="2">
        <v>731</v>
      </c>
    </row>
    <row r="308" spans="1:13" ht="13.5" customHeight="1">
      <c r="A308" s="51"/>
      <c r="B308" s="32" t="s">
        <v>639</v>
      </c>
      <c r="C308" s="75" t="s">
        <v>660</v>
      </c>
      <c r="D308" s="76"/>
      <c r="E308" s="76"/>
      <c r="F308" s="76"/>
      <c r="G308" s="76"/>
      <c r="H308" s="76"/>
      <c r="I308" s="76"/>
      <c r="J308" s="76"/>
      <c r="K308" s="76"/>
      <c r="L308" s="76"/>
      <c r="M308" s="77"/>
    </row>
    <row r="309" spans="1:64" ht="15" customHeight="1">
      <c r="A309" s="15" t="s">
        <v>911</v>
      </c>
      <c r="B309" s="14" t="s">
        <v>406</v>
      </c>
      <c r="C309" s="58" t="s">
        <v>1144</v>
      </c>
      <c r="D309" s="58"/>
      <c r="E309" s="58"/>
      <c r="F309" s="58"/>
      <c r="G309" s="14" t="s">
        <v>933</v>
      </c>
      <c r="H309" s="2">
        <v>3</v>
      </c>
      <c r="I309" s="2">
        <v>0</v>
      </c>
      <c r="J309" s="2">
        <f>H309*AO309</f>
        <v>0</v>
      </c>
      <c r="K309" s="2">
        <f>H309*AP309</f>
        <v>0</v>
      </c>
      <c r="L309" s="2">
        <f>H309*I309</f>
        <v>0</v>
      </c>
      <c r="M309" s="7" t="s">
        <v>844</v>
      </c>
      <c r="Z309" s="2">
        <f>IF(AQ309="5",BJ309,0)</f>
        <v>0</v>
      </c>
      <c r="AB309" s="2">
        <f>IF(AQ309="1",BH309,0)</f>
        <v>0</v>
      </c>
      <c r="AC309" s="2">
        <f>IF(AQ309="1",BI309,0)</f>
        <v>0</v>
      </c>
      <c r="AD309" s="2">
        <f>IF(AQ309="7",BH309,0)</f>
        <v>0</v>
      </c>
      <c r="AE309" s="2">
        <f>IF(AQ309="7",BI309,0)</f>
        <v>0</v>
      </c>
      <c r="AF309" s="2">
        <f>IF(AQ309="2",BH309,0)</f>
        <v>0</v>
      </c>
      <c r="AG309" s="2">
        <f>IF(AQ309="2",BI309,0)</f>
        <v>0</v>
      </c>
      <c r="AH309" s="2">
        <f>IF(AQ309="0",BJ309,0)</f>
        <v>0</v>
      </c>
      <c r="AI309" s="19" t="s">
        <v>255</v>
      </c>
      <c r="AJ309" s="2">
        <f>IF(AN309=0,L309,0)</f>
        <v>0</v>
      </c>
      <c r="AK309" s="2">
        <f>IF(AN309=15,L309,0)</f>
        <v>0</v>
      </c>
      <c r="AL309" s="2">
        <f>IF(AN309=21,L309,0)</f>
        <v>0</v>
      </c>
      <c r="AN309" s="2">
        <v>15</v>
      </c>
      <c r="AO309" s="2">
        <f>I309*1</f>
        <v>0</v>
      </c>
      <c r="AP309" s="2">
        <f>I309*(1-1)</f>
        <v>0</v>
      </c>
      <c r="AQ309" s="43" t="s">
        <v>1215</v>
      </c>
      <c r="AV309" s="2">
        <f>AW309+AX309</f>
        <v>0</v>
      </c>
      <c r="AW309" s="2">
        <f>H309*AO309</f>
        <v>0</v>
      </c>
      <c r="AX309" s="2">
        <f>H309*AP309</f>
        <v>0</v>
      </c>
      <c r="AY309" s="43" t="s">
        <v>372</v>
      </c>
      <c r="AZ309" s="43" t="s">
        <v>431</v>
      </c>
      <c r="BA309" s="19" t="s">
        <v>1155</v>
      </c>
      <c r="BC309" s="2">
        <f>AW309+AX309</f>
        <v>0</v>
      </c>
      <c r="BD309" s="2">
        <f>I309/(100-BE309)*100</f>
        <v>0</v>
      </c>
      <c r="BE309" s="2">
        <v>0</v>
      </c>
      <c r="BF309" s="2">
        <f>309</f>
        <v>309</v>
      </c>
      <c r="BH309" s="2">
        <f>H309*AO309</f>
        <v>0</v>
      </c>
      <c r="BI309" s="2">
        <f>H309*AP309</f>
        <v>0</v>
      </c>
      <c r="BJ309" s="2">
        <f>H309*I309</f>
        <v>0</v>
      </c>
      <c r="BK309" s="2"/>
      <c r="BL309" s="2">
        <v>731</v>
      </c>
    </row>
    <row r="310" spans="1:13" ht="13.5" customHeight="1">
      <c r="A310" s="51"/>
      <c r="B310" s="32" t="s">
        <v>639</v>
      </c>
      <c r="C310" s="75" t="s">
        <v>60</v>
      </c>
      <c r="D310" s="76"/>
      <c r="E310" s="76"/>
      <c r="F310" s="76"/>
      <c r="G310" s="76"/>
      <c r="H310" s="76"/>
      <c r="I310" s="76"/>
      <c r="J310" s="76"/>
      <c r="K310" s="76"/>
      <c r="L310" s="76"/>
      <c r="M310" s="77"/>
    </row>
    <row r="311" spans="1:64" ht="15" customHeight="1">
      <c r="A311" s="15" t="s">
        <v>1300</v>
      </c>
      <c r="B311" s="14" t="s">
        <v>406</v>
      </c>
      <c r="C311" s="58" t="s">
        <v>1257</v>
      </c>
      <c r="D311" s="58"/>
      <c r="E311" s="58"/>
      <c r="F311" s="58"/>
      <c r="G311" s="14" t="s">
        <v>933</v>
      </c>
      <c r="H311" s="2">
        <v>3</v>
      </c>
      <c r="I311" s="2">
        <v>0</v>
      </c>
      <c r="J311" s="2">
        <f>H311*AO311</f>
        <v>0</v>
      </c>
      <c r="K311" s="2">
        <f>H311*AP311</f>
        <v>0</v>
      </c>
      <c r="L311" s="2">
        <f>H311*I311</f>
        <v>0</v>
      </c>
      <c r="M311" s="7" t="s">
        <v>844</v>
      </c>
      <c r="Z311" s="2">
        <f>IF(AQ311="5",BJ311,0)</f>
        <v>0</v>
      </c>
      <c r="AB311" s="2">
        <f>IF(AQ311="1",BH311,0)</f>
        <v>0</v>
      </c>
      <c r="AC311" s="2">
        <f>IF(AQ311="1",BI311,0)</f>
        <v>0</v>
      </c>
      <c r="AD311" s="2">
        <f>IF(AQ311="7",BH311,0)</f>
        <v>0</v>
      </c>
      <c r="AE311" s="2">
        <f>IF(AQ311="7",BI311,0)</f>
        <v>0</v>
      </c>
      <c r="AF311" s="2">
        <f>IF(AQ311="2",BH311,0)</f>
        <v>0</v>
      </c>
      <c r="AG311" s="2">
        <f>IF(AQ311="2",BI311,0)</f>
        <v>0</v>
      </c>
      <c r="AH311" s="2">
        <f>IF(AQ311="0",BJ311,0)</f>
        <v>0</v>
      </c>
      <c r="AI311" s="19" t="s">
        <v>255</v>
      </c>
      <c r="AJ311" s="2">
        <f>IF(AN311=0,L311,0)</f>
        <v>0</v>
      </c>
      <c r="AK311" s="2">
        <f>IF(AN311=15,L311,0)</f>
        <v>0</v>
      </c>
      <c r="AL311" s="2">
        <f>IF(AN311=21,L311,0)</f>
        <v>0</v>
      </c>
      <c r="AN311" s="2">
        <v>15</v>
      </c>
      <c r="AO311" s="2">
        <f>I311*1</f>
        <v>0</v>
      </c>
      <c r="AP311" s="2">
        <f>I311*(1-1)</f>
        <v>0</v>
      </c>
      <c r="AQ311" s="43" t="s">
        <v>1215</v>
      </c>
      <c r="AV311" s="2">
        <f>AW311+AX311</f>
        <v>0</v>
      </c>
      <c r="AW311" s="2">
        <f>H311*AO311</f>
        <v>0</v>
      </c>
      <c r="AX311" s="2">
        <f>H311*AP311</f>
        <v>0</v>
      </c>
      <c r="AY311" s="43" t="s">
        <v>372</v>
      </c>
      <c r="AZ311" s="43" t="s">
        <v>431</v>
      </c>
      <c r="BA311" s="19" t="s">
        <v>1155</v>
      </c>
      <c r="BC311" s="2">
        <f>AW311+AX311</f>
        <v>0</v>
      </c>
      <c r="BD311" s="2">
        <f>I311/(100-BE311)*100</f>
        <v>0</v>
      </c>
      <c r="BE311" s="2">
        <v>0</v>
      </c>
      <c r="BF311" s="2">
        <f>311</f>
        <v>311</v>
      </c>
      <c r="BH311" s="2">
        <f>H311*AO311</f>
        <v>0</v>
      </c>
      <c r="BI311" s="2">
        <f>H311*AP311</f>
        <v>0</v>
      </c>
      <c r="BJ311" s="2">
        <f>H311*I311</f>
        <v>0</v>
      </c>
      <c r="BK311" s="2"/>
      <c r="BL311" s="2">
        <v>731</v>
      </c>
    </row>
    <row r="312" spans="1:13" ht="13.5" customHeight="1">
      <c r="A312" s="51"/>
      <c r="B312" s="32" t="s">
        <v>639</v>
      </c>
      <c r="C312" s="75" t="s">
        <v>60</v>
      </c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64" ht="15" customHeight="1">
      <c r="A313" s="15" t="s">
        <v>1195</v>
      </c>
      <c r="B313" s="14" t="s">
        <v>406</v>
      </c>
      <c r="C313" s="58" t="s">
        <v>43</v>
      </c>
      <c r="D313" s="58"/>
      <c r="E313" s="58"/>
      <c r="F313" s="58"/>
      <c r="G313" s="14" t="s">
        <v>933</v>
      </c>
      <c r="H313" s="2">
        <v>3</v>
      </c>
      <c r="I313" s="2">
        <v>0</v>
      </c>
      <c r="J313" s="2">
        <f>H313*AO313</f>
        <v>0</v>
      </c>
      <c r="K313" s="2">
        <f>H313*AP313</f>
        <v>0</v>
      </c>
      <c r="L313" s="2">
        <f>H313*I313</f>
        <v>0</v>
      </c>
      <c r="M313" s="7" t="s">
        <v>844</v>
      </c>
      <c r="Z313" s="2">
        <f>IF(AQ313="5",BJ313,0)</f>
        <v>0</v>
      </c>
      <c r="AB313" s="2">
        <f>IF(AQ313="1",BH313,0)</f>
        <v>0</v>
      </c>
      <c r="AC313" s="2">
        <f>IF(AQ313="1",BI313,0)</f>
        <v>0</v>
      </c>
      <c r="AD313" s="2">
        <f>IF(AQ313="7",BH313,0)</f>
        <v>0</v>
      </c>
      <c r="AE313" s="2">
        <f>IF(AQ313="7",BI313,0)</f>
        <v>0</v>
      </c>
      <c r="AF313" s="2">
        <f>IF(AQ313="2",BH313,0)</f>
        <v>0</v>
      </c>
      <c r="AG313" s="2">
        <f>IF(AQ313="2",BI313,0)</f>
        <v>0</v>
      </c>
      <c r="AH313" s="2">
        <f>IF(AQ313="0",BJ313,0)</f>
        <v>0</v>
      </c>
      <c r="AI313" s="19" t="s">
        <v>255</v>
      </c>
      <c r="AJ313" s="2">
        <f>IF(AN313=0,L313,0)</f>
        <v>0</v>
      </c>
      <c r="AK313" s="2">
        <f>IF(AN313=15,L313,0)</f>
        <v>0</v>
      </c>
      <c r="AL313" s="2">
        <f>IF(AN313=21,L313,0)</f>
        <v>0</v>
      </c>
      <c r="AN313" s="2">
        <v>15</v>
      </c>
      <c r="AO313" s="2">
        <f>I313*0</f>
        <v>0</v>
      </c>
      <c r="AP313" s="2">
        <f>I313*(1-0)</f>
        <v>0</v>
      </c>
      <c r="AQ313" s="43" t="s">
        <v>1215</v>
      </c>
      <c r="AV313" s="2">
        <f>AW313+AX313</f>
        <v>0</v>
      </c>
      <c r="AW313" s="2">
        <f>H313*AO313</f>
        <v>0</v>
      </c>
      <c r="AX313" s="2">
        <f>H313*AP313</f>
        <v>0</v>
      </c>
      <c r="AY313" s="43" t="s">
        <v>372</v>
      </c>
      <c r="AZ313" s="43" t="s">
        <v>431</v>
      </c>
      <c r="BA313" s="19" t="s">
        <v>1155</v>
      </c>
      <c r="BC313" s="2">
        <f>AW313+AX313</f>
        <v>0</v>
      </c>
      <c r="BD313" s="2">
        <f>I313/(100-BE313)*100</f>
        <v>0</v>
      </c>
      <c r="BE313" s="2">
        <v>0</v>
      </c>
      <c r="BF313" s="2">
        <f>313</f>
        <v>313</v>
      </c>
      <c r="BH313" s="2">
        <f>H313*AO313</f>
        <v>0</v>
      </c>
      <c r="BI313" s="2">
        <f>H313*AP313</f>
        <v>0</v>
      </c>
      <c r="BJ313" s="2">
        <f>H313*I313</f>
        <v>0</v>
      </c>
      <c r="BK313" s="2"/>
      <c r="BL313" s="2">
        <v>731</v>
      </c>
    </row>
    <row r="314" spans="1:64" ht="15" customHeight="1">
      <c r="A314" s="15" t="s">
        <v>930</v>
      </c>
      <c r="B314" s="14" t="s">
        <v>705</v>
      </c>
      <c r="C314" s="58" t="s">
        <v>740</v>
      </c>
      <c r="D314" s="58"/>
      <c r="E314" s="58"/>
      <c r="F314" s="58"/>
      <c r="G314" s="14" t="s">
        <v>555</v>
      </c>
      <c r="H314" s="2">
        <v>72</v>
      </c>
      <c r="I314" s="2">
        <v>0</v>
      </c>
      <c r="J314" s="2">
        <f>H314*AO314</f>
        <v>0</v>
      </c>
      <c r="K314" s="2">
        <f>H314*AP314</f>
        <v>0</v>
      </c>
      <c r="L314" s="2">
        <f>H314*I314</f>
        <v>0</v>
      </c>
      <c r="M314" s="7" t="s">
        <v>831</v>
      </c>
      <c r="Z314" s="2">
        <f>IF(AQ314="5",BJ314,0)</f>
        <v>0</v>
      </c>
      <c r="AB314" s="2">
        <f>IF(AQ314="1",BH314,0)</f>
        <v>0</v>
      </c>
      <c r="AC314" s="2">
        <f>IF(AQ314="1",BI314,0)</f>
        <v>0</v>
      </c>
      <c r="AD314" s="2">
        <f>IF(AQ314="7",BH314,0)</f>
        <v>0</v>
      </c>
      <c r="AE314" s="2">
        <f>IF(AQ314="7",BI314,0)</f>
        <v>0</v>
      </c>
      <c r="AF314" s="2">
        <f>IF(AQ314="2",BH314,0)</f>
        <v>0</v>
      </c>
      <c r="AG314" s="2">
        <f>IF(AQ314="2",BI314,0)</f>
        <v>0</v>
      </c>
      <c r="AH314" s="2">
        <f>IF(AQ314="0",BJ314,0)</f>
        <v>0</v>
      </c>
      <c r="AI314" s="19" t="s">
        <v>255</v>
      </c>
      <c r="AJ314" s="2">
        <f>IF(AN314=0,L314,0)</f>
        <v>0</v>
      </c>
      <c r="AK314" s="2">
        <f>IF(AN314=15,L314,0)</f>
        <v>0</v>
      </c>
      <c r="AL314" s="2">
        <f>IF(AN314=21,L314,0)</f>
        <v>0</v>
      </c>
      <c r="AN314" s="2">
        <v>15</v>
      </c>
      <c r="AO314" s="2">
        <f>I314*0</f>
        <v>0</v>
      </c>
      <c r="AP314" s="2">
        <f>I314*(1-0)</f>
        <v>0</v>
      </c>
      <c r="AQ314" s="43" t="s">
        <v>1215</v>
      </c>
      <c r="AV314" s="2">
        <f>AW314+AX314</f>
        <v>0</v>
      </c>
      <c r="AW314" s="2">
        <f>H314*AO314</f>
        <v>0</v>
      </c>
      <c r="AX314" s="2">
        <f>H314*AP314</f>
        <v>0</v>
      </c>
      <c r="AY314" s="43" t="s">
        <v>372</v>
      </c>
      <c r="AZ314" s="43" t="s">
        <v>431</v>
      </c>
      <c r="BA314" s="19" t="s">
        <v>1155</v>
      </c>
      <c r="BC314" s="2">
        <f>AW314+AX314</f>
        <v>0</v>
      </c>
      <c r="BD314" s="2">
        <f>I314/(100-BE314)*100</f>
        <v>0</v>
      </c>
      <c r="BE314" s="2">
        <v>0</v>
      </c>
      <c r="BF314" s="2">
        <f>314</f>
        <v>314</v>
      </c>
      <c r="BH314" s="2">
        <f>H314*AO314</f>
        <v>0</v>
      </c>
      <c r="BI314" s="2">
        <f>H314*AP314</f>
        <v>0</v>
      </c>
      <c r="BJ314" s="2">
        <f>H314*I314</f>
        <v>0</v>
      </c>
      <c r="BK314" s="2"/>
      <c r="BL314" s="2">
        <v>731</v>
      </c>
    </row>
    <row r="315" spans="1:13" ht="13.5" customHeight="1">
      <c r="A315" s="51"/>
      <c r="B315" s="32" t="s">
        <v>639</v>
      </c>
      <c r="C315" s="75" t="s">
        <v>756</v>
      </c>
      <c r="D315" s="76"/>
      <c r="E315" s="76"/>
      <c r="F315" s="76"/>
      <c r="G315" s="76"/>
      <c r="H315" s="76"/>
      <c r="I315" s="76"/>
      <c r="J315" s="76"/>
      <c r="K315" s="76"/>
      <c r="L315" s="76"/>
      <c r="M315" s="77"/>
    </row>
    <row r="316" spans="1:47" ht="15" customHeight="1">
      <c r="A316" s="48" t="s">
        <v>844</v>
      </c>
      <c r="B316" s="17" t="s">
        <v>806</v>
      </c>
      <c r="C316" s="74" t="s">
        <v>1213</v>
      </c>
      <c r="D316" s="74"/>
      <c r="E316" s="74"/>
      <c r="F316" s="74"/>
      <c r="G316" s="40" t="s">
        <v>1110</v>
      </c>
      <c r="H316" s="40" t="s">
        <v>1110</v>
      </c>
      <c r="I316" s="40" t="s">
        <v>1110</v>
      </c>
      <c r="J316" s="23">
        <f>SUM(J317:J318)</f>
        <v>0</v>
      </c>
      <c r="K316" s="23">
        <f>SUM(K317:K318)</f>
        <v>0</v>
      </c>
      <c r="L316" s="23">
        <f>SUM(L317:L318)</f>
        <v>0</v>
      </c>
      <c r="M316" s="37" t="s">
        <v>844</v>
      </c>
      <c r="AI316" s="19" t="s">
        <v>255</v>
      </c>
      <c r="AS316" s="23">
        <f>SUM(AJ317:AJ318)</f>
        <v>0</v>
      </c>
      <c r="AT316" s="23">
        <f>SUM(AK317:AK318)</f>
        <v>0</v>
      </c>
      <c r="AU316" s="23">
        <f>SUM(AL317:AL318)</f>
        <v>0</v>
      </c>
    </row>
    <row r="317" spans="1:64" ht="15" customHeight="1">
      <c r="A317" s="15" t="s">
        <v>767</v>
      </c>
      <c r="B317" s="14" t="s">
        <v>1276</v>
      </c>
      <c r="C317" s="58" t="s">
        <v>922</v>
      </c>
      <c r="D317" s="58"/>
      <c r="E317" s="58"/>
      <c r="F317" s="58"/>
      <c r="G317" s="14" t="s">
        <v>449</v>
      </c>
      <c r="H317" s="2">
        <v>3</v>
      </c>
      <c r="I317" s="2">
        <v>0</v>
      </c>
      <c r="J317" s="2">
        <f>H317*AO317</f>
        <v>0</v>
      </c>
      <c r="K317" s="2">
        <f>H317*AP317</f>
        <v>0</v>
      </c>
      <c r="L317" s="2">
        <f>H317*I317</f>
        <v>0</v>
      </c>
      <c r="M317" s="7" t="s">
        <v>831</v>
      </c>
      <c r="Z317" s="2">
        <f>IF(AQ317="5",BJ317,0)</f>
        <v>0</v>
      </c>
      <c r="AB317" s="2">
        <f>IF(AQ317="1",BH317,0)</f>
        <v>0</v>
      </c>
      <c r="AC317" s="2">
        <f>IF(AQ317="1",BI317,0)</f>
        <v>0</v>
      </c>
      <c r="AD317" s="2">
        <f>IF(AQ317="7",BH317,0)</f>
        <v>0</v>
      </c>
      <c r="AE317" s="2">
        <f>IF(AQ317="7",BI317,0)</f>
        <v>0</v>
      </c>
      <c r="AF317" s="2">
        <f>IF(AQ317="2",BH317,0)</f>
        <v>0</v>
      </c>
      <c r="AG317" s="2">
        <f>IF(AQ317="2",BI317,0)</f>
        <v>0</v>
      </c>
      <c r="AH317" s="2">
        <f>IF(AQ317="0",BJ317,0)</f>
        <v>0</v>
      </c>
      <c r="AI317" s="19" t="s">
        <v>255</v>
      </c>
      <c r="AJ317" s="2">
        <f>IF(AN317=0,L317,0)</f>
        <v>0</v>
      </c>
      <c r="AK317" s="2">
        <f>IF(AN317=15,L317,0)</f>
        <v>0</v>
      </c>
      <c r="AL317" s="2">
        <f>IF(AN317=21,L317,0)</f>
        <v>0</v>
      </c>
      <c r="AN317" s="2">
        <v>15</v>
      </c>
      <c r="AO317" s="2">
        <f>I317*0.930183394112362</f>
        <v>0</v>
      </c>
      <c r="AP317" s="2">
        <f>I317*(1-0.930183394112362)</f>
        <v>0</v>
      </c>
      <c r="AQ317" s="43" t="s">
        <v>1215</v>
      </c>
      <c r="AV317" s="2">
        <f>AW317+AX317</f>
        <v>0</v>
      </c>
      <c r="AW317" s="2">
        <f>H317*AO317</f>
        <v>0</v>
      </c>
      <c r="AX317" s="2">
        <f>H317*AP317</f>
        <v>0</v>
      </c>
      <c r="AY317" s="43" t="s">
        <v>585</v>
      </c>
      <c r="AZ317" s="43" t="s">
        <v>431</v>
      </c>
      <c r="BA317" s="19" t="s">
        <v>1155</v>
      </c>
      <c r="BC317" s="2">
        <f>AW317+AX317</f>
        <v>0</v>
      </c>
      <c r="BD317" s="2">
        <f>I317/(100-BE317)*100</f>
        <v>0</v>
      </c>
      <c r="BE317" s="2">
        <v>0</v>
      </c>
      <c r="BF317" s="2">
        <f>317</f>
        <v>317</v>
      </c>
      <c r="BH317" s="2">
        <f>H317*AO317</f>
        <v>0</v>
      </c>
      <c r="BI317" s="2">
        <f>H317*AP317</f>
        <v>0</v>
      </c>
      <c r="BJ317" s="2">
        <f>H317*I317</f>
        <v>0</v>
      </c>
      <c r="BK317" s="2"/>
      <c r="BL317" s="2">
        <v>732</v>
      </c>
    </row>
    <row r="318" spans="1:64" ht="15" customHeight="1">
      <c r="A318" s="15" t="s">
        <v>116</v>
      </c>
      <c r="B318" s="14" t="s">
        <v>403</v>
      </c>
      <c r="C318" s="58" t="s">
        <v>1061</v>
      </c>
      <c r="D318" s="58"/>
      <c r="E318" s="58"/>
      <c r="F318" s="58"/>
      <c r="G318" s="14" t="s">
        <v>584</v>
      </c>
      <c r="H318" s="2">
        <v>0.006</v>
      </c>
      <c r="I318" s="2">
        <v>0</v>
      </c>
      <c r="J318" s="2">
        <f>H318*AO318</f>
        <v>0</v>
      </c>
      <c r="K318" s="2">
        <f>H318*AP318</f>
        <v>0</v>
      </c>
      <c r="L318" s="2">
        <f>H318*I318</f>
        <v>0</v>
      </c>
      <c r="M318" s="7" t="s">
        <v>831</v>
      </c>
      <c r="Z318" s="2">
        <f>IF(AQ318="5",BJ318,0)</f>
        <v>0</v>
      </c>
      <c r="AB318" s="2">
        <f>IF(AQ318="1",BH318,0)</f>
        <v>0</v>
      </c>
      <c r="AC318" s="2">
        <f>IF(AQ318="1",BI318,0)</f>
        <v>0</v>
      </c>
      <c r="AD318" s="2">
        <f>IF(AQ318="7",BH318,0)</f>
        <v>0</v>
      </c>
      <c r="AE318" s="2">
        <f>IF(AQ318="7",BI318,0)</f>
        <v>0</v>
      </c>
      <c r="AF318" s="2">
        <f>IF(AQ318="2",BH318,0)</f>
        <v>0</v>
      </c>
      <c r="AG318" s="2">
        <f>IF(AQ318="2",BI318,0)</f>
        <v>0</v>
      </c>
      <c r="AH318" s="2">
        <f>IF(AQ318="0",BJ318,0)</f>
        <v>0</v>
      </c>
      <c r="AI318" s="19" t="s">
        <v>255</v>
      </c>
      <c r="AJ318" s="2">
        <f>IF(AN318=0,L318,0)</f>
        <v>0</v>
      </c>
      <c r="AK318" s="2">
        <f>IF(AN318=15,L318,0)</f>
        <v>0</v>
      </c>
      <c r="AL318" s="2">
        <f>IF(AN318=21,L318,0)</f>
        <v>0</v>
      </c>
      <c r="AN318" s="2">
        <v>15</v>
      </c>
      <c r="AO318" s="2">
        <f>I318*0</f>
        <v>0</v>
      </c>
      <c r="AP318" s="2">
        <f>I318*(1-0)</f>
        <v>0</v>
      </c>
      <c r="AQ318" s="43" t="s">
        <v>655</v>
      </c>
      <c r="AV318" s="2">
        <f>AW318+AX318</f>
        <v>0</v>
      </c>
      <c r="AW318" s="2">
        <f>H318*AO318</f>
        <v>0</v>
      </c>
      <c r="AX318" s="2">
        <f>H318*AP318</f>
        <v>0</v>
      </c>
      <c r="AY318" s="43" t="s">
        <v>585</v>
      </c>
      <c r="AZ318" s="43" t="s">
        <v>431</v>
      </c>
      <c r="BA318" s="19" t="s">
        <v>1155</v>
      </c>
      <c r="BC318" s="2">
        <f>AW318+AX318</f>
        <v>0</v>
      </c>
      <c r="BD318" s="2">
        <f>I318/(100-BE318)*100</f>
        <v>0</v>
      </c>
      <c r="BE318" s="2">
        <v>0</v>
      </c>
      <c r="BF318" s="2">
        <f>318</f>
        <v>318</v>
      </c>
      <c r="BH318" s="2">
        <f>H318*AO318</f>
        <v>0</v>
      </c>
      <c r="BI318" s="2">
        <f>H318*AP318</f>
        <v>0</v>
      </c>
      <c r="BJ318" s="2">
        <f>H318*I318</f>
        <v>0</v>
      </c>
      <c r="BK318" s="2"/>
      <c r="BL318" s="2">
        <v>732</v>
      </c>
    </row>
    <row r="319" spans="1:47" ht="15" customHeight="1">
      <c r="A319" s="48" t="s">
        <v>844</v>
      </c>
      <c r="B319" s="17" t="s">
        <v>1245</v>
      </c>
      <c r="C319" s="74" t="s">
        <v>1014</v>
      </c>
      <c r="D319" s="74"/>
      <c r="E319" s="74"/>
      <c r="F319" s="74"/>
      <c r="G319" s="40" t="s">
        <v>1110</v>
      </c>
      <c r="H319" s="40" t="s">
        <v>1110</v>
      </c>
      <c r="I319" s="40" t="s">
        <v>1110</v>
      </c>
      <c r="J319" s="23">
        <f>SUM(J320:J327)</f>
        <v>0</v>
      </c>
      <c r="K319" s="23">
        <f>SUM(K320:K327)</f>
        <v>0</v>
      </c>
      <c r="L319" s="23">
        <f>SUM(L320:L327)</f>
        <v>0</v>
      </c>
      <c r="M319" s="37" t="s">
        <v>844</v>
      </c>
      <c r="AI319" s="19" t="s">
        <v>255</v>
      </c>
      <c r="AS319" s="23">
        <f>SUM(AJ320:AJ327)</f>
        <v>0</v>
      </c>
      <c r="AT319" s="23">
        <f>SUM(AK320:AK327)</f>
        <v>0</v>
      </c>
      <c r="AU319" s="23">
        <f>SUM(AL320:AL327)</f>
        <v>0</v>
      </c>
    </row>
    <row r="320" spans="1:64" ht="15" customHeight="1">
      <c r="A320" s="15" t="s">
        <v>833</v>
      </c>
      <c r="B320" s="14" t="s">
        <v>41</v>
      </c>
      <c r="C320" s="58" t="s">
        <v>1265</v>
      </c>
      <c r="D320" s="58"/>
      <c r="E320" s="58"/>
      <c r="F320" s="58"/>
      <c r="G320" s="14" t="s">
        <v>999</v>
      </c>
      <c r="H320" s="2">
        <v>21</v>
      </c>
      <c r="I320" s="2">
        <v>0</v>
      </c>
      <c r="J320" s="2">
        <f>H320*AO320</f>
        <v>0</v>
      </c>
      <c r="K320" s="2">
        <f>H320*AP320</f>
        <v>0</v>
      </c>
      <c r="L320" s="2">
        <f>H320*I320</f>
        <v>0</v>
      </c>
      <c r="M320" s="7" t="s">
        <v>831</v>
      </c>
      <c r="Z320" s="2">
        <f>IF(AQ320="5",BJ320,0)</f>
        <v>0</v>
      </c>
      <c r="AB320" s="2">
        <f>IF(AQ320="1",BH320,0)</f>
        <v>0</v>
      </c>
      <c r="AC320" s="2">
        <f>IF(AQ320="1",BI320,0)</f>
        <v>0</v>
      </c>
      <c r="AD320" s="2">
        <f>IF(AQ320="7",BH320,0)</f>
        <v>0</v>
      </c>
      <c r="AE320" s="2">
        <f>IF(AQ320="7",BI320,0)</f>
        <v>0</v>
      </c>
      <c r="AF320" s="2">
        <f>IF(AQ320="2",BH320,0)</f>
        <v>0</v>
      </c>
      <c r="AG320" s="2">
        <f>IF(AQ320="2",BI320,0)</f>
        <v>0</v>
      </c>
      <c r="AH320" s="2">
        <f>IF(AQ320="0",BJ320,0)</f>
        <v>0</v>
      </c>
      <c r="AI320" s="19" t="s">
        <v>255</v>
      </c>
      <c r="AJ320" s="2">
        <f>IF(AN320=0,L320,0)</f>
        <v>0</v>
      </c>
      <c r="AK320" s="2">
        <f>IF(AN320=15,L320,0)</f>
        <v>0</v>
      </c>
      <c r="AL320" s="2">
        <f>IF(AN320=21,L320,0)</f>
        <v>0</v>
      </c>
      <c r="AN320" s="2">
        <v>15</v>
      </c>
      <c r="AO320" s="2">
        <f>I320*0.603619702176403</f>
        <v>0</v>
      </c>
      <c r="AP320" s="2">
        <f>I320*(1-0.603619702176403)</f>
        <v>0</v>
      </c>
      <c r="AQ320" s="43" t="s">
        <v>1215</v>
      </c>
      <c r="AV320" s="2">
        <f>AW320+AX320</f>
        <v>0</v>
      </c>
      <c r="AW320" s="2">
        <f>H320*AO320</f>
        <v>0</v>
      </c>
      <c r="AX320" s="2">
        <f>H320*AP320</f>
        <v>0</v>
      </c>
      <c r="AY320" s="43" t="s">
        <v>124</v>
      </c>
      <c r="AZ320" s="43" t="s">
        <v>431</v>
      </c>
      <c r="BA320" s="19" t="s">
        <v>1155</v>
      </c>
      <c r="BC320" s="2">
        <f>AW320+AX320</f>
        <v>0</v>
      </c>
      <c r="BD320" s="2">
        <f>I320/(100-BE320)*100</f>
        <v>0</v>
      </c>
      <c r="BE320" s="2">
        <v>0</v>
      </c>
      <c r="BF320" s="2">
        <f>320</f>
        <v>320</v>
      </c>
      <c r="BH320" s="2">
        <f>H320*AO320</f>
        <v>0</v>
      </c>
      <c r="BI320" s="2">
        <f>H320*AP320</f>
        <v>0</v>
      </c>
      <c r="BJ320" s="2">
        <f>H320*I320</f>
        <v>0</v>
      </c>
      <c r="BK320" s="2"/>
      <c r="BL320" s="2">
        <v>733</v>
      </c>
    </row>
    <row r="321" spans="1:64" ht="15" customHeight="1">
      <c r="A321" s="15" t="s">
        <v>937</v>
      </c>
      <c r="B321" s="14" t="s">
        <v>923</v>
      </c>
      <c r="C321" s="58" t="s">
        <v>276</v>
      </c>
      <c r="D321" s="58"/>
      <c r="E321" s="58"/>
      <c r="F321" s="58"/>
      <c r="G321" s="14" t="s">
        <v>999</v>
      </c>
      <c r="H321" s="2">
        <v>16.5</v>
      </c>
      <c r="I321" s="2">
        <v>0</v>
      </c>
      <c r="J321" s="2">
        <f>H321*AO321</f>
        <v>0</v>
      </c>
      <c r="K321" s="2">
        <f>H321*AP321</f>
        <v>0</v>
      </c>
      <c r="L321" s="2">
        <f>H321*I321</f>
        <v>0</v>
      </c>
      <c r="M321" s="7" t="s">
        <v>831</v>
      </c>
      <c r="Z321" s="2">
        <f>IF(AQ321="5",BJ321,0)</f>
        <v>0</v>
      </c>
      <c r="AB321" s="2">
        <f>IF(AQ321="1",BH321,0)</f>
        <v>0</v>
      </c>
      <c r="AC321" s="2">
        <f>IF(AQ321="1",BI321,0)</f>
        <v>0</v>
      </c>
      <c r="AD321" s="2">
        <f>IF(AQ321="7",BH321,0)</f>
        <v>0</v>
      </c>
      <c r="AE321" s="2">
        <f>IF(AQ321="7",BI321,0)</f>
        <v>0</v>
      </c>
      <c r="AF321" s="2">
        <f>IF(AQ321="2",BH321,0)</f>
        <v>0</v>
      </c>
      <c r="AG321" s="2">
        <f>IF(AQ321="2",BI321,0)</f>
        <v>0</v>
      </c>
      <c r="AH321" s="2">
        <f>IF(AQ321="0",BJ321,0)</f>
        <v>0</v>
      </c>
      <c r="AI321" s="19" t="s">
        <v>255</v>
      </c>
      <c r="AJ321" s="2">
        <f>IF(AN321=0,L321,0)</f>
        <v>0</v>
      </c>
      <c r="AK321" s="2">
        <f>IF(AN321=15,L321,0)</f>
        <v>0</v>
      </c>
      <c r="AL321" s="2">
        <f>IF(AN321=21,L321,0)</f>
        <v>0</v>
      </c>
      <c r="AN321" s="2">
        <v>15</v>
      </c>
      <c r="AO321" s="2">
        <f>I321*0.688888888888889</f>
        <v>0</v>
      </c>
      <c r="AP321" s="2">
        <f>I321*(1-0.688888888888889)</f>
        <v>0</v>
      </c>
      <c r="AQ321" s="43" t="s">
        <v>1215</v>
      </c>
      <c r="AV321" s="2">
        <f>AW321+AX321</f>
        <v>0</v>
      </c>
      <c r="AW321" s="2">
        <f>H321*AO321</f>
        <v>0</v>
      </c>
      <c r="AX321" s="2">
        <f>H321*AP321</f>
        <v>0</v>
      </c>
      <c r="AY321" s="43" t="s">
        <v>124</v>
      </c>
      <c r="AZ321" s="43" t="s">
        <v>431</v>
      </c>
      <c r="BA321" s="19" t="s">
        <v>1155</v>
      </c>
      <c r="BC321" s="2">
        <f>AW321+AX321</f>
        <v>0</v>
      </c>
      <c r="BD321" s="2">
        <f>I321/(100-BE321)*100</f>
        <v>0</v>
      </c>
      <c r="BE321" s="2">
        <v>0</v>
      </c>
      <c r="BF321" s="2">
        <f>321</f>
        <v>321</v>
      </c>
      <c r="BH321" s="2">
        <f>H321*AO321</f>
        <v>0</v>
      </c>
      <c r="BI321" s="2">
        <f>H321*AP321</f>
        <v>0</v>
      </c>
      <c r="BJ321" s="2">
        <f>H321*I321</f>
        <v>0</v>
      </c>
      <c r="BK321" s="2"/>
      <c r="BL321" s="2">
        <v>733</v>
      </c>
    </row>
    <row r="322" spans="1:64" ht="15" customHeight="1">
      <c r="A322" s="15" t="s">
        <v>307</v>
      </c>
      <c r="B322" s="14" t="s">
        <v>564</v>
      </c>
      <c r="C322" s="58" t="s">
        <v>673</v>
      </c>
      <c r="D322" s="58"/>
      <c r="E322" s="58"/>
      <c r="F322" s="58"/>
      <c r="G322" s="14" t="s">
        <v>999</v>
      </c>
      <c r="H322" s="2">
        <v>37.5</v>
      </c>
      <c r="I322" s="2">
        <v>0</v>
      </c>
      <c r="J322" s="2">
        <f>H322*AO322</f>
        <v>0</v>
      </c>
      <c r="K322" s="2">
        <f>H322*AP322</f>
        <v>0</v>
      </c>
      <c r="L322" s="2">
        <f>H322*I322</f>
        <v>0</v>
      </c>
      <c r="M322" s="7" t="s">
        <v>831</v>
      </c>
      <c r="Z322" s="2">
        <f>IF(AQ322="5",BJ322,0)</f>
        <v>0</v>
      </c>
      <c r="AB322" s="2">
        <f>IF(AQ322="1",BH322,0)</f>
        <v>0</v>
      </c>
      <c r="AC322" s="2">
        <f>IF(AQ322="1",BI322,0)</f>
        <v>0</v>
      </c>
      <c r="AD322" s="2">
        <f>IF(AQ322="7",BH322,0)</f>
        <v>0</v>
      </c>
      <c r="AE322" s="2">
        <f>IF(AQ322="7",BI322,0)</f>
        <v>0</v>
      </c>
      <c r="AF322" s="2">
        <f>IF(AQ322="2",BH322,0)</f>
        <v>0</v>
      </c>
      <c r="AG322" s="2">
        <f>IF(AQ322="2",BI322,0)</f>
        <v>0</v>
      </c>
      <c r="AH322" s="2">
        <f>IF(AQ322="0",BJ322,0)</f>
        <v>0</v>
      </c>
      <c r="AI322" s="19" t="s">
        <v>255</v>
      </c>
      <c r="AJ322" s="2">
        <f>IF(AN322=0,L322,0)</f>
        <v>0</v>
      </c>
      <c r="AK322" s="2">
        <f>IF(AN322=15,L322,0)</f>
        <v>0</v>
      </c>
      <c r="AL322" s="2">
        <f>IF(AN322=21,L322,0)</f>
        <v>0</v>
      </c>
      <c r="AN322" s="2">
        <v>15</v>
      </c>
      <c r="AO322" s="2">
        <f>I322*0.0227933403805497</f>
        <v>0</v>
      </c>
      <c r="AP322" s="2">
        <f>I322*(1-0.0227933403805497)</f>
        <v>0</v>
      </c>
      <c r="AQ322" s="43" t="s">
        <v>1215</v>
      </c>
      <c r="AV322" s="2">
        <f>AW322+AX322</f>
        <v>0</v>
      </c>
      <c r="AW322" s="2">
        <f>H322*AO322</f>
        <v>0</v>
      </c>
      <c r="AX322" s="2">
        <f>H322*AP322</f>
        <v>0</v>
      </c>
      <c r="AY322" s="43" t="s">
        <v>124</v>
      </c>
      <c r="AZ322" s="43" t="s">
        <v>431</v>
      </c>
      <c r="BA322" s="19" t="s">
        <v>1155</v>
      </c>
      <c r="BC322" s="2">
        <f>AW322+AX322</f>
        <v>0</v>
      </c>
      <c r="BD322" s="2">
        <f>I322/(100-BE322)*100</f>
        <v>0</v>
      </c>
      <c r="BE322" s="2">
        <v>0</v>
      </c>
      <c r="BF322" s="2">
        <f>322</f>
        <v>322</v>
      </c>
      <c r="BH322" s="2">
        <f>H322*AO322</f>
        <v>0</v>
      </c>
      <c r="BI322" s="2">
        <f>H322*AP322</f>
        <v>0</v>
      </c>
      <c r="BJ322" s="2">
        <f>H322*I322</f>
        <v>0</v>
      </c>
      <c r="BK322" s="2"/>
      <c r="BL322" s="2">
        <v>733</v>
      </c>
    </row>
    <row r="323" spans="1:64" ht="15" customHeight="1">
      <c r="A323" s="15" t="s">
        <v>1344</v>
      </c>
      <c r="B323" s="14" t="s">
        <v>1033</v>
      </c>
      <c r="C323" s="58" t="s">
        <v>1216</v>
      </c>
      <c r="D323" s="58"/>
      <c r="E323" s="58"/>
      <c r="F323" s="58"/>
      <c r="G323" s="14" t="s">
        <v>999</v>
      </c>
      <c r="H323" s="2">
        <v>21</v>
      </c>
      <c r="I323" s="2">
        <v>0</v>
      </c>
      <c r="J323" s="2">
        <f>H323*AO323</f>
        <v>0</v>
      </c>
      <c r="K323" s="2">
        <f>H323*AP323</f>
        <v>0</v>
      </c>
      <c r="L323" s="2">
        <f>H323*I323</f>
        <v>0</v>
      </c>
      <c r="M323" s="7" t="s">
        <v>831</v>
      </c>
      <c r="Z323" s="2">
        <f>IF(AQ323="5",BJ323,0)</f>
        <v>0</v>
      </c>
      <c r="AB323" s="2">
        <f>IF(AQ323="1",BH323,0)</f>
        <v>0</v>
      </c>
      <c r="AC323" s="2">
        <f>IF(AQ323="1",BI323,0)</f>
        <v>0</v>
      </c>
      <c r="AD323" s="2">
        <f>IF(AQ323="7",BH323,0)</f>
        <v>0</v>
      </c>
      <c r="AE323" s="2">
        <f>IF(AQ323="7",BI323,0)</f>
        <v>0</v>
      </c>
      <c r="AF323" s="2">
        <f>IF(AQ323="2",BH323,0)</f>
        <v>0</v>
      </c>
      <c r="AG323" s="2">
        <f>IF(AQ323="2",BI323,0)</f>
        <v>0</v>
      </c>
      <c r="AH323" s="2">
        <f>IF(AQ323="0",BJ323,0)</f>
        <v>0</v>
      </c>
      <c r="AI323" s="19" t="s">
        <v>255</v>
      </c>
      <c r="AJ323" s="2">
        <f>IF(AN323=0,L323,0)</f>
        <v>0</v>
      </c>
      <c r="AK323" s="2">
        <f>IF(AN323=15,L323,0)</f>
        <v>0</v>
      </c>
      <c r="AL323" s="2">
        <f>IF(AN323=21,L323,0)</f>
        <v>0</v>
      </c>
      <c r="AN323" s="2">
        <v>15</v>
      </c>
      <c r="AO323" s="2">
        <f>I323*0.252048726467331</f>
        <v>0</v>
      </c>
      <c r="AP323" s="2">
        <f>I323*(1-0.252048726467331)</f>
        <v>0</v>
      </c>
      <c r="AQ323" s="43" t="s">
        <v>1215</v>
      </c>
      <c r="AV323" s="2">
        <f>AW323+AX323</f>
        <v>0</v>
      </c>
      <c r="AW323" s="2">
        <f>H323*AO323</f>
        <v>0</v>
      </c>
      <c r="AX323" s="2">
        <f>H323*AP323</f>
        <v>0</v>
      </c>
      <c r="AY323" s="43" t="s">
        <v>124</v>
      </c>
      <c r="AZ323" s="43" t="s">
        <v>431</v>
      </c>
      <c r="BA323" s="19" t="s">
        <v>1155</v>
      </c>
      <c r="BC323" s="2">
        <f>AW323+AX323</f>
        <v>0</v>
      </c>
      <c r="BD323" s="2">
        <f>I323/(100-BE323)*100</f>
        <v>0</v>
      </c>
      <c r="BE323" s="2">
        <v>0</v>
      </c>
      <c r="BF323" s="2">
        <f>323</f>
        <v>323</v>
      </c>
      <c r="BH323" s="2">
        <f>H323*AO323</f>
        <v>0</v>
      </c>
      <c r="BI323" s="2">
        <f>H323*AP323</f>
        <v>0</v>
      </c>
      <c r="BJ323" s="2">
        <f>H323*I323</f>
        <v>0</v>
      </c>
      <c r="BK323" s="2"/>
      <c r="BL323" s="2">
        <v>733</v>
      </c>
    </row>
    <row r="324" spans="1:13" ht="13.5" customHeight="1">
      <c r="A324" s="51"/>
      <c r="B324" s="32" t="s">
        <v>639</v>
      </c>
      <c r="C324" s="75" t="s">
        <v>209</v>
      </c>
      <c r="D324" s="76"/>
      <c r="E324" s="76"/>
      <c r="F324" s="76"/>
      <c r="G324" s="76"/>
      <c r="H324" s="76"/>
      <c r="I324" s="76"/>
      <c r="J324" s="76"/>
      <c r="K324" s="76"/>
      <c r="L324" s="76"/>
      <c r="M324" s="77"/>
    </row>
    <row r="325" spans="1:64" ht="15" customHeight="1">
      <c r="A325" s="15" t="s">
        <v>703</v>
      </c>
      <c r="B325" s="14" t="s">
        <v>280</v>
      </c>
      <c r="C325" s="58" t="s">
        <v>1216</v>
      </c>
      <c r="D325" s="58"/>
      <c r="E325" s="58"/>
      <c r="F325" s="58"/>
      <c r="G325" s="14" t="s">
        <v>999</v>
      </c>
      <c r="H325" s="2">
        <v>0</v>
      </c>
      <c r="I325" s="2">
        <v>0</v>
      </c>
      <c r="J325" s="2">
        <f>H325*AO325</f>
        <v>0</v>
      </c>
      <c r="K325" s="2">
        <f>H325*AP325</f>
        <v>0</v>
      </c>
      <c r="L325" s="2">
        <f>H325*I325</f>
        <v>0</v>
      </c>
      <c r="M325" s="7" t="s">
        <v>831</v>
      </c>
      <c r="Z325" s="2">
        <f>IF(AQ325="5",BJ325,0)</f>
        <v>0</v>
      </c>
      <c r="AB325" s="2">
        <f>IF(AQ325="1",BH325,0)</f>
        <v>0</v>
      </c>
      <c r="AC325" s="2">
        <f>IF(AQ325="1",BI325,0)</f>
        <v>0</v>
      </c>
      <c r="AD325" s="2">
        <f>IF(AQ325="7",BH325,0)</f>
        <v>0</v>
      </c>
      <c r="AE325" s="2">
        <f>IF(AQ325="7",BI325,0)</f>
        <v>0</v>
      </c>
      <c r="AF325" s="2">
        <f>IF(AQ325="2",BH325,0)</f>
        <v>0</v>
      </c>
      <c r="AG325" s="2">
        <f>IF(AQ325="2",BI325,0)</f>
        <v>0</v>
      </c>
      <c r="AH325" s="2">
        <f>IF(AQ325="0",BJ325,0)</f>
        <v>0</v>
      </c>
      <c r="AI325" s="19" t="s">
        <v>255</v>
      </c>
      <c r="AJ325" s="2">
        <f>IF(AN325=0,L325,0)</f>
        <v>0</v>
      </c>
      <c r="AK325" s="2">
        <f>IF(AN325=15,L325,0)</f>
        <v>0</v>
      </c>
      <c r="AL325" s="2">
        <f>IF(AN325=21,L325,0)</f>
        <v>0</v>
      </c>
      <c r="AN325" s="2">
        <v>15</v>
      </c>
      <c r="AO325" s="2">
        <f>I325*0</f>
        <v>0</v>
      </c>
      <c r="AP325" s="2">
        <f>I325*(1-0)</f>
        <v>0</v>
      </c>
      <c r="AQ325" s="43" t="s">
        <v>1215</v>
      </c>
      <c r="AV325" s="2">
        <f>AW325+AX325</f>
        <v>0</v>
      </c>
      <c r="AW325" s="2">
        <f>H325*AO325</f>
        <v>0</v>
      </c>
      <c r="AX325" s="2">
        <f>H325*AP325</f>
        <v>0</v>
      </c>
      <c r="AY325" s="43" t="s">
        <v>124</v>
      </c>
      <c r="AZ325" s="43" t="s">
        <v>431</v>
      </c>
      <c r="BA325" s="19" t="s">
        <v>1155</v>
      </c>
      <c r="BC325" s="2">
        <f>AW325+AX325</f>
        <v>0</v>
      </c>
      <c r="BD325" s="2">
        <f>I325/(100-BE325)*100</f>
        <v>0</v>
      </c>
      <c r="BE325" s="2">
        <v>0</v>
      </c>
      <c r="BF325" s="2">
        <f>325</f>
        <v>325</v>
      </c>
      <c r="BH325" s="2">
        <f>H325*AO325</f>
        <v>0</v>
      </c>
      <c r="BI325" s="2">
        <f>H325*AP325</f>
        <v>0</v>
      </c>
      <c r="BJ325" s="2">
        <f>H325*I325</f>
        <v>0</v>
      </c>
      <c r="BK325" s="2"/>
      <c r="BL325" s="2">
        <v>733</v>
      </c>
    </row>
    <row r="326" spans="1:13" ht="13.5" customHeight="1">
      <c r="A326" s="51"/>
      <c r="B326" s="32" t="s">
        <v>639</v>
      </c>
      <c r="C326" s="75" t="s">
        <v>162</v>
      </c>
      <c r="D326" s="76"/>
      <c r="E326" s="76"/>
      <c r="F326" s="76"/>
      <c r="G326" s="76"/>
      <c r="H326" s="76"/>
      <c r="I326" s="76"/>
      <c r="J326" s="76"/>
      <c r="K326" s="76"/>
      <c r="L326" s="76"/>
      <c r="M326" s="77"/>
    </row>
    <row r="327" spans="1:64" ht="15" customHeight="1">
      <c r="A327" s="15" t="s">
        <v>318</v>
      </c>
      <c r="B327" s="14" t="s">
        <v>378</v>
      </c>
      <c r="C327" s="58" t="s">
        <v>174</v>
      </c>
      <c r="D327" s="58"/>
      <c r="E327" s="58"/>
      <c r="F327" s="58"/>
      <c r="G327" s="14" t="s">
        <v>584</v>
      </c>
      <c r="H327" s="2">
        <v>0.033</v>
      </c>
      <c r="I327" s="2">
        <v>0</v>
      </c>
      <c r="J327" s="2">
        <f>H327*AO327</f>
        <v>0</v>
      </c>
      <c r="K327" s="2">
        <f>H327*AP327</f>
        <v>0</v>
      </c>
      <c r="L327" s="2">
        <f>H327*I327</f>
        <v>0</v>
      </c>
      <c r="M327" s="7" t="s">
        <v>831</v>
      </c>
      <c r="Z327" s="2">
        <f>IF(AQ327="5",BJ327,0)</f>
        <v>0</v>
      </c>
      <c r="AB327" s="2">
        <f>IF(AQ327="1",BH327,0)</f>
        <v>0</v>
      </c>
      <c r="AC327" s="2">
        <f>IF(AQ327="1",BI327,0)</f>
        <v>0</v>
      </c>
      <c r="AD327" s="2">
        <f>IF(AQ327="7",BH327,0)</f>
        <v>0</v>
      </c>
      <c r="AE327" s="2">
        <f>IF(AQ327="7",BI327,0)</f>
        <v>0</v>
      </c>
      <c r="AF327" s="2">
        <f>IF(AQ327="2",BH327,0)</f>
        <v>0</v>
      </c>
      <c r="AG327" s="2">
        <f>IF(AQ327="2",BI327,0)</f>
        <v>0</v>
      </c>
      <c r="AH327" s="2">
        <f>IF(AQ327="0",BJ327,0)</f>
        <v>0</v>
      </c>
      <c r="AI327" s="19" t="s">
        <v>255</v>
      </c>
      <c r="AJ327" s="2">
        <f>IF(AN327=0,L327,0)</f>
        <v>0</v>
      </c>
      <c r="AK327" s="2">
        <f>IF(AN327=15,L327,0)</f>
        <v>0</v>
      </c>
      <c r="AL327" s="2">
        <f>IF(AN327=21,L327,0)</f>
        <v>0</v>
      </c>
      <c r="AN327" s="2">
        <v>15</v>
      </c>
      <c r="AO327" s="2">
        <f>I327*0</f>
        <v>0</v>
      </c>
      <c r="AP327" s="2">
        <f>I327*(1-0)</f>
        <v>0</v>
      </c>
      <c r="AQ327" s="43" t="s">
        <v>655</v>
      </c>
      <c r="AV327" s="2">
        <f>AW327+AX327</f>
        <v>0</v>
      </c>
      <c r="AW327" s="2">
        <f>H327*AO327</f>
        <v>0</v>
      </c>
      <c r="AX327" s="2">
        <f>H327*AP327</f>
        <v>0</v>
      </c>
      <c r="AY327" s="43" t="s">
        <v>124</v>
      </c>
      <c r="AZ327" s="43" t="s">
        <v>431</v>
      </c>
      <c r="BA327" s="19" t="s">
        <v>1155</v>
      </c>
      <c r="BC327" s="2">
        <f>AW327+AX327</f>
        <v>0</v>
      </c>
      <c r="BD327" s="2">
        <f>I327/(100-BE327)*100</f>
        <v>0</v>
      </c>
      <c r="BE327" s="2">
        <v>0</v>
      </c>
      <c r="BF327" s="2">
        <f>327</f>
        <v>327</v>
      </c>
      <c r="BH327" s="2">
        <f>H327*AO327</f>
        <v>0</v>
      </c>
      <c r="BI327" s="2">
        <f>H327*AP327</f>
        <v>0</v>
      </c>
      <c r="BJ327" s="2">
        <f>H327*I327</f>
        <v>0</v>
      </c>
      <c r="BK327" s="2"/>
      <c r="BL327" s="2">
        <v>733</v>
      </c>
    </row>
    <row r="328" spans="1:47" ht="15" customHeight="1">
      <c r="A328" s="48" t="s">
        <v>844</v>
      </c>
      <c r="B328" s="17" t="s">
        <v>1252</v>
      </c>
      <c r="C328" s="74" t="s">
        <v>905</v>
      </c>
      <c r="D328" s="74"/>
      <c r="E328" s="74"/>
      <c r="F328" s="74"/>
      <c r="G328" s="40" t="s">
        <v>1110</v>
      </c>
      <c r="H328" s="40" t="s">
        <v>1110</v>
      </c>
      <c r="I328" s="40" t="s">
        <v>1110</v>
      </c>
      <c r="J328" s="23">
        <f>SUM(J329:J330)</f>
        <v>0</v>
      </c>
      <c r="K328" s="23">
        <f>SUM(K329:K330)</f>
        <v>0</v>
      </c>
      <c r="L328" s="23">
        <f>SUM(L329:L330)</f>
        <v>0</v>
      </c>
      <c r="M328" s="37" t="s">
        <v>844</v>
      </c>
      <c r="AI328" s="19" t="s">
        <v>255</v>
      </c>
      <c r="AS328" s="23">
        <f>SUM(AJ329:AJ330)</f>
        <v>0</v>
      </c>
      <c r="AT328" s="23">
        <f>SUM(AK329:AK330)</f>
        <v>0</v>
      </c>
      <c r="AU328" s="23">
        <f>SUM(AL329:AL330)</f>
        <v>0</v>
      </c>
    </row>
    <row r="329" spans="1:64" ht="15" customHeight="1">
      <c r="A329" s="15" t="s">
        <v>918</v>
      </c>
      <c r="B329" s="14" t="s">
        <v>444</v>
      </c>
      <c r="C329" s="58" t="s">
        <v>53</v>
      </c>
      <c r="D329" s="58"/>
      <c r="E329" s="58"/>
      <c r="F329" s="58"/>
      <c r="G329" s="14" t="s">
        <v>319</v>
      </c>
      <c r="H329" s="2">
        <v>3</v>
      </c>
      <c r="I329" s="2">
        <v>0</v>
      </c>
      <c r="J329" s="2">
        <f>H329*AO329</f>
        <v>0</v>
      </c>
      <c r="K329" s="2">
        <f>H329*AP329</f>
        <v>0</v>
      </c>
      <c r="L329" s="2">
        <f>H329*I329</f>
        <v>0</v>
      </c>
      <c r="M329" s="7" t="s">
        <v>831</v>
      </c>
      <c r="Z329" s="2">
        <f>IF(AQ329="5",BJ329,0)</f>
        <v>0</v>
      </c>
      <c r="AB329" s="2">
        <f>IF(AQ329="1",BH329,0)</f>
        <v>0</v>
      </c>
      <c r="AC329" s="2">
        <f>IF(AQ329="1",BI329,0)</f>
        <v>0</v>
      </c>
      <c r="AD329" s="2">
        <f>IF(AQ329="7",BH329,0)</f>
        <v>0</v>
      </c>
      <c r="AE329" s="2">
        <f>IF(AQ329="7",BI329,0)</f>
        <v>0</v>
      </c>
      <c r="AF329" s="2">
        <f>IF(AQ329="2",BH329,0)</f>
        <v>0</v>
      </c>
      <c r="AG329" s="2">
        <f>IF(AQ329="2",BI329,0)</f>
        <v>0</v>
      </c>
      <c r="AH329" s="2">
        <f>IF(AQ329="0",BJ329,0)</f>
        <v>0</v>
      </c>
      <c r="AI329" s="19" t="s">
        <v>255</v>
      </c>
      <c r="AJ329" s="2">
        <f>IF(AN329=0,L329,0)</f>
        <v>0</v>
      </c>
      <c r="AK329" s="2">
        <f>IF(AN329=15,L329,0)</f>
        <v>0</v>
      </c>
      <c r="AL329" s="2">
        <f>IF(AN329=21,L329,0)</f>
        <v>0</v>
      </c>
      <c r="AN329" s="2">
        <v>15</v>
      </c>
      <c r="AO329" s="2">
        <f>I329*0.909397959183674</f>
        <v>0</v>
      </c>
      <c r="AP329" s="2">
        <f>I329*(1-0.909397959183674)</f>
        <v>0</v>
      </c>
      <c r="AQ329" s="43" t="s">
        <v>1215</v>
      </c>
      <c r="AV329" s="2">
        <f>AW329+AX329</f>
        <v>0</v>
      </c>
      <c r="AW329" s="2">
        <f>H329*AO329</f>
        <v>0</v>
      </c>
      <c r="AX329" s="2">
        <f>H329*AP329</f>
        <v>0</v>
      </c>
      <c r="AY329" s="43" t="s">
        <v>688</v>
      </c>
      <c r="AZ329" s="43" t="s">
        <v>431</v>
      </c>
      <c r="BA329" s="19" t="s">
        <v>1155</v>
      </c>
      <c r="BC329" s="2">
        <f>AW329+AX329</f>
        <v>0</v>
      </c>
      <c r="BD329" s="2">
        <f>I329/(100-BE329)*100</f>
        <v>0</v>
      </c>
      <c r="BE329" s="2">
        <v>0</v>
      </c>
      <c r="BF329" s="2">
        <f>329</f>
        <v>329</v>
      </c>
      <c r="BH329" s="2">
        <f>H329*AO329</f>
        <v>0</v>
      </c>
      <c r="BI329" s="2">
        <f>H329*AP329</f>
        <v>0</v>
      </c>
      <c r="BJ329" s="2">
        <f>H329*I329</f>
        <v>0</v>
      </c>
      <c r="BK329" s="2"/>
      <c r="BL329" s="2">
        <v>735</v>
      </c>
    </row>
    <row r="330" spans="1:64" ht="15" customHeight="1">
      <c r="A330" s="15" t="s">
        <v>624</v>
      </c>
      <c r="B330" s="14" t="s">
        <v>630</v>
      </c>
      <c r="C330" s="58" t="s">
        <v>637</v>
      </c>
      <c r="D330" s="58"/>
      <c r="E330" s="58"/>
      <c r="F330" s="58"/>
      <c r="G330" s="14" t="s">
        <v>584</v>
      </c>
      <c r="H330" s="2">
        <v>0.043</v>
      </c>
      <c r="I330" s="2">
        <v>0</v>
      </c>
      <c r="J330" s="2">
        <f>H330*AO330</f>
        <v>0</v>
      </c>
      <c r="K330" s="2">
        <f>H330*AP330</f>
        <v>0</v>
      </c>
      <c r="L330" s="2">
        <f>H330*I330</f>
        <v>0</v>
      </c>
      <c r="M330" s="7" t="s">
        <v>831</v>
      </c>
      <c r="Z330" s="2">
        <f>IF(AQ330="5",BJ330,0)</f>
        <v>0</v>
      </c>
      <c r="AB330" s="2">
        <f>IF(AQ330="1",BH330,0)</f>
        <v>0</v>
      </c>
      <c r="AC330" s="2">
        <f>IF(AQ330="1",BI330,0)</f>
        <v>0</v>
      </c>
      <c r="AD330" s="2">
        <f>IF(AQ330="7",BH330,0)</f>
        <v>0</v>
      </c>
      <c r="AE330" s="2">
        <f>IF(AQ330="7",BI330,0)</f>
        <v>0</v>
      </c>
      <c r="AF330" s="2">
        <f>IF(AQ330="2",BH330,0)</f>
        <v>0</v>
      </c>
      <c r="AG330" s="2">
        <f>IF(AQ330="2",BI330,0)</f>
        <v>0</v>
      </c>
      <c r="AH330" s="2">
        <f>IF(AQ330="0",BJ330,0)</f>
        <v>0</v>
      </c>
      <c r="AI330" s="19" t="s">
        <v>255</v>
      </c>
      <c r="AJ330" s="2">
        <f>IF(AN330=0,L330,0)</f>
        <v>0</v>
      </c>
      <c r="AK330" s="2">
        <f>IF(AN330=15,L330,0)</f>
        <v>0</v>
      </c>
      <c r="AL330" s="2">
        <f>IF(AN330=21,L330,0)</f>
        <v>0</v>
      </c>
      <c r="AN330" s="2">
        <v>15</v>
      </c>
      <c r="AO330" s="2">
        <f>I330*0</f>
        <v>0</v>
      </c>
      <c r="AP330" s="2">
        <f>I330*(1-0)</f>
        <v>0</v>
      </c>
      <c r="AQ330" s="43" t="s">
        <v>655</v>
      </c>
      <c r="AV330" s="2">
        <f>AW330+AX330</f>
        <v>0</v>
      </c>
      <c r="AW330" s="2">
        <f>H330*AO330</f>
        <v>0</v>
      </c>
      <c r="AX330" s="2">
        <f>H330*AP330</f>
        <v>0</v>
      </c>
      <c r="AY330" s="43" t="s">
        <v>688</v>
      </c>
      <c r="AZ330" s="43" t="s">
        <v>431</v>
      </c>
      <c r="BA330" s="19" t="s">
        <v>1155</v>
      </c>
      <c r="BC330" s="2">
        <f>AW330+AX330</f>
        <v>0</v>
      </c>
      <c r="BD330" s="2">
        <f>I330/(100-BE330)*100</f>
        <v>0</v>
      </c>
      <c r="BE330" s="2">
        <v>0</v>
      </c>
      <c r="BF330" s="2">
        <f>330</f>
        <v>330</v>
      </c>
      <c r="BH330" s="2">
        <f>H330*AO330</f>
        <v>0</v>
      </c>
      <c r="BI330" s="2">
        <f>H330*AP330</f>
        <v>0</v>
      </c>
      <c r="BJ330" s="2">
        <f>H330*I330</f>
        <v>0</v>
      </c>
      <c r="BK330" s="2"/>
      <c r="BL330" s="2">
        <v>735</v>
      </c>
    </row>
    <row r="331" spans="1:47" ht="15" customHeight="1">
      <c r="A331" s="48" t="s">
        <v>844</v>
      </c>
      <c r="B331" s="17" t="s">
        <v>494</v>
      </c>
      <c r="C331" s="74" t="s">
        <v>1326</v>
      </c>
      <c r="D331" s="74"/>
      <c r="E331" s="74"/>
      <c r="F331" s="74"/>
      <c r="G331" s="40" t="s">
        <v>1110</v>
      </c>
      <c r="H331" s="40" t="s">
        <v>1110</v>
      </c>
      <c r="I331" s="40" t="s">
        <v>1110</v>
      </c>
      <c r="J331" s="23">
        <f>SUM(J332:J333)</f>
        <v>0</v>
      </c>
      <c r="K331" s="23">
        <f>SUM(K332:K333)</f>
        <v>0</v>
      </c>
      <c r="L331" s="23">
        <f>SUM(L332:L333)</f>
        <v>0</v>
      </c>
      <c r="M331" s="37" t="s">
        <v>844</v>
      </c>
      <c r="AI331" s="19" t="s">
        <v>255</v>
      </c>
      <c r="AS331" s="23">
        <f>SUM(AJ332:AJ333)</f>
        <v>0</v>
      </c>
      <c r="AT331" s="23">
        <f>SUM(AK332:AK333)</f>
        <v>0</v>
      </c>
      <c r="AU331" s="23">
        <f>SUM(AL332:AL333)</f>
        <v>0</v>
      </c>
    </row>
    <row r="332" spans="1:64" ht="15" customHeight="1">
      <c r="A332" s="15" t="s">
        <v>10</v>
      </c>
      <c r="B332" s="14" t="s">
        <v>812</v>
      </c>
      <c r="C332" s="58" t="s">
        <v>1063</v>
      </c>
      <c r="D332" s="58"/>
      <c r="E332" s="58"/>
      <c r="F332" s="58"/>
      <c r="G332" s="14" t="s">
        <v>1189</v>
      </c>
      <c r="H332" s="2">
        <v>264.21</v>
      </c>
      <c r="I332" s="2">
        <v>0</v>
      </c>
      <c r="J332" s="2">
        <f>H332*AO332</f>
        <v>0</v>
      </c>
      <c r="K332" s="2">
        <f>H332*AP332</f>
        <v>0</v>
      </c>
      <c r="L332" s="2">
        <f>H332*I332</f>
        <v>0</v>
      </c>
      <c r="M332" s="7" t="s">
        <v>831</v>
      </c>
      <c r="Z332" s="2">
        <f>IF(AQ332="5",BJ332,0)</f>
        <v>0</v>
      </c>
      <c r="AB332" s="2">
        <f>IF(AQ332="1",BH332,0)</f>
        <v>0</v>
      </c>
      <c r="AC332" s="2">
        <f>IF(AQ332="1",BI332,0)</f>
        <v>0</v>
      </c>
      <c r="AD332" s="2">
        <f>IF(AQ332="7",BH332,0)</f>
        <v>0</v>
      </c>
      <c r="AE332" s="2">
        <f>IF(AQ332="7",BI332,0)</f>
        <v>0</v>
      </c>
      <c r="AF332" s="2">
        <f>IF(AQ332="2",BH332,0)</f>
        <v>0</v>
      </c>
      <c r="AG332" s="2">
        <f>IF(AQ332="2",BI332,0)</f>
        <v>0</v>
      </c>
      <c r="AH332" s="2">
        <f>IF(AQ332="0",BJ332,0)</f>
        <v>0</v>
      </c>
      <c r="AI332" s="19" t="s">
        <v>255</v>
      </c>
      <c r="AJ332" s="2">
        <f>IF(AN332=0,L332,0)</f>
        <v>0</v>
      </c>
      <c r="AK332" s="2">
        <f>IF(AN332=15,L332,0)</f>
        <v>0</v>
      </c>
      <c r="AL332" s="2">
        <f>IF(AN332=21,L332,0)</f>
        <v>0</v>
      </c>
      <c r="AN332" s="2">
        <v>15</v>
      </c>
      <c r="AO332" s="2">
        <f>I332*0.446086578567691</f>
        <v>0</v>
      </c>
      <c r="AP332" s="2">
        <f>I332*(1-0.446086578567691)</f>
        <v>0</v>
      </c>
      <c r="AQ332" s="43" t="s">
        <v>1215</v>
      </c>
      <c r="AV332" s="2">
        <f>AW332+AX332</f>
        <v>0</v>
      </c>
      <c r="AW332" s="2">
        <f>H332*AO332</f>
        <v>0</v>
      </c>
      <c r="AX332" s="2">
        <f>H332*AP332</f>
        <v>0</v>
      </c>
      <c r="AY332" s="43" t="s">
        <v>1291</v>
      </c>
      <c r="AZ332" s="43" t="s">
        <v>431</v>
      </c>
      <c r="BA332" s="19" t="s">
        <v>1155</v>
      </c>
      <c r="BC332" s="2">
        <f>AW332+AX332</f>
        <v>0</v>
      </c>
      <c r="BD332" s="2">
        <f>I332/(100-BE332)*100</f>
        <v>0</v>
      </c>
      <c r="BE332" s="2">
        <v>0</v>
      </c>
      <c r="BF332" s="2">
        <f>332</f>
        <v>332</v>
      </c>
      <c r="BH332" s="2">
        <f>H332*AO332</f>
        <v>0</v>
      </c>
      <c r="BI332" s="2">
        <f>H332*AP332</f>
        <v>0</v>
      </c>
      <c r="BJ332" s="2">
        <f>H332*I332</f>
        <v>0</v>
      </c>
      <c r="BK332" s="2"/>
      <c r="BL332" s="2">
        <v>736</v>
      </c>
    </row>
    <row r="333" spans="1:64" ht="15" customHeight="1">
      <c r="A333" s="15" t="s">
        <v>517</v>
      </c>
      <c r="B333" s="14" t="s">
        <v>5</v>
      </c>
      <c r="C333" s="58" t="s">
        <v>594</v>
      </c>
      <c r="D333" s="58"/>
      <c r="E333" s="58"/>
      <c r="F333" s="58"/>
      <c r="G333" s="14" t="s">
        <v>584</v>
      </c>
      <c r="H333" s="2">
        <v>0.724</v>
      </c>
      <c r="I333" s="2">
        <v>0</v>
      </c>
      <c r="J333" s="2">
        <f>H333*AO333</f>
        <v>0</v>
      </c>
      <c r="K333" s="2">
        <f>H333*AP333</f>
        <v>0</v>
      </c>
      <c r="L333" s="2">
        <f>H333*I333</f>
        <v>0</v>
      </c>
      <c r="M333" s="7" t="s">
        <v>831</v>
      </c>
      <c r="Z333" s="2">
        <f>IF(AQ333="5",BJ333,0)</f>
        <v>0</v>
      </c>
      <c r="AB333" s="2">
        <f>IF(AQ333="1",BH333,0)</f>
        <v>0</v>
      </c>
      <c r="AC333" s="2">
        <f>IF(AQ333="1",BI333,0)</f>
        <v>0</v>
      </c>
      <c r="AD333" s="2">
        <f>IF(AQ333="7",BH333,0)</f>
        <v>0</v>
      </c>
      <c r="AE333" s="2">
        <f>IF(AQ333="7",BI333,0)</f>
        <v>0</v>
      </c>
      <c r="AF333" s="2">
        <f>IF(AQ333="2",BH333,0)</f>
        <v>0</v>
      </c>
      <c r="AG333" s="2">
        <f>IF(AQ333="2",BI333,0)</f>
        <v>0</v>
      </c>
      <c r="AH333" s="2">
        <f>IF(AQ333="0",BJ333,0)</f>
        <v>0</v>
      </c>
      <c r="AI333" s="19" t="s">
        <v>255</v>
      </c>
      <c r="AJ333" s="2">
        <f>IF(AN333=0,L333,0)</f>
        <v>0</v>
      </c>
      <c r="AK333" s="2">
        <f>IF(AN333=15,L333,0)</f>
        <v>0</v>
      </c>
      <c r="AL333" s="2">
        <f>IF(AN333=21,L333,0)</f>
        <v>0</v>
      </c>
      <c r="AN333" s="2">
        <v>15</v>
      </c>
      <c r="AO333" s="2">
        <f>I333*0</f>
        <v>0</v>
      </c>
      <c r="AP333" s="2">
        <f>I333*(1-0)</f>
        <v>0</v>
      </c>
      <c r="AQ333" s="43" t="s">
        <v>655</v>
      </c>
      <c r="AV333" s="2">
        <f>AW333+AX333</f>
        <v>0</v>
      </c>
      <c r="AW333" s="2">
        <f>H333*AO333</f>
        <v>0</v>
      </c>
      <c r="AX333" s="2">
        <f>H333*AP333</f>
        <v>0</v>
      </c>
      <c r="AY333" s="43" t="s">
        <v>1291</v>
      </c>
      <c r="AZ333" s="43" t="s">
        <v>431</v>
      </c>
      <c r="BA333" s="19" t="s">
        <v>1155</v>
      </c>
      <c r="BC333" s="2">
        <f>AW333+AX333</f>
        <v>0</v>
      </c>
      <c r="BD333" s="2">
        <f>I333/(100-BE333)*100</f>
        <v>0</v>
      </c>
      <c r="BE333" s="2">
        <v>0</v>
      </c>
      <c r="BF333" s="2">
        <f>333</f>
        <v>333</v>
      </c>
      <c r="BH333" s="2">
        <f>H333*AO333</f>
        <v>0</v>
      </c>
      <c r="BI333" s="2">
        <f>H333*AP333</f>
        <v>0</v>
      </c>
      <c r="BJ333" s="2">
        <f>H333*I333</f>
        <v>0</v>
      </c>
      <c r="BK333" s="2"/>
      <c r="BL333" s="2">
        <v>736</v>
      </c>
    </row>
    <row r="334" spans="1:47" ht="15" customHeight="1">
      <c r="A334" s="48" t="s">
        <v>844</v>
      </c>
      <c r="B334" s="17" t="s">
        <v>760</v>
      </c>
      <c r="C334" s="74" t="s">
        <v>1281</v>
      </c>
      <c r="D334" s="74"/>
      <c r="E334" s="74"/>
      <c r="F334" s="74"/>
      <c r="G334" s="40" t="s">
        <v>1110</v>
      </c>
      <c r="H334" s="40" t="s">
        <v>1110</v>
      </c>
      <c r="I334" s="40" t="s">
        <v>1110</v>
      </c>
      <c r="J334" s="23">
        <f>SUM(J335:J358)</f>
        <v>0</v>
      </c>
      <c r="K334" s="23">
        <f>SUM(K335:K358)</f>
        <v>0</v>
      </c>
      <c r="L334" s="23">
        <f>SUM(L335:L358)</f>
        <v>0</v>
      </c>
      <c r="M334" s="37" t="s">
        <v>844</v>
      </c>
      <c r="AI334" s="19" t="s">
        <v>255</v>
      </c>
      <c r="AS334" s="23">
        <f>SUM(AJ335:AJ358)</f>
        <v>0</v>
      </c>
      <c r="AT334" s="23">
        <f>SUM(AK335:AK358)</f>
        <v>0</v>
      </c>
      <c r="AU334" s="23">
        <f>SUM(AL335:AL358)</f>
        <v>0</v>
      </c>
    </row>
    <row r="335" spans="1:64" ht="15" customHeight="1">
      <c r="A335" s="15" t="s">
        <v>428</v>
      </c>
      <c r="B335" s="14" t="s">
        <v>340</v>
      </c>
      <c r="C335" s="58" t="s">
        <v>604</v>
      </c>
      <c r="D335" s="58"/>
      <c r="E335" s="58"/>
      <c r="F335" s="58"/>
      <c r="G335" s="14" t="s">
        <v>1189</v>
      </c>
      <c r="H335" s="2">
        <v>305.69</v>
      </c>
      <c r="I335" s="2">
        <v>0</v>
      </c>
      <c r="J335" s="2">
        <f>H335*AO335</f>
        <v>0</v>
      </c>
      <c r="K335" s="2">
        <f>H335*AP335</f>
        <v>0</v>
      </c>
      <c r="L335" s="2">
        <f>H335*I335</f>
        <v>0</v>
      </c>
      <c r="M335" s="7" t="s">
        <v>831</v>
      </c>
      <c r="Z335" s="2">
        <f>IF(AQ335="5",BJ335,0)</f>
        <v>0</v>
      </c>
      <c r="AB335" s="2">
        <f>IF(AQ335="1",BH335,0)</f>
        <v>0</v>
      </c>
      <c r="AC335" s="2">
        <f>IF(AQ335="1",BI335,0)</f>
        <v>0</v>
      </c>
      <c r="AD335" s="2">
        <f>IF(AQ335="7",BH335,0)</f>
        <v>0</v>
      </c>
      <c r="AE335" s="2">
        <f>IF(AQ335="7",BI335,0)</f>
        <v>0</v>
      </c>
      <c r="AF335" s="2">
        <f>IF(AQ335="2",BH335,0)</f>
        <v>0</v>
      </c>
      <c r="AG335" s="2">
        <f>IF(AQ335="2",BI335,0)</f>
        <v>0</v>
      </c>
      <c r="AH335" s="2">
        <f>IF(AQ335="0",BJ335,0)</f>
        <v>0</v>
      </c>
      <c r="AI335" s="19" t="s">
        <v>255</v>
      </c>
      <c r="AJ335" s="2">
        <f>IF(AN335=0,L335,0)</f>
        <v>0</v>
      </c>
      <c r="AK335" s="2">
        <f>IF(AN335=15,L335,0)</f>
        <v>0</v>
      </c>
      <c r="AL335" s="2">
        <f>IF(AN335=21,L335,0)</f>
        <v>0</v>
      </c>
      <c r="AN335" s="2">
        <v>15</v>
      </c>
      <c r="AO335" s="2">
        <f>I335*0.582463112910481</f>
        <v>0</v>
      </c>
      <c r="AP335" s="2">
        <f>I335*(1-0.582463112910481)</f>
        <v>0</v>
      </c>
      <c r="AQ335" s="43" t="s">
        <v>1215</v>
      </c>
      <c r="AV335" s="2">
        <f>AW335+AX335</f>
        <v>0</v>
      </c>
      <c r="AW335" s="2">
        <f>H335*AO335</f>
        <v>0</v>
      </c>
      <c r="AX335" s="2">
        <f>H335*AP335</f>
        <v>0</v>
      </c>
      <c r="AY335" s="43" t="s">
        <v>764</v>
      </c>
      <c r="AZ335" s="43" t="s">
        <v>205</v>
      </c>
      <c r="BA335" s="19" t="s">
        <v>1155</v>
      </c>
      <c r="BC335" s="2">
        <f>AW335+AX335</f>
        <v>0</v>
      </c>
      <c r="BD335" s="2">
        <f>I335/(100-BE335)*100</f>
        <v>0</v>
      </c>
      <c r="BE335" s="2">
        <v>0</v>
      </c>
      <c r="BF335" s="2">
        <f>335</f>
        <v>335</v>
      </c>
      <c r="BH335" s="2">
        <f>H335*AO335</f>
        <v>0</v>
      </c>
      <c r="BI335" s="2">
        <f>H335*AP335</f>
        <v>0</v>
      </c>
      <c r="BJ335" s="2">
        <f>H335*I335</f>
        <v>0</v>
      </c>
      <c r="BK335" s="2"/>
      <c r="BL335" s="2">
        <v>762</v>
      </c>
    </row>
    <row r="336" spans="1:13" ht="13.5" customHeight="1">
      <c r="A336" s="51"/>
      <c r="B336" s="32" t="s">
        <v>639</v>
      </c>
      <c r="C336" s="75" t="s">
        <v>537</v>
      </c>
      <c r="D336" s="76"/>
      <c r="E336" s="76"/>
      <c r="F336" s="76"/>
      <c r="G336" s="76"/>
      <c r="H336" s="76"/>
      <c r="I336" s="76"/>
      <c r="J336" s="76"/>
      <c r="K336" s="76"/>
      <c r="L336" s="76"/>
      <c r="M336" s="77"/>
    </row>
    <row r="337" spans="1:64" ht="15" customHeight="1">
      <c r="A337" s="15" t="s">
        <v>1280</v>
      </c>
      <c r="B337" s="14" t="s">
        <v>287</v>
      </c>
      <c r="C337" s="58" t="s">
        <v>1164</v>
      </c>
      <c r="D337" s="58"/>
      <c r="E337" s="58"/>
      <c r="F337" s="58"/>
      <c r="G337" s="14" t="s">
        <v>1189</v>
      </c>
      <c r="H337" s="2">
        <v>305.69</v>
      </c>
      <c r="I337" s="2">
        <v>0</v>
      </c>
      <c r="J337" s="2">
        <f>H337*AO337</f>
        <v>0</v>
      </c>
      <c r="K337" s="2">
        <f>H337*AP337</f>
        <v>0</v>
      </c>
      <c r="L337" s="2">
        <f>H337*I337</f>
        <v>0</v>
      </c>
      <c r="M337" s="7" t="s">
        <v>831</v>
      </c>
      <c r="Z337" s="2">
        <f>IF(AQ337="5",BJ337,0)</f>
        <v>0</v>
      </c>
      <c r="AB337" s="2">
        <f>IF(AQ337="1",BH337,0)</f>
        <v>0</v>
      </c>
      <c r="AC337" s="2">
        <f>IF(AQ337="1",BI337,0)</f>
        <v>0</v>
      </c>
      <c r="AD337" s="2">
        <f>IF(AQ337="7",BH337,0)</f>
        <v>0</v>
      </c>
      <c r="AE337" s="2">
        <f>IF(AQ337="7",BI337,0)</f>
        <v>0</v>
      </c>
      <c r="AF337" s="2">
        <f>IF(AQ337="2",BH337,0)</f>
        <v>0</v>
      </c>
      <c r="AG337" s="2">
        <f>IF(AQ337="2",BI337,0)</f>
        <v>0</v>
      </c>
      <c r="AH337" s="2">
        <f>IF(AQ337="0",BJ337,0)</f>
        <v>0</v>
      </c>
      <c r="AI337" s="19" t="s">
        <v>255</v>
      </c>
      <c r="AJ337" s="2">
        <f>IF(AN337=0,L337,0)</f>
        <v>0</v>
      </c>
      <c r="AK337" s="2">
        <f>IF(AN337=15,L337,0)</f>
        <v>0</v>
      </c>
      <c r="AL337" s="2">
        <f>IF(AN337=21,L337,0)</f>
        <v>0</v>
      </c>
      <c r="AN337" s="2">
        <v>15</v>
      </c>
      <c r="AO337" s="2">
        <f>I337*0</f>
        <v>0</v>
      </c>
      <c r="AP337" s="2">
        <f>I337*(1-0)</f>
        <v>0</v>
      </c>
      <c r="AQ337" s="43" t="s">
        <v>1215</v>
      </c>
      <c r="AV337" s="2">
        <f>AW337+AX337</f>
        <v>0</v>
      </c>
      <c r="AW337" s="2">
        <f>H337*AO337</f>
        <v>0</v>
      </c>
      <c r="AX337" s="2">
        <f>H337*AP337</f>
        <v>0</v>
      </c>
      <c r="AY337" s="43" t="s">
        <v>764</v>
      </c>
      <c r="AZ337" s="43" t="s">
        <v>205</v>
      </c>
      <c r="BA337" s="19" t="s">
        <v>1155</v>
      </c>
      <c r="BC337" s="2">
        <f>AW337+AX337</f>
        <v>0</v>
      </c>
      <c r="BD337" s="2">
        <f>I337/(100-BE337)*100</f>
        <v>0</v>
      </c>
      <c r="BE337" s="2">
        <v>0</v>
      </c>
      <c r="BF337" s="2">
        <f>337</f>
        <v>337</v>
      </c>
      <c r="BH337" s="2">
        <f>H337*AO337</f>
        <v>0</v>
      </c>
      <c r="BI337" s="2">
        <f>H337*AP337</f>
        <v>0</v>
      </c>
      <c r="BJ337" s="2">
        <f>H337*I337</f>
        <v>0</v>
      </c>
      <c r="BK337" s="2"/>
      <c r="BL337" s="2">
        <v>762</v>
      </c>
    </row>
    <row r="338" spans="1:64" ht="15" customHeight="1">
      <c r="A338" s="15" t="s">
        <v>701</v>
      </c>
      <c r="B338" s="14" t="s">
        <v>33</v>
      </c>
      <c r="C338" s="58" t="s">
        <v>1346</v>
      </c>
      <c r="D338" s="58"/>
      <c r="E338" s="58"/>
      <c r="F338" s="58"/>
      <c r="G338" s="14" t="s">
        <v>1189</v>
      </c>
      <c r="H338" s="2">
        <v>330.145</v>
      </c>
      <c r="I338" s="2">
        <v>0</v>
      </c>
      <c r="J338" s="2">
        <f>H338*AO338</f>
        <v>0</v>
      </c>
      <c r="K338" s="2">
        <f>H338*AP338</f>
        <v>0</v>
      </c>
      <c r="L338" s="2">
        <f>H338*I338</f>
        <v>0</v>
      </c>
      <c r="M338" s="7" t="s">
        <v>831</v>
      </c>
      <c r="Z338" s="2">
        <f>IF(AQ338="5",BJ338,0)</f>
        <v>0</v>
      </c>
      <c r="AB338" s="2">
        <f>IF(AQ338="1",BH338,0)</f>
        <v>0</v>
      </c>
      <c r="AC338" s="2">
        <f>IF(AQ338="1",BI338,0)</f>
        <v>0</v>
      </c>
      <c r="AD338" s="2">
        <f>IF(AQ338="7",BH338,0)</f>
        <v>0</v>
      </c>
      <c r="AE338" s="2">
        <f>IF(AQ338="7",BI338,0)</f>
        <v>0</v>
      </c>
      <c r="AF338" s="2">
        <f>IF(AQ338="2",BH338,0)</f>
        <v>0</v>
      </c>
      <c r="AG338" s="2">
        <f>IF(AQ338="2",BI338,0)</f>
        <v>0</v>
      </c>
      <c r="AH338" s="2">
        <f>IF(AQ338="0",BJ338,0)</f>
        <v>0</v>
      </c>
      <c r="AI338" s="19" t="s">
        <v>255</v>
      </c>
      <c r="AJ338" s="2">
        <f>IF(AN338=0,L338,0)</f>
        <v>0</v>
      </c>
      <c r="AK338" s="2">
        <f>IF(AN338=15,L338,0)</f>
        <v>0</v>
      </c>
      <c r="AL338" s="2">
        <f>IF(AN338=21,L338,0)</f>
        <v>0</v>
      </c>
      <c r="AN338" s="2">
        <v>15</v>
      </c>
      <c r="AO338" s="2">
        <f>I338*1</f>
        <v>0</v>
      </c>
      <c r="AP338" s="2">
        <f>I338*(1-1)</f>
        <v>0</v>
      </c>
      <c r="AQ338" s="43" t="s">
        <v>1215</v>
      </c>
      <c r="AV338" s="2">
        <f>AW338+AX338</f>
        <v>0</v>
      </c>
      <c r="AW338" s="2">
        <f>H338*AO338</f>
        <v>0</v>
      </c>
      <c r="AX338" s="2">
        <f>H338*AP338</f>
        <v>0</v>
      </c>
      <c r="AY338" s="43" t="s">
        <v>764</v>
      </c>
      <c r="AZ338" s="43" t="s">
        <v>205</v>
      </c>
      <c r="BA338" s="19" t="s">
        <v>1155</v>
      </c>
      <c r="BC338" s="2">
        <f>AW338+AX338</f>
        <v>0</v>
      </c>
      <c r="BD338" s="2">
        <f>I338/(100-BE338)*100</f>
        <v>0</v>
      </c>
      <c r="BE338" s="2">
        <v>0</v>
      </c>
      <c r="BF338" s="2">
        <f>338</f>
        <v>338</v>
      </c>
      <c r="BH338" s="2">
        <f>H338*AO338</f>
        <v>0</v>
      </c>
      <c r="BI338" s="2">
        <f>H338*AP338</f>
        <v>0</v>
      </c>
      <c r="BJ338" s="2">
        <f>H338*I338</f>
        <v>0</v>
      </c>
      <c r="BK338" s="2"/>
      <c r="BL338" s="2">
        <v>762</v>
      </c>
    </row>
    <row r="339" spans="1:64" ht="15" customHeight="1">
      <c r="A339" s="15" t="s">
        <v>659</v>
      </c>
      <c r="B339" s="14" t="s">
        <v>1214</v>
      </c>
      <c r="C339" s="58" t="s">
        <v>316</v>
      </c>
      <c r="D339" s="58"/>
      <c r="E339" s="58"/>
      <c r="F339" s="58"/>
      <c r="G339" s="14" t="s">
        <v>999</v>
      </c>
      <c r="H339" s="2">
        <v>288</v>
      </c>
      <c r="I339" s="2">
        <v>0</v>
      </c>
      <c r="J339" s="2">
        <f>H339*AO339</f>
        <v>0</v>
      </c>
      <c r="K339" s="2">
        <f>H339*AP339</f>
        <v>0</v>
      </c>
      <c r="L339" s="2">
        <f>H339*I339</f>
        <v>0</v>
      </c>
      <c r="M339" s="7" t="s">
        <v>831</v>
      </c>
      <c r="Z339" s="2">
        <f>IF(AQ339="5",BJ339,0)</f>
        <v>0</v>
      </c>
      <c r="AB339" s="2">
        <f>IF(AQ339="1",BH339,0)</f>
        <v>0</v>
      </c>
      <c r="AC339" s="2">
        <f>IF(AQ339="1",BI339,0)</f>
        <v>0</v>
      </c>
      <c r="AD339" s="2">
        <f>IF(AQ339="7",BH339,0)</f>
        <v>0</v>
      </c>
      <c r="AE339" s="2">
        <f>IF(AQ339="7",BI339,0)</f>
        <v>0</v>
      </c>
      <c r="AF339" s="2">
        <f>IF(AQ339="2",BH339,0)</f>
        <v>0</v>
      </c>
      <c r="AG339" s="2">
        <f>IF(AQ339="2",BI339,0)</f>
        <v>0</v>
      </c>
      <c r="AH339" s="2">
        <f>IF(AQ339="0",BJ339,0)</f>
        <v>0</v>
      </c>
      <c r="AI339" s="19" t="s">
        <v>255</v>
      </c>
      <c r="AJ339" s="2">
        <f>IF(AN339=0,L339,0)</f>
        <v>0</v>
      </c>
      <c r="AK339" s="2">
        <f>IF(AN339=15,L339,0)</f>
        <v>0</v>
      </c>
      <c r="AL339" s="2">
        <f>IF(AN339=21,L339,0)</f>
        <v>0</v>
      </c>
      <c r="AN339" s="2">
        <v>15</v>
      </c>
      <c r="AO339" s="2">
        <f>I339*0.410753975483434</f>
        <v>0</v>
      </c>
      <c r="AP339" s="2">
        <f>I339*(1-0.410753975483434)</f>
        <v>0</v>
      </c>
      <c r="AQ339" s="43" t="s">
        <v>1215</v>
      </c>
      <c r="AV339" s="2">
        <f>AW339+AX339</f>
        <v>0</v>
      </c>
      <c r="AW339" s="2">
        <f>H339*AO339</f>
        <v>0</v>
      </c>
      <c r="AX339" s="2">
        <f>H339*AP339</f>
        <v>0</v>
      </c>
      <c r="AY339" s="43" t="s">
        <v>764</v>
      </c>
      <c r="AZ339" s="43" t="s">
        <v>205</v>
      </c>
      <c r="BA339" s="19" t="s">
        <v>1155</v>
      </c>
      <c r="BC339" s="2">
        <f>AW339+AX339</f>
        <v>0</v>
      </c>
      <c r="BD339" s="2">
        <f>I339/(100-BE339)*100</f>
        <v>0</v>
      </c>
      <c r="BE339" s="2">
        <v>0</v>
      </c>
      <c r="BF339" s="2">
        <f>339</f>
        <v>339</v>
      </c>
      <c r="BH339" s="2">
        <f>H339*AO339</f>
        <v>0</v>
      </c>
      <c r="BI339" s="2">
        <f>H339*AP339</f>
        <v>0</v>
      </c>
      <c r="BJ339" s="2">
        <f>H339*I339</f>
        <v>0</v>
      </c>
      <c r="BK339" s="2"/>
      <c r="BL339" s="2">
        <v>762</v>
      </c>
    </row>
    <row r="340" spans="1:13" ht="13.5" customHeight="1">
      <c r="A340" s="51"/>
      <c r="B340" s="32" t="s">
        <v>639</v>
      </c>
      <c r="C340" s="75" t="s">
        <v>463</v>
      </c>
      <c r="D340" s="76"/>
      <c r="E340" s="76"/>
      <c r="F340" s="76"/>
      <c r="G340" s="76"/>
      <c r="H340" s="76"/>
      <c r="I340" s="76"/>
      <c r="J340" s="76"/>
      <c r="K340" s="76"/>
      <c r="L340" s="76"/>
      <c r="M340" s="77"/>
    </row>
    <row r="341" spans="1:64" ht="15" customHeight="1">
      <c r="A341" s="15" t="s">
        <v>1019</v>
      </c>
      <c r="B341" s="14" t="s">
        <v>329</v>
      </c>
      <c r="C341" s="58" t="s">
        <v>316</v>
      </c>
      <c r="D341" s="58"/>
      <c r="E341" s="58"/>
      <c r="F341" s="58"/>
      <c r="G341" s="14" t="s">
        <v>999</v>
      </c>
      <c r="H341" s="2">
        <v>329.64</v>
      </c>
      <c r="I341" s="2">
        <v>0</v>
      </c>
      <c r="J341" s="2">
        <f>H341*AO341</f>
        <v>0</v>
      </c>
      <c r="K341" s="2">
        <f>H341*AP341</f>
        <v>0</v>
      </c>
      <c r="L341" s="2">
        <f>H341*I341</f>
        <v>0</v>
      </c>
      <c r="M341" s="7" t="s">
        <v>831</v>
      </c>
      <c r="Z341" s="2">
        <f>IF(AQ341="5",BJ341,0)</f>
        <v>0</v>
      </c>
      <c r="AB341" s="2">
        <f>IF(AQ341="1",BH341,0)</f>
        <v>0</v>
      </c>
      <c r="AC341" s="2">
        <f>IF(AQ341="1",BI341,0)</f>
        <v>0</v>
      </c>
      <c r="AD341" s="2">
        <f>IF(AQ341="7",BH341,0)</f>
        <v>0</v>
      </c>
      <c r="AE341" s="2">
        <f>IF(AQ341="7",BI341,0)</f>
        <v>0</v>
      </c>
      <c r="AF341" s="2">
        <f>IF(AQ341="2",BH341,0)</f>
        <v>0</v>
      </c>
      <c r="AG341" s="2">
        <f>IF(AQ341="2",BI341,0)</f>
        <v>0</v>
      </c>
      <c r="AH341" s="2">
        <f>IF(AQ341="0",BJ341,0)</f>
        <v>0</v>
      </c>
      <c r="AI341" s="19" t="s">
        <v>255</v>
      </c>
      <c r="AJ341" s="2">
        <f>IF(AN341=0,L341,0)</f>
        <v>0</v>
      </c>
      <c r="AK341" s="2">
        <f>IF(AN341=15,L341,0)</f>
        <v>0</v>
      </c>
      <c r="AL341" s="2">
        <f>IF(AN341=21,L341,0)</f>
        <v>0</v>
      </c>
      <c r="AN341" s="2">
        <v>15</v>
      </c>
      <c r="AO341" s="2">
        <f>I341*0.451113782403998</f>
        <v>0</v>
      </c>
      <c r="AP341" s="2">
        <f>I341*(1-0.451113782403998)</f>
        <v>0</v>
      </c>
      <c r="AQ341" s="43" t="s">
        <v>1215</v>
      </c>
      <c r="AV341" s="2">
        <f>AW341+AX341</f>
        <v>0</v>
      </c>
      <c r="AW341" s="2">
        <f>H341*AO341</f>
        <v>0</v>
      </c>
      <c r="AX341" s="2">
        <f>H341*AP341</f>
        <v>0</v>
      </c>
      <c r="AY341" s="43" t="s">
        <v>764</v>
      </c>
      <c r="AZ341" s="43" t="s">
        <v>205</v>
      </c>
      <c r="BA341" s="19" t="s">
        <v>1155</v>
      </c>
      <c r="BC341" s="2">
        <f>AW341+AX341</f>
        <v>0</v>
      </c>
      <c r="BD341" s="2">
        <f>I341/(100-BE341)*100</f>
        <v>0</v>
      </c>
      <c r="BE341" s="2">
        <v>0</v>
      </c>
      <c r="BF341" s="2">
        <f>341</f>
        <v>341</v>
      </c>
      <c r="BH341" s="2">
        <f>H341*AO341</f>
        <v>0</v>
      </c>
      <c r="BI341" s="2">
        <f>H341*AP341</f>
        <v>0</v>
      </c>
      <c r="BJ341" s="2">
        <f>H341*I341</f>
        <v>0</v>
      </c>
      <c r="BK341" s="2"/>
      <c r="BL341" s="2">
        <v>762</v>
      </c>
    </row>
    <row r="342" spans="1:13" ht="13.5" customHeight="1">
      <c r="A342" s="51"/>
      <c r="B342" s="32" t="s">
        <v>639</v>
      </c>
      <c r="C342" s="75" t="s">
        <v>112</v>
      </c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64" ht="15" customHeight="1">
      <c r="A343" s="15" t="s">
        <v>1108</v>
      </c>
      <c r="B343" s="14" t="s">
        <v>329</v>
      </c>
      <c r="C343" s="58" t="s">
        <v>316</v>
      </c>
      <c r="D343" s="58"/>
      <c r="E343" s="58"/>
      <c r="F343" s="58"/>
      <c r="G343" s="14" t="s">
        <v>999</v>
      </c>
      <c r="H343" s="2">
        <v>84.6</v>
      </c>
      <c r="I343" s="2">
        <v>0</v>
      </c>
      <c r="J343" s="2">
        <f>H343*AO343</f>
        <v>0</v>
      </c>
      <c r="K343" s="2">
        <f>H343*AP343</f>
        <v>0</v>
      </c>
      <c r="L343" s="2">
        <f>H343*I343</f>
        <v>0</v>
      </c>
      <c r="M343" s="7" t="s">
        <v>831</v>
      </c>
      <c r="Z343" s="2">
        <f>IF(AQ343="5",BJ343,0)</f>
        <v>0</v>
      </c>
      <c r="AB343" s="2">
        <f>IF(AQ343="1",BH343,0)</f>
        <v>0</v>
      </c>
      <c r="AC343" s="2">
        <f>IF(AQ343="1",BI343,0)</f>
        <v>0</v>
      </c>
      <c r="AD343" s="2">
        <f>IF(AQ343="7",BH343,0)</f>
        <v>0</v>
      </c>
      <c r="AE343" s="2">
        <f>IF(AQ343="7",BI343,0)</f>
        <v>0</v>
      </c>
      <c r="AF343" s="2">
        <f>IF(AQ343="2",BH343,0)</f>
        <v>0</v>
      </c>
      <c r="AG343" s="2">
        <f>IF(AQ343="2",BI343,0)</f>
        <v>0</v>
      </c>
      <c r="AH343" s="2">
        <f>IF(AQ343="0",BJ343,0)</f>
        <v>0</v>
      </c>
      <c r="AI343" s="19" t="s">
        <v>255</v>
      </c>
      <c r="AJ343" s="2">
        <f>IF(AN343=0,L343,0)</f>
        <v>0</v>
      </c>
      <c r="AK343" s="2">
        <f>IF(AN343=15,L343,0)</f>
        <v>0</v>
      </c>
      <c r="AL343" s="2">
        <f>IF(AN343=21,L343,0)</f>
        <v>0</v>
      </c>
      <c r="AN343" s="2">
        <v>15</v>
      </c>
      <c r="AO343" s="2">
        <f>I343*0.451113446732781</f>
        <v>0</v>
      </c>
      <c r="AP343" s="2">
        <f>I343*(1-0.451113446732781)</f>
        <v>0</v>
      </c>
      <c r="AQ343" s="43" t="s">
        <v>1215</v>
      </c>
      <c r="AV343" s="2">
        <f>AW343+AX343</f>
        <v>0</v>
      </c>
      <c r="AW343" s="2">
        <f>H343*AO343</f>
        <v>0</v>
      </c>
      <c r="AX343" s="2">
        <f>H343*AP343</f>
        <v>0</v>
      </c>
      <c r="AY343" s="43" t="s">
        <v>764</v>
      </c>
      <c r="AZ343" s="43" t="s">
        <v>205</v>
      </c>
      <c r="BA343" s="19" t="s">
        <v>1155</v>
      </c>
      <c r="BC343" s="2">
        <f>AW343+AX343</f>
        <v>0</v>
      </c>
      <c r="BD343" s="2">
        <f>I343/(100-BE343)*100</f>
        <v>0</v>
      </c>
      <c r="BE343" s="2">
        <v>0</v>
      </c>
      <c r="BF343" s="2">
        <f>343</f>
        <v>343</v>
      </c>
      <c r="BH343" s="2">
        <f>H343*AO343</f>
        <v>0</v>
      </c>
      <c r="BI343" s="2">
        <f>H343*AP343</f>
        <v>0</v>
      </c>
      <c r="BJ343" s="2">
        <f>H343*I343</f>
        <v>0</v>
      </c>
      <c r="BK343" s="2"/>
      <c r="BL343" s="2">
        <v>762</v>
      </c>
    </row>
    <row r="344" spans="1:13" ht="13.5" customHeight="1">
      <c r="A344" s="51"/>
      <c r="B344" s="32" t="s">
        <v>639</v>
      </c>
      <c r="C344" s="75" t="s">
        <v>1122</v>
      </c>
      <c r="D344" s="76"/>
      <c r="E344" s="76"/>
      <c r="F344" s="76"/>
      <c r="G344" s="76"/>
      <c r="H344" s="76"/>
      <c r="I344" s="76"/>
      <c r="J344" s="76"/>
      <c r="K344" s="76"/>
      <c r="L344" s="76"/>
      <c r="M344" s="77"/>
    </row>
    <row r="345" spans="1:64" ht="15" customHeight="1">
      <c r="A345" s="15" t="s">
        <v>1209</v>
      </c>
      <c r="B345" s="14" t="s">
        <v>1295</v>
      </c>
      <c r="C345" s="58" t="s">
        <v>316</v>
      </c>
      <c r="D345" s="58"/>
      <c r="E345" s="58"/>
      <c r="F345" s="58"/>
      <c r="G345" s="14" t="s">
        <v>999</v>
      </c>
      <c r="H345" s="2">
        <v>26.35</v>
      </c>
      <c r="I345" s="2">
        <v>0</v>
      </c>
      <c r="J345" s="2">
        <f>H345*AO345</f>
        <v>0</v>
      </c>
      <c r="K345" s="2">
        <f>H345*AP345</f>
        <v>0</v>
      </c>
      <c r="L345" s="2">
        <f>H345*I345</f>
        <v>0</v>
      </c>
      <c r="M345" s="7" t="s">
        <v>831</v>
      </c>
      <c r="Z345" s="2">
        <f>IF(AQ345="5",BJ345,0)</f>
        <v>0</v>
      </c>
      <c r="AB345" s="2">
        <f>IF(AQ345="1",BH345,0)</f>
        <v>0</v>
      </c>
      <c r="AC345" s="2">
        <f>IF(AQ345="1",BI345,0)</f>
        <v>0</v>
      </c>
      <c r="AD345" s="2">
        <f>IF(AQ345="7",BH345,0)</f>
        <v>0</v>
      </c>
      <c r="AE345" s="2">
        <f>IF(AQ345="7",BI345,0)</f>
        <v>0</v>
      </c>
      <c r="AF345" s="2">
        <f>IF(AQ345="2",BH345,0)</f>
        <v>0</v>
      </c>
      <c r="AG345" s="2">
        <f>IF(AQ345="2",BI345,0)</f>
        <v>0</v>
      </c>
      <c r="AH345" s="2">
        <f>IF(AQ345="0",BJ345,0)</f>
        <v>0</v>
      </c>
      <c r="AI345" s="19" t="s">
        <v>255</v>
      </c>
      <c r="AJ345" s="2">
        <f>IF(AN345=0,L345,0)</f>
        <v>0</v>
      </c>
      <c r="AK345" s="2">
        <f>IF(AN345=15,L345,0)</f>
        <v>0</v>
      </c>
      <c r="AL345" s="2">
        <f>IF(AN345=21,L345,0)</f>
        <v>0</v>
      </c>
      <c r="AN345" s="2">
        <v>15</v>
      </c>
      <c r="AO345" s="2">
        <f>I345*0.485402725154882</f>
        <v>0</v>
      </c>
      <c r="AP345" s="2">
        <f>I345*(1-0.485402725154882)</f>
        <v>0</v>
      </c>
      <c r="AQ345" s="43" t="s">
        <v>1215</v>
      </c>
      <c r="AV345" s="2">
        <f>AW345+AX345</f>
        <v>0</v>
      </c>
      <c r="AW345" s="2">
        <f>H345*AO345</f>
        <v>0</v>
      </c>
      <c r="AX345" s="2">
        <f>H345*AP345</f>
        <v>0</v>
      </c>
      <c r="AY345" s="43" t="s">
        <v>764</v>
      </c>
      <c r="AZ345" s="43" t="s">
        <v>205</v>
      </c>
      <c r="BA345" s="19" t="s">
        <v>1155</v>
      </c>
      <c r="BC345" s="2">
        <f>AW345+AX345</f>
        <v>0</v>
      </c>
      <c r="BD345" s="2">
        <f>I345/(100-BE345)*100</f>
        <v>0</v>
      </c>
      <c r="BE345" s="2">
        <v>0</v>
      </c>
      <c r="BF345" s="2">
        <f>345</f>
        <v>345</v>
      </c>
      <c r="BH345" s="2">
        <f>H345*AO345</f>
        <v>0</v>
      </c>
      <c r="BI345" s="2">
        <f>H345*AP345</f>
        <v>0</v>
      </c>
      <c r="BJ345" s="2">
        <f>H345*I345</f>
        <v>0</v>
      </c>
      <c r="BK345" s="2"/>
      <c r="BL345" s="2">
        <v>762</v>
      </c>
    </row>
    <row r="346" spans="1:13" ht="13.5" customHeight="1">
      <c r="A346" s="51"/>
      <c r="B346" s="32" t="s">
        <v>639</v>
      </c>
      <c r="C346" s="75" t="s">
        <v>823</v>
      </c>
      <c r="D346" s="76"/>
      <c r="E346" s="76"/>
      <c r="F346" s="76"/>
      <c r="G346" s="76"/>
      <c r="H346" s="76"/>
      <c r="I346" s="76"/>
      <c r="J346" s="76"/>
      <c r="K346" s="76"/>
      <c r="L346" s="76"/>
      <c r="M346" s="77"/>
    </row>
    <row r="347" spans="1:64" ht="15" customHeight="1">
      <c r="A347" s="15" t="s">
        <v>827</v>
      </c>
      <c r="B347" s="14" t="s">
        <v>1295</v>
      </c>
      <c r="C347" s="58" t="s">
        <v>316</v>
      </c>
      <c r="D347" s="58"/>
      <c r="E347" s="58"/>
      <c r="F347" s="58"/>
      <c r="G347" s="14" t="s">
        <v>999</v>
      </c>
      <c r="H347" s="2">
        <v>24</v>
      </c>
      <c r="I347" s="2">
        <v>0</v>
      </c>
      <c r="J347" s="2">
        <f>H347*AO347</f>
        <v>0</v>
      </c>
      <c r="K347" s="2">
        <f>H347*AP347</f>
        <v>0</v>
      </c>
      <c r="L347" s="2">
        <f>H347*I347</f>
        <v>0</v>
      </c>
      <c r="M347" s="7" t="s">
        <v>831</v>
      </c>
      <c r="Z347" s="2">
        <f>IF(AQ347="5",BJ347,0)</f>
        <v>0</v>
      </c>
      <c r="AB347" s="2">
        <f>IF(AQ347="1",BH347,0)</f>
        <v>0</v>
      </c>
      <c r="AC347" s="2">
        <f>IF(AQ347="1",BI347,0)</f>
        <v>0</v>
      </c>
      <c r="AD347" s="2">
        <f>IF(AQ347="7",BH347,0)</f>
        <v>0</v>
      </c>
      <c r="AE347" s="2">
        <f>IF(AQ347="7",BI347,0)</f>
        <v>0</v>
      </c>
      <c r="AF347" s="2">
        <f>IF(AQ347="2",BH347,0)</f>
        <v>0</v>
      </c>
      <c r="AG347" s="2">
        <f>IF(AQ347="2",BI347,0)</f>
        <v>0</v>
      </c>
      <c r="AH347" s="2">
        <f>IF(AQ347="0",BJ347,0)</f>
        <v>0</v>
      </c>
      <c r="AI347" s="19" t="s">
        <v>255</v>
      </c>
      <c r="AJ347" s="2">
        <f>IF(AN347=0,L347,0)</f>
        <v>0</v>
      </c>
      <c r="AK347" s="2">
        <f>IF(AN347=15,L347,0)</f>
        <v>0</v>
      </c>
      <c r="AL347" s="2">
        <f>IF(AN347=21,L347,0)</f>
        <v>0</v>
      </c>
      <c r="AN347" s="2">
        <v>15</v>
      </c>
      <c r="AO347" s="2">
        <f>I347*0.485403301174172</f>
        <v>0</v>
      </c>
      <c r="AP347" s="2">
        <f>I347*(1-0.485403301174172)</f>
        <v>0</v>
      </c>
      <c r="AQ347" s="43" t="s">
        <v>1215</v>
      </c>
      <c r="AV347" s="2">
        <f>AW347+AX347</f>
        <v>0</v>
      </c>
      <c r="AW347" s="2">
        <f>H347*AO347</f>
        <v>0</v>
      </c>
      <c r="AX347" s="2">
        <f>H347*AP347</f>
        <v>0</v>
      </c>
      <c r="AY347" s="43" t="s">
        <v>764</v>
      </c>
      <c r="AZ347" s="43" t="s">
        <v>205</v>
      </c>
      <c r="BA347" s="19" t="s">
        <v>1155</v>
      </c>
      <c r="BC347" s="2">
        <f>AW347+AX347</f>
        <v>0</v>
      </c>
      <c r="BD347" s="2">
        <f>I347/(100-BE347)*100</f>
        <v>0</v>
      </c>
      <c r="BE347" s="2">
        <v>0</v>
      </c>
      <c r="BF347" s="2">
        <f>347</f>
        <v>347</v>
      </c>
      <c r="BH347" s="2">
        <f>H347*AO347</f>
        <v>0</v>
      </c>
      <c r="BI347" s="2">
        <f>H347*AP347</f>
        <v>0</v>
      </c>
      <c r="BJ347" s="2">
        <f>H347*I347</f>
        <v>0</v>
      </c>
      <c r="BK347" s="2"/>
      <c r="BL347" s="2">
        <v>762</v>
      </c>
    </row>
    <row r="348" spans="1:13" ht="13.5" customHeight="1">
      <c r="A348" s="51"/>
      <c r="B348" s="32" t="s">
        <v>639</v>
      </c>
      <c r="C348" s="75" t="s">
        <v>77</v>
      </c>
      <c r="D348" s="76"/>
      <c r="E348" s="76"/>
      <c r="F348" s="76"/>
      <c r="G348" s="76"/>
      <c r="H348" s="76"/>
      <c r="I348" s="76"/>
      <c r="J348" s="76"/>
      <c r="K348" s="76"/>
      <c r="L348" s="76"/>
      <c r="M348" s="77"/>
    </row>
    <row r="349" spans="1:64" ht="15" customHeight="1">
      <c r="A349" s="15" t="s">
        <v>1081</v>
      </c>
      <c r="B349" s="14" t="s">
        <v>227</v>
      </c>
      <c r="C349" s="58" t="s">
        <v>316</v>
      </c>
      <c r="D349" s="58"/>
      <c r="E349" s="58"/>
      <c r="F349" s="58"/>
      <c r="G349" s="14" t="s">
        <v>999</v>
      </c>
      <c r="H349" s="2">
        <v>21.84</v>
      </c>
      <c r="I349" s="2">
        <v>0</v>
      </c>
      <c r="J349" s="2">
        <f>H349*AO349</f>
        <v>0</v>
      </c>
      <c r="K349" s="2">
        <f>H349*AP349</f>
        <v>0</v>
      </c>
      <c r="L349" s="2">
        <f>H349*I349</f>
        <v>0</v>
      </c>
      <c r="M349" s="7" t="s">
        <v>831</v>
      </c>
      <c r="Z349" s="2">
        <f>IF(AQ349="5",BJ349,0)</f>
        <v>0</v>
      </c>
      <c r="AB349" s="2">
        <f>IF(AQ349="1",BH349,0)</f>
        <v>0</v>
      </c>
      <c r="AC349" s="2">
        <f>IF(AQ349="1",BI349,0)</f>
        <v>0</v>
      </c>
      <c r="AD349" s="2">
        <f>IF(AQ349="7",BH349,0)</f>
        <v>0</v>
      </c>
      <c r="AE349" s="2">
        <f>IF(AQ349="7",BI349,0)</f>
        <v>0</v>
      </c>
      <c r="AF349" s="2">
        <f>IF(AQ349="2",BH349,0)</f>
        <v>0</v>
      </c>
      <c r="AG349" s="2">
        <f>IF(AQ349="2",BI349,0)</f>
        <v>0</v>
      </c>
      <c r="AH349" s="2">
        <f>IF(AQ349="0",BJ349,0)</f>
        <v>0</v>
      </c>
      <c r="AI349" s="19" t="s">
        <v>255</v>
      </c>
      <c r="AJ349" s="2">
        <f>IF(AN349=0,L349,0)</f>
        <v>0</v>
      </c>
      <c r="AK349" s="2">
        <f>IF(AN349=15,L349,0)</f>
        <v>0</v>
      </c>
      <c r="AL349" s="2">
        <f>IF(AN349=21,L349,0)</f>
        <v>0</v>
      </c>
      <c r="AN349" s="2">
        <v>15</v>
      </c>
      <c r="AO349" s="2">
        <f>I349*0.514505830178475</f>
        <v>0</v>
      </c>
      <c r="AP349" s="2">
        <f>I349*(1-0.514505830178475)</f>
        <v>0</v>
      </c>
      <c r="AQ349" s="43" t="s">
        <v>1215</v>
      </c>
      <c r="AV349" s="2">
        <f>AW349+AX349</f>
        <v>0</v>
      </c>
      <c r="AW349" s="2">
        <f>H349*AO349</f>
        <v>0</v>
      </c>
      <c r="AX349" s="2">
        <f>H349*AP349</f>
        <v>0</v>
      </c>
      <c r="AY349" s="43" t="s">
        <v>764</v>
      </c>
      <c r="AZ349" s="43" t="s">
        <v>205</v>
      </c>
      <c r="BA349" s="19" t="s">
        <v>1155</v>
      </c>
      <c r="BC349" s="2">
        <f>AW349+AX349</f>
        <v>0</v>
      </c>
      <c r="BD349" s="2">
        <f>I349/(100-BE349)*100</f>
        <v>0</v>
      </c>
      <c r="BE349" s="2">
        <v>0</v>
      </c>
      <c r="BF349" s="2">
        <f>349</f>
        <v>349</v>
      </c>
      <c r="BH349" s="2">
        <f>H349*AO349</f>
        <v>0</v>
      </c>
      <c r="BI349" s="2">
        <f>H349*AP349</f>
        <v>0</v>
      </c>
      <c r="BJ349" s="2">
        <f>H349*I349</f>
        <v>0</v>
      </c>
      <c r="BK349" s="2"/>
      <c r="BL349" s="2">
        <v>762</v>
      </c>
    </row>
    <row r="350" spans="1:13" ht="13.5" customHeight="1">
      <c r="A350" s="51"/>
      <c r="B350" s="32" t="s">
        <v>639</v>
      </c>
      <c r="C350" s="75" t="s">
        <v>1057</v>
      </c>
      <c r="D350" s="76"/>
      <c r="E350" s="76"/>
      <c r="F350" s="76"/>
      <c r="G350" s="76"/>
      <c r="H350" s="76"/>
      <c r="I350" s="76"/>
      <c r="J350" s="76"/>
      <c r="K350" s="76"/>
      <c r="L350" s="76"/>
      <c r="M350" s="77"/>
    </row>
    <row r="351" spans="1:64" ht="15" customHeight="1">
      <c r="A351" s="15" t="s">
        <v>22</v>
      </c>
      <c r="B351" s="14" t="s">
        <v>1030</v>
      </c>
      <c r="C351" s="58" t="s">
        <v>998</v>
      </c>
      <c r="D351" s="58"/>
      <c r="E351" s="58"/>
      <c r="F351" s="58"/>
      <c r="G351" s="14" t="s">
        <v>999</v>
      </c>
      <c r="H351" s="2">
        <v>24.66</v>
      </c>
      <c r="I351" s="2">
        <v>0</v>
      </c>
      <c r="J351" s="2">
        <f>H351*AO351</f>
        <v>0</v>
      </c>
      <c r="K351" s="2">
        <f>H351*AP351</f>
        <v>0</v>
      </c>
      <c r="L351" s="2">
        <f>H351*I351</f>
        <v>0</v>
      </c>
      <c r="M351" s="7" t="s">
        <v>831</v>
      </c>
      <c r="Z351" s="2">
        <f>IF(AQ351="5",BJ351,0)</f>
        <v>0</v>
      </c>
      <c r="AB351" s="2">
        <f>IF(AQ351="1",BH351,0)</f>
        <v>0</v>
      </c>
      <c r="AC351" s="2">
        <f>IF(AQ351="1",BI351,0)</f>
        <v>0</v>
      </c>
      <c r="AD351" s="2">
        <f>IF(AQ351="7",BH351,0)</f>
        <v>0</v>
      </c>
      <c r="AE351" s="2">
        <f>IF(AQ351="7",BI351,0)</f>
        <v>0</v>
      </c>
      <c r="AF351" s="2">
        <f>IF(AQ351="2",BH351,0)</f>
        <v>0</v>
      </c>
      <c r="AG351" s="2">
        <f>IF(AQ351="2",BI351,0)</f>
        <v>0</v>
      </c>
      <c r="AH351" s="2">
        <f>IF(AQ351="0",BJ351,0)</f>
        <v>0</v>
      </c>
      <c r="AI351" s="19" t="s">
        <v>255</v>
      </c>
      <c r="AJ351" s="2">
        <f>IF(AN351=0,L351,0)</f>
        <v>0</v>
      </c>
      <c r="AK351" s="2">
        <f>IF(AN351=15,L351,0)</f>
        <v>0</v>
      </c>
      <c r="AL351" s="2">
        <f>IF(AN351=21,L351,0)</f>
        <v>0</v>
      </c>
      <c r="AN351" s="2">
        <v>15</v>
      </c>
      <c r="AO351" s="2">
        <f>I351*0.607177689528312</f>
        <v>0</v>
      </c>
      <c r="AP351" s="2">
        <f>I351*(1-0.607177689528312)</f>
        <v>0</v>
      </c>
      <c r="AQ351" s="43" t="s">
        <v>1215</v>
      </c>
      <c r="AV351" s="2">
        <f>AW351+AX351</f>
        <v>0</v>
      </c>
      <c r="AW351" s="2">
        <f>H351*AO351</f>
        <v>0</v>
      </c>
      <c r="AX351" s="2">
        <f>H351*AP351</f>
        <v>0</v>
      </c>
      <c r="AY351" s="43" t="s">
        <v>764</v>
      </c>
      <c r="AZ351" s="43" t="s">
        <v>205</v>
      </c>
      <c r="BA351" s="19" t="s">
        <v>1155</v>
      </c>
      <c r="BC351" s="2">
        <f>AW351+AX351</f>
        <v>0</v>
      </c>
      <c r="BD351" s="2">
        <f>I351/(100-BE351)*100</f>
        <v>0</v>
      </c>
      <c r="BE351" s="2">
        <v>0</v>
      </c>
      <c r="BF351" s="2">
        <f>351</f>
        <v>351</v>
      </c>
      <c r="BH351" s="2">
        <f>H351*AO351</f>
        <v>0</v>
      </c>
      <c r="BI351" s="2">
        <f>H351*AP351</f>
        <v>0</v>
      </c>
      <c r="BJ351" s="2">
        <f>H351*I351</f>
        <v>0</v>
      </c>
      <c r="BK351" s="2"/>
      <c r="BL351" s="2">
        <v>762</v>
      </c>
    </row>
    <row r="352" spans="1:13" ht="13.5" customHeight="1">
      <c r="A352" s="51"/>
      <c r="B352" s="32" t="s">
        <v>639</v>
      </c>
      <c r="C352" s="75" t="s">
        <v>641</v>
      </c>
      <c r="D352" s="76"/>
      <c r="E352" s="76"/>
      <c r="F352" s="76"/>
      <c r="G352" s="76"/>
      <c r="H352" s="76"/>
      <c r="I352" s="76"/>
      <c r="J352" s="76"/>
      <c r="K352" s="76"/>
      <c r="L352" s="76"/>
      <c r="M352" s="77"/>
    </row>
    <row r="353" spans="1:64" ht="15" customHeight="1">
      <c r="A353" s="15" t="s">
        <v>1289</v>
      </c>
      <c r="B353" s="14" t="s">
        <v>470</v>
      </c>
      <c r="C353" s="58" t="s">
        <v>1345</v>
      </c>
      <c r="D353" s="58"/>
      <c r="E353" s="58"/>
      <c r="F353" s="58"/>
      <c r="G353" s="14" t="s">
        <v>1165</v>
      </c>
      <c r="H353" s="2">
        <v>12.68</v>
      </c>
      <c r="I353" s="2">
        <v>0</v>
      </c>
      <c r="J353" s="2">
        <f>H353*AO353</f>
        <v>0</v>
      </c>
      <c r="K353" s="2">
        <f>H353*AP353</f>
        <v>0</v>
      </c>
      <c r="L353" s="2">
        <f>H353*I353</f>
        <v>0</v>
      </c>
      <c r="M353" s="7" t="s">
        <v>831</v>
      </c>
      <c r="Z353" s="2">
        <f>IF(AQ353="5",BJ353,0)</f>
        <v>0</v>
      </c>
      <c r="AB353" s="2">
        <f>IF(AQ353="1",BH353,0)</f>
        <v>0</v>
      </c>
      <c r="AC353" s="2">
        <f>IF(AQ353="1",BI353,0)</f>
        <v>0</v>
      </c>
      <c r="AD353" s="2">
        <f>IF(AQ353="7",BH353,0)</f>
        <v>0</v>
      </c>
      <c r="AE353" s="2">
        <f>IF(AQ353="7",BI353,0)</f>
        <v>0</v>
      </c>
      <c r="AF353" s="2">
        <f>IF(AQ353="2",BH353,0)</f>
        <v>0</v>
      </c>
      <c r="AG353" s="2">
        <f>IF(AQ353="2",BI353,0)</f>
        <v>0</v>
      </c>
      <c r="AH353" s="2">
        <f>IF(AQ353="0",BJ353,0)</f>
        <v>0</v>
      </c>
      <c r="AI353" s="19" t="s">
        <v>255</v>
      </c>
      <c r="AJ353" s="2">
        <f>IF(AN353=0,L353,0)</f>
        <v>0</v>
      </c>
      <c r="AK353" s="2">
        <f>IF(AN353=15,L353,0)</f>
        <v>0</v>
      </c>
      <c r="AL353" s="2">
        <f>IF(AN353=21,L353,0)</f>
        <v>0</v>
      </c>
      <c r="AN353" s="2">
        <v>15</v>
      </c>
      <c r="AO353" s="2">
        <f>I353*1</f>
        <v>0</v>
      </c>
      <c r="AP353" s="2">
        <f>I353*(1-1)</f>
        <v>0</v>
      </c>
      <c r="AQ353" s="43" t="s">
        <v>1215</v>
      </c>
      <c r="AV353" s="2">
        <f>AW353+AX353</f>
        <v>0</v>
      </c>
      <c r="AW353" s="2">
        <f>H353*AO353</f>
        <v>0</v>
      </c>
      <c r="AX353" s="2">
        <f>H353*AP353</f>
        <v>0</v>
      </c>
      <c r="AY353" s="43" t="s">
        <v>764</v>
      </c>
      <c r="AZ353" s="43" t="s">
        <v>205</v>
      </c>
      <c r="BA353" s="19" t="s">
        <v>1155</v>
      </c>
      <c r="BC353" s="2">
        <f>AW353+AX353</f>
        <v>0</v>
      </c>
      <c r="BD353" s="2">
        <f>I353/(100-BE353)*100</f>
        <v>0</v>
      </c>
      <c r="BE353" s="2">
        <v>0</v>
      </c>
      <c r="BF353" s="2">
        <f>353</f>
        <v>353</v>
      </c>
      <c r="BH353" s="2">
        <f>H353*AO353</f>
        <v>0</v>
      </c>
      <c r="BI353" s="2">
        <f>H353*AP353</f>
        <v>0</v>
      </c>
      <c r="BJ353" s="2">
        <f>H353*I353</f>
        <v>0</v>
      </c>
      <c r="BK353" s="2"/>
      <c r="BL353" s="2">
        <v>762</v>
      </c>
    </row>
    <row r="354" spans="1:64" ht="15" customHeight="1">
      <c r="A354" s="15" t="s">
        <v>915</v>
      </c>
      <c r="B354" s="14" t="s">
        <v>975</v>
      </c>
      <c r="C354" s="58" t="s">
        <v>238</v>
      </c>
      <c r="D354" s="58"/>
      <c r="E354" s="58"/>
      <c r="F354" s="58"/>
      <c r="G354" s="14" t="s">
        <v>999</v>
      </c>
      <c r="H354" s="2">
        <v>18.45</v>
      </c>
      <c r="I354" s="2">
        <v>0</v>
      </c>
      <c r="J354" s="2">
        <f>H354*AO354</f>
        <v>0</v>
      </c>
      <c r="K354" s="2">
        <f>H354*AP354</f>
        <v>0</v>
      </c>
      <c r="L354" s="2">
        <f>H354*I354</f>
        <v>0</v>
      </c>
      <c r="M354" s="7" t="s">
        <v>831</v>
      </c>
      <c r="Z354" s="2">
        <f>IF(AQ354="5",BJ354,0)</f>
        <v>0</v>
      </c>
      <c r="AB354" s="2">
        <f>IF(AQ354="1",BH354,0)</f>
        <v>0</v>
      </c>
      <c r="AC354" s="2">
        <f>IF(AQ354="1",BI354,0)</f>
        <v>0</v>
      </c>
      <c r="AD354" s="2">
        <f>IF(AQ354="7",BH354,0)</f>
        <v>0</v>
      </c>
      <c r="AE354" s="2">
        <f>IF(AQ354="7",BI354,0)</f>
        <v>0</v>
      </c>
      <c r="AF354" s="2">
        <f>IF(AQ354="2",BH354,0)</f>
        <v>0</v>
      </c>
      <c r="AG354" s="2">
        <f>IF(AQ354="2",BI354,0)</f>
        <v>0</v>
      </c>
      <c r="AH354" s="2">
        <f>IF(AQ354="0",BJ354,0)</f>
        <v>0</v>
      </c>
      <c r="AI354" s="19" t="s">
        <v>255</v>
      </c>
      <c r="AJ354" s="2">
        <f>IF(AN354=0,L354,0)</f>
        <v>0</v>
      </c>
      <c r="AK354" s="2">
        <f>IF(AN354=15,L354,0)</f>
        <v>0</v>
      </c>
      <c r="AL354" s="2">
        <f>IF(AN354=21,L354,0)</f>
        <v>0</v>
      </c>
      <c r="AN354" s="2">
        <v>15</v>
      </c>
      <c r="AO354" s="2">
        <f>I354*0.385146527498996</f>
        <v>0</v>
      </c>
      <c r="AP354" s="2">
        <f>I354*(1-0.385146527498996)</f>
        <v>0</v>
      </c>
      <c r="AQ354" s="43" t="s">
        <v>1215</v>
      </c>
      <c r="AV354" s="2">
        <f>AW354+AX354</f>
        <v>0</v>
      </c>
      <c r="AW354" s="2">
        <f>H354*AO354</f>
        <v>0</v>
      </c>
      <c r="AX354" s="2">
        <f>H354*AP354</f>
        <v>0</v>
      </c>
      <c r="AY354" s="43" t="s">
        <v>764</v>
      </c>
      <c r="AZ354" s="43" t="s">
        <v>205</v>
      </c>
      <c r="BA354" s="19" t="s">
        <v>1155</v>
      </c>
      <c r="BC354" s="2">
        <f>AW354+AX354</f>
        <v>0</v>
      </c>
      <c r="BD354" s="2">
        <f>I354/(100-BE354)*100</f>
        <v>0</v>
      </c>
      <c r="BE354" s="2">
        <v>0</v>
      </c>
      <c r="BF354" s="2">
        <f>354</f>
        <v>354</v>
      </c>
      <c r="BH354" s="2">
        <f>H354*AO354</f>
        <v>0</v>
      </c>
      <c r="BI354" s="2">
        <f>H354*AP354</f>
        <v>0</v>
      </c>
      <c r="BJ354" s="2">
        <f>H354*I354</f>
        <v>0</v>
      </c>
      <c r="BK354" s="2"/>
      <c r="BL354" s="2">
        <v>762</v>
      </c>
    </row>
    <row r="355" spans="1:64" ht="15" customHeight="1">
      <c r="A355" s="15" t="s">
        <v>713</v>
      </c>
      <c r="B355" s="14" t="s">
        <v>1116</v>
      </c>
      <c r="C355" s="58" t="s">
        <v>1112</v>
      </c>
      <c r="D355" s="58"/>
      <c r="E355" s="58"/>
      <c r="F355" s="58"/>
      <c r="G355" s="14" t="s">
        <v>1189</v>
      </c>
      <c r="H355" s="2">
        <v>34.37</v>
      </c>
      <c r="I355" s="2">
        <v>0</v>
      </c>
      <c r="J355" s="2">
        <f>H355*AO355</f>
        <v>0</v>
      </c>
      <c r="K355" s="2">
        <f>H355*AP355</f>
        <v>0</v>
      </c>
      <c r="L355" s="2">
        <f>H355*I355</f>
        <v>0</v>
      </c>
      <c r="M355" s="7" t="s">
        <v>831</v>
      </c>
      <c r="Z355" s="2">
        <f>IF(AQ355="5",BJ355,0)</f>
        <v>0</v>
      </c>
      <c r="AB355" s="2">
        <f>IF(AQ355="1",BH355,0)</f>
        <v>0</v>
      </c>
      <c r="AC355" s="2">
        <f>IF(AQ355="1",BI355,0)</f>
        <v>0</v>
      </c>
      <c r="AD355" s="2">
        <f>IF(AQ355="7",BH355,0)</f>
        <v>0</v>
      </c>
      <c r="AE355" s="2">
        <f>IF(AQ355="7",BI355,0)</f>
        <v>0</v>
      </c>
      <c r="AF355" s="2">
        <f>IF(AQ355="2",BH355,0)</f>
        <v>0</v>
      </c>
      <c r="AG355" s="2">
        <f>IF(AQ355="2",BI355,0)</f>
        <v>0</v>
      </c>
      <c r="AH355" s="2">
        <f>IF(AQ355="0",BJ355,0)</f>
        <v>0</v>
      </c>
      <c r="AI355" s="19" t="s">
        <v>255</v>
      </c>
      <c r="AJ355" s="2">
        <f>IF(AN355=0,L355,0)</f>
        <v>0</v>
      </c>
      <c r="AK355" s="2">
        <f>IF(AN355=15,L355,0)</f>
        <v>0</v>
      </c>
      <c r="AL355" s="2">
        <f>IF(AN355=21,L355,0)</f>
        <v>0</v>
      </c>
      <c r="AN355" s="2">
        <v>15</v>
      </c>
      <c r="AO355" s="2">
        <f>I355*0.0625756343211311</f>
        <v>0</v>
      </c>
      <c r="AP355" s="2">
        <f>I355*(1-0.0625756343211311)</f>
        <v>0</v>
      </c>
      <c r="AQ355" s="43" t="s">
        <v>1215</v>
      </c>
      <c r="AV355" s="2">
        <f>AW355+AX355</f>
        <v>0</v>
      </c>
      <c r="AW355" s="2">
        <f>H355*AO355</f>
        <v>0</v>
      </c>
      <c r="AX355" s="2">
        <f>H355*AP355</f>
        <v>0</v>
      </c>
      <c r="AY355" s="43" t="s">
        <v>764</v>
      </c>
      <c r="AZ355" s="43" t="s">
        <v>205</v>
      </c>
      <c r="BA355" s="19" t="s">
        <v>1155</v>
      </c>
      <c r="BC355" s="2">
        <f>AW355+AX355</f>
        <v>0</v>
      </c>
      <c r="BD355" s="2">
        <f>I355/(100-BE355)*100</f>
        <v>0</v>
      </c>
      <c r="BE355" s="2">
        <v>0</v>
      </c>
      <c r="BF355" s="2">
        <f>355</f>
        <v>355</v>
      </c>
      <c r="BH355" s="2">
        <f>H355*AO355</f>
        <v>0</v>
      </c>
      <c r="BI355" s="2">
        <f>H355*AP355</f>
        <v>0</v>
      </c>
      <c r="BJ355" s="2">
        <f>H355*I355</f>
        <v>0</v>
      </c>
      <c r="BK355" s="2"/>
      <c r="BL355" s="2">
        <v>762</v>
      </c>
    </row>
    <row r="356" spans="1:13" ht="13.5" customHeight="1">
      <c r="A356" s="51"/>
      <c r="B356" s="32" t="s">
        <v>639</v>
      </c>
      <c r="C356" s="75" t="s">
        <v>883</v>
      </c>
      <c r="D356" s="76"/>
      <c r="E356" s="76"/>
      <c r="F356" s="76"/>
      <c r="G356" s="76"/>
      <c r="H356" s="76"/>
      <c r="I356" s="76"/>
      <c r="J356" s="76"/>
      <c r="K356" s="76"/>
      <c r="L356" s="76"/>
      <c r="M356" s="77"/>
    </row>
    <row r="357" spans="1:64" ht="15" customHeight="1">
      <c r="A357" s="15" t="s">
        <v>1242</v>
      </c>
      <c r="B357" s="14" t="s">
        <v>1204</v>
      </c>
      <c r="C357" s="58" t="s">
        <v>401</v>
      </c>
      <c r="D357" s="58"/>
      <c r="E357" s="58"/>
      <c r="F357" s="58"/>
      <c r="G357" s="14" t="s">
        <v>1189</v>
      </c>
      <c r="H357" s="2">
        <v>37.807</v>
      </c>
      <c r="I357" s="2">
        <v>0</v>
      </c>
      <c r="J357" s="2">
        <f>H357*AO357</f>
        <v>0</v>
      </c>
      <c r="K357" s="2">
        <f>H357*AP357</f>
        <v>0</v>
      </c>
      <c r="L357" s="2">
        <f>H357*I357</f>
        <v>0</v>
      </c>
      <c r="M357" s="7" t="s">
        <v>831</v>
      </c>
      <c r="Z357" s="2">
        <f>IF(AQ357="5",BJ357,0)</f>
        <v>0</v>
      </c>
      <c r="AB357" s="2">
        <f>IF(AQ357="1",BH357,0)</f>
        <v>0</v>
      </c>
      <c r="AC357" s="2">
        <f>IF(AQ357="1",BI357,0)</f>
        <v>0</v>
      </c>
      <c r="AD357" s="2">
        <f>IF(AQ357="7",BH357,0)</f>
        <v>0</v>
      </c>
      <c r="AE357" s="2">
        <f>IF(AQ357="7",BI357,0)</f>
        <v>0</v>
      </c>
      <c r="AF357" s="2">
        <f>IF(AQ357="2",BH357,0)</f>
        <v>0</v>
      </c>
      <c r="AG357" s="2">
        <f>IF(AQ357="2",BI357,0)</f>
        <v>0</v>
      </c>
      <c r="AH357" s="2">
        <f>IF(AQ357="0",BJ357,0)</f>
        <v>0</v>
      </c>
      <c r="AI357" s="19" t="s">
        <v>255</v>
      </c>
      <c r="AJ357" s="2">
        <f>IF(AN357=0,L357,0)</f>
        <v>0</v>
      </c>
      <c r="AK357" s="2">
        <f>IF(AN357=15,L357,0)</f>
        <v>0</v>
      </c>
      <c r="AL357" s="2">
        <f>IF(AN357=21,L357,0)</f>
        <v>0</v>
      </c>
      <c r="AN357" s="2">
        <v>15</v>
      </c>
      <c r="AO357" s="2">
        <f>I357*1</f>
        <v>0</v>
      </c>
      <c r="AP357" s="2">
        <f>I357*(1-1)</f>
        <v>0</v>
      </c>
      <c r="AQ357" s="43" t="s">
        <v>1215</v>
      </c>
      <c r="AV357" s="2">
        <f>AW357+AX357</f>
        <v>0</v>
      </c>
      <c r="AW357" s="2">
        <f>H357*AO357</f>
        <v>0</v>
      </c>
      <c r="AX357" s="2">
        <f>H357*AP357</f>
        <v>0</v>
      </c>
      <c r="AY357" s="43" t="s">
        <v>764</v>
      </c>
      <c r="AZ357" s="43" t="s">
        <v>205</v>
      </c>
      <c r="BA357" s="19" t="s">
        <v>1155</v>
      </c>
      <c r="BC357" s="2">
        <f>AW357+AX357</f>
        <v>0</v>
      </c>
      <c r="BD357" s="2">
        <f>I357/(100-BE357)*100</f>
        <v>0</v>
      </c>
      <c r="BE357" s="2">
        <v>0</v>
      </c>
      <c r="BF357" s="2">
        <f>357</f>
        <v>357</v>
      </c>
      <c r="BH357" s="2">
        <f>H357*AO357</f>
        <v>0</v>
      </c>
      <c r="BI357" s="2">
        <f>H357*AP357</f>
        <v>0</v>
      </c>
      <c r="BJ357" s="2">
        <f>H357*I357</f>
        <v>0</v>
      </c>
      <c r="BK357" s="2"/>
      <c r="BL357" s="2">
        <v>762</v>
      </c>
    </row>
    <row r="358" spans="1:64" ht="15" customHeight="1">
      <c r="A358" s="15" t="s">
        <v>977</v>
      </c>
      <c r="B358" s="14" t="s">
        <v>928</v>
      </c>
      <c r="C358" s="58" t="s">
        <v>1299</v>
      </c>
      <c r="D358" s="58"/>
      <c r="E358" s="58"/>
      <c r="F358" s="58"/>
      <c r="G358" s="14" t="s">
        <v>584</v>
      </c>
      <c r="H358" s="2">
        <v>16.515</v>
      </c>
      <c r="I358" s="2">
        <v>0</v>
      </c>
      <c r="J358" s="2">
        <f>H358*AO358</f>
        <v>0</v>
      </c>
      <c r="K358" s="2">
        <f>H358*AP358</f>
        <v>0</v>
      </c>
      <c r="L358" s="2">
        <f>H358*I358</f>
        <v>0</v>
      </c>
      <c r="M358" s="7" t="s">
        <v>831</v>
      </c>
      <c r="Z358" s="2">
        <f>IF(AQ358="5",BJ358,0)</f>
        <v>0</v>
      </c>
      <c r="AB358" s="2">
        <f>IF(AQ358="1",BH358,0)</f>
        <v>0</v>
      </c>
      <c r="AC358" s="2">
        <f>IF(AQ358="1",BI358,0)</f>
        <v>0</v>
      </c>
      <c r="AD358" s="2">
        <f>IF(AQ358="7",BH358,0)</f>
        <v>0</v>
      </c>
      <c r="AE358" s="2">
        <f>IF(AQ358="7",BI358,0)</f>
        <v>0</v>
      </c>
      <c r="AF358" s="2">
        <f>IF(AQ358="2",BH358,0)</f>
        <v>0</v>
      </c>
      <c r="AG358" s="2">
        <f>IF(AQ358="2",BI358,0)</f>
        <v>0</v>
      </c>
      <c r="AH358" s="2">
        <f>IF(AQ358="0",BJ358,0)</f>
        <v>0</v>
      </c>
      <c r="AI358" s="19" t="s">
        <v>255</v>
      </c>
      <c r="AJ358" s="2">
        <f>IF(AN358=0,L358,0)</f>
        <v>0</v>
      </c>
      <c r="AK358" s="2">
        <f>IF(AN358=15,L358,0)</f>
        <v>0</v>
      </c>
      <c r="AL358" s="2">
        <f>IF(AN358=21,L358,0)</f>
        <v>0</v>
      </c>
      <c r="AN358" s="2">
        <v>15</v>
      </c>
      <c r="AO358" s="2">
        <f>I358*0</f>
        <v>0</v>
      </c>
      <c r="AP358" s="2">
        <f>I358*(1-0)</f>
        <v>0</v>
      </c>
      <c r="AQ358" s="43" t="s">
        <v>655</v>
      </c>
      <c r="AV358" s="2">
        <f>AW358+AX358</f>
        <v>0</v>
      </c>
      <c r="AW358" s="2">
        <f>H358*AO358</f>
        <v>0</v>
      </c>
      <c r="AX358" s="2">
        <f>H358*AP358</f>
        <v>0</v>
      </c>
      <c r="AY358" s="43" t="s">
        <v>764</v>
      </c>
      <c r="AZ358" s="43" t="s">
        <v>205</v>
      </c>
      <c r="BA358" s="19" t="s">
        <v>1155</v>
      </c>
      <c r="BC358" s="2">
        <f>AW358+AX358</f>
        <v>0</v>
      </c>
      <c r="BD358" s="2">
        <f>I358/(100-BE358)*100</f>
        <v>0</v>
      </c>
      <c r="BE358" s="2">
        <v>0</v>
      </c>
      <c r="BF358" s="2">
        <f>358</f>
        <v>358</v>
      </c>
      <c r="BH358" s="2">
        <f>H358*AO358</f>
        <v>0</v>
      </c>
      <c r="BI358" s="2">
        <f>H358*AP358</f>
        <v>0</v>
      </c>
      <c r="BJ358" s="2">
        <f>H358*I358</f>
        <v>0</v>
      </c>
      <c r="BK358" s="2"/>
      <c r="BL358" s="2">
        <v>762</v>
      </c>
    </row>
    <row r="359" spans="1:47" ht="15" customHeight="1">
      <c r="A359" s="48" t="s">
        <v>844</v>
      </c>
      <c r="B359" s="17" t="s">
        <v>94</v>
      </c>
      <c r="C359" s="74" t="s">
        <v>185</v>
      </c>
      <c r="D359" s="74"/>
      <c r="E359" s="74"/>
      <c r="F359" s="74"/>
      <c r="G359" s="40" t="s">
        <v>1110</v>
      </c>
      <c r="H359" s="40" t="s">
        <v>1110</v>
      </c>
      <c r="I359" s="40" t="s">
        <v>1110</v>
      </c>
      <c r="J359" s="23">
        <f>SUM(J360:J376)</f>
        <v>0</v>
      </c>
      <c r="K359" s="23">
        <f>SUM(K360:K376)</f>
        <v>0</v>
      </c>
      <c r="L359" s="23">
        <f>SUM(L360:L376)</f>
        <v>0</v>
      </c>
      <c r="M359" s="37" t="s">
        <v>844</v>
      </c>
      <c r="AI359" s="19" t="s">
        <v>255</v>
      </c>
      <c r="AS359" s="23">
        <f>SUM(AJ360:AJ376)</f>
        <v>0</v>
      </c>
      <c r="AT359" s="23">
        <f>SUM(AK360:AK376)</f>
        <v>0</v>
      </c>
      <c r="AU359" s="23">
        <f>SUM(AL360:AL376)</f>
        <v>0</v>
      </c>
    </row>
    <row r="360" spans="1:64" ht="15" customHeight="1">
      <c r="A360" s="15" t="s">
        <v>1179</v>
      </c>
      <c r="B360" s="14" t="s">
        <v>127</v>
      </c>
      <c r="C360" s="58" t="s">
        <v>130</v>
      </c>
      <c r="D360" s="58"/>
      <c r="E360" s="58"/>
      <c r="F360" s="58"/>
      <c r="G360" s="14" t="s">
        <v>1189</v>
      </c>
      <c r="H360" s="2">
        <v>305.69</v>
      </c>
      <c r="I360" s="2">
        <v>0</v>
      </c>
      <c r="J360" s="2">
        <f>H360*AO360</f>
        <v>0</v>
      </c>
      <c r="K360" s="2">
        <f>H360*AP360</f>
        <v>0</v>
      </c>
      <c r="L360" s="2">
        <f>H360*I360</f>
        <v>0</v>
      </c>
      <c r="M360" s="7" t="s">
        <v>831</v>
      </c>
      <c r="Z360" s="2">
        <f>IF(AQ360="5",BJ360,0)</f>
        <v>0</v>
      </c>
      <c r="AB360" s="2">
        <f>IF(AQ360="1",BH360,0)</f>
        <v>0</v>
      </c>
      <c r="AC360" s="2">
        <f>IF(AQ360="1",BI360,0)</f>
        <v>0</v>
      </c>
      <c r="AD360" s="2">
        <f>IF(AQ360="7",BH360,0)</f>
        <v>0</v>
      </c>
      <c r="AE360" s="2">
        <f>IF(AQ360="7",BI360,0)</f>
        <v>0</v>
      </c>
      <c r="AF360" s="2">
        <f>IF(AQ360="2",BH360,0)</f>
        <v>0</v>
      </c>
      <c r="AG360" s="2">
        <f>IF(AQ360="2",BI360,0)</f>
        <v>0</v>
      </c>
      <c r="AH360" s="2">
        <f>IF(AQ360="0",BJ360,0)</f>
        <v>0</v>
      </c>
      <c r="AI360" s="19" t="s">
        <v>255</v>
      </c>
      <c r="AJ360" s="2">
        <f>IF(AN360=0,L360,0)</f>
        <v>0</v>
      </c>
      <c r="AK360" s="2">
        <f>IF(AN360=15,L360,0)</f>
        <v>0</v>
      </c>
      <c r="AL360" s="2">
        <f>IF(AN360=21,L360,0)</f>
        <v>0</v>
      </c>
      <c r="AN360" s="2">
        <v>15</v>
      </c>
      <c r="AO360" s="2">
        <f>I360*0.601309725448658</f>
        <v>0</v>
      </c>
      <c r="AP360" s="2">
        <f>I360*(1-0.601309725448658)</f>
        <v>0</v>
      </c>
      <c r="AQ360" s="43" t="s">
        <v>1215</v>
      </c>
      <c r="AV360" s="2">
        <f>AW360+AX360</f>
        <v>0</v>
      </c>
      <c r="AW360" s="2">
        <f>H360*AO360</f>
        <v>0</v>
      </c>
      <c r="AX360" s="2">
        <f>H360*AP360</f>
        <v>0</v>
      </c>
      <c r="AY360" s="43" t="s">
        <v>970</v>
      </c>
      <c r="AZ360" s="43" t="s">
        <v>205</v>
      </c>
      <c r="BA360" s="19" t="s">
        <v>1155</v>
      </c>
      <c r="BC360" s="2">
        <f>AW360+AX360</f>
        <v>0</v>
      </c>
      <c r="BD360" s="2">
        <f>I360/(100-BE360)*100</f>
        <v>0</v>
      </c>
      <c r="BE360" s="2">
        <v>0</v>
      </c>
      <c r="BF360" s="2">
        <f>360</f>
        <v>360</v>
      </c>
      <c r="BH360" s="2">
        <f>H360*AO360</f>
        <v>0</v>
      </c>
      <c r="BI360" s="2">
        <f>H360*AP360</f>
        <v>0</v>
      </c>
      <c r="BJ360" s="2">
        <f>H360*I360</f>
        <v>0</v>
      </c>
      <c r="BK360" s="2"/>
      <c r="BL360" s="2">
        <v>764</v>
      </c>
    </row>
    <row r="361" spans="1:13" ht="13.5" customHeight="1">
      <c r="A361" s="51"/>
      <c r="B361" s="32" t="s">
        <v>639</v>
      </c>
      <c r="C361" s="75" t="s">
        <v>1355</v>
      </c>
      <c r="D361" s="76"/>
      <c r="E361" s="76"/>
      <c r="F361" s="76"/>
      <c r="G361" s="76"/>
      <c r="H361" s="76"/>
      <c r="I361" s="76"/>
      <c r="J361" s="76"/>
      <c r="K361" s="76"/>
      <c r="L361" s="76"/>
      <c r="M361" s="77"/>
    </row>
    <row r="362" spans="1:64" ht="15" customHeight="1">
      <c r="A362" s="15" t="s">
        <v>232</v>
      </c>
      <c r="B362" s="14" t="s">
        <v>137</v>
      </c>
      <c r="C362" s="58" t="s">
        <v>775</v>
      </c>
      <c r="D362" s="58"/>
      <c r="E362" s="58"/>
      <c r="F362" s="58"/>
      <c r="G362" s="14" t="s">
        <v>319</v>
      </c>
      <c r="H362" s="2">
        <v>854</v>
      </c>
      <c r="I362" s="2">
        <v>0</v>
      </c>
      <c r="J362" s="2">
        <f>H362*AO362</f>
        <v>0</v>
      </c>
      <c r="K362" s="2">
        <f>H362*AP362</f>
        <v>0</v>
      </c>
      <c r="L362" s="2">
        <f>H362*I362</f>
        <v>0</v>
      </c>
      <c r="M362" s="7" t="s">
        <v>831</v>
      </c>
      <c r="Z362" s="2">
        <f>IF(AQ362="5",BJ362,0)</f>
        <v>0</v>
      </c>
      <c r="AB362" s="2">
        <f>IF(AQ362="1",BH362,0)</f>
        <v>0</v>
      </c>
      <c r="AC362" s="2">
        <f>IF(AQ362="1",BI362,0)</f>
        <v>0</v>
      </c>
      <c r="AD362" s="2">
        <f>IF(AQ362="7",BH362,0)</f>
        <v>0</v>
      </c>
      <c r="AE362" s="2">
        <f>IF(AQ362="7",BI362,0)</f>
        <v>0</v>
      </c>
      <c r="AF362" s="2">
        <f>IF(AQ362="2",BH362,0)</f>
        <v>0</v>
      </c>
      <c r="AG362" s="2">
        <f>IF(AQ362="2",BI362,0)</f>
        <v>0</v>
      </c>
      <c r="AH362" s="2">
        <f>IF(AQ362="0",BJ362,0)</f>
        <v>0</v>
      </c>
      <c r="AI362" s="19" t="s">
        <v>255</v>
      </c>
      <c r="AJ362" s="2">
        <f>IF(AN362=0,L362,0)</f>
        <v>0</v>
      </c>
      <c r="AK362" s="2">
        <f>IF(AN362=15,L362,0)</f>
        <v>0</v>
      </c>
      <c r="AL362" s="2">
        <f>IF(AN362=21,L362,0)</f>
        <v>0</v>
      </c>
      <c r="AN362" s="2">
        <v>15</v>
      </c>
      <c r="AO362" s="2">
        <f>I362*0.338733031674208</f>
        <v>0</v>
      </c>
      <c r="AP362" s="2">
        <f>I362*(1-0.338733031674208)</f>
        <v>0</v>
      </c>
      <c r="AQ362" s="43" t="s">
        <v>1215</v>
      </c>
      <c r="AV362" s="2">
        <f>AW362+AX362</f>
        <v>0</v>
      </c>
      <c r="AW362" s="2">
        <f>H362*AO362</f>
        <v>0</v>
      </c>
      <c r="AX362" s="2">
        <f>H362*AP362</f>
        <v>0</v>
      </c>
      <c r="AY362" s="43" t="s">
        <v>970</v>
      </c>
      <c r="AZ362" s="43" t="s">
        <v>205</v>
      </c>
      <c r="BA362" s="19" t="s">
        <v>1155</v>
      </c>
      <c r="BC362" s="2">
        <f>AW362+AX362</f>
        <v>0</v>
      </c>
      <c r="BD362" s="2">
        <f>I362/(100-BE362)*100</f>
        <v>0</v>
      </c>
      <c r="BE362" s="2">
        <v>0</v>
      </c>
      <c r="BF362" s="2">
        <f>362</f>
        <v>362</v>
      </c>
      <c r="BH362" s="2">
        <f>H362*AO362</f>
        <v>0</v>
      </c>
      <c r="BI362" s="2">
        <f>H362*AP362</f>
        <v>0</v>
      </c>
      <c r="BJ362" s="2">
        <f>H362*I362</f>
        <v>0</v>
      </c>
      <c r="BK362" s="2"/>
      <c r="BL362" s="2">
        <v>764</v>
      </c>
    </row>
    <row r="363" spans="1:64" ht="15" customHeight="1">
      <c r="A363" s="15" t="s">
        <v>1005</v>
      </c>
      <c r="B363" s="14" t="s">
        <v>1323</v>
      </c>
      <c r="C363" s="58" t="s">
        <v>294</v>
      </c>
      <c r="D363" s="58"/>
      <c r="E363" s="58"/>
      <c r="F363" s="58"/>
      <c r="G363" s="14" t="s">
        <v>1189</v>
      </c>
      <c r="H363" s="2">
        <v>234.42</v>
      </c>
      <c r="I363" s="2">
        <v>0</v>
      </c>
      <c r="J363" s="2">
        <f>H363*AO363</f>
        <v>0</v>
      </c>
      <c r="K363" s="2">
        <f>H363*AP363</f>
        <v>0</v>
      </c>
      <c r="L363" s="2">
        <f>H363*I363</f>
        <v>0</v>
      </c>
      <c r="M363" s="7" t="s">
        <v>831</v>
      </c>
      <c r="Z363" s="2">
        <f>IF(AQ363="5",BJ363,0)</f>
        <v>0</v>
      </c>
      <c r="AB363" s="2">
        <f>IF(AQ363="1",BH363,0)</f>
        <v>0</v>
      </c>
      <c r="AC363" s="2">
        <f>IF(AQ363="1",BI363,0)</f>
        <v>0</v>
      </c>
      <c r="AD363" s="2">
        <f>IF(AQ363="7",BH363,0)</f>
        <v>0</v>
      </c>
      <c r="AE363" s="2">
        <f>IF(AQ363="7",BI363,0)</f>
        <v>0</v>
      </c>
      <c r="AF363" s="2">
        <f>IF(AQ363="2",BH363,0)</f>
        <v>0</v>
      </c>
      <c r="AG363" s="2">
        <f>IF(AQ363="2",BI363,0)</f>
        <v>0</v>
      </c>
      <c r="AH363" s="2">
        <f>IF(AQ363="0",BJ363,0)</f>
        <v>0</v>
      </c>
      <c r="AI363" s="19" t="s">
        <v>255</v>
      </c>
      <c r="AJ363" s="2">
        <f>IF(AN363=0,L363,0)</f>
        <v>0</v>
      </c>
      <c r="AK363" s="2">
        <f>IF(AN363=15,L363,0)</f>
        <v>0</v>
      </c>
      <c r="AL363" s="2">
        <f>IF(AN363=21,L363,0)</f>
        <v>0</v>
      </c>
      <c r="AN363" s="2">
        <v>15</v>
      </c>
      <c r="AO363" s="2">
        <f>I363*0</f>
        <v>0</v>
      </c>
      <c r="AP363" s="2">
        <f>I363*(1-0)</f>
        <v>0</v>
      </c>
      <c r="AQ363" s="43" t="s">
        <v>1215</v>
      </c>
      <c r="AV363" s="2">
        <f>AW363+AX363</f>
        <v>0</v>
      </c>
      <c r="AW363" s="2">
        <f>H363*AO363</f>
        <v>0</v>
      </c>
      <c r="AX363" s="2">
        <f>H363*AP363</f>
        <v>0</v>
      </c>
      <c r="AY363" s="43" t="s">
        <v>970</v>
      </c>
      <c r="AZ363" s="43" t="s">
        <v>205</v>
      </c>
      <c r="BA363" s="19" t="s">
        <v>1155</v>
      </c>
      <c r="BC363" s="2">
        <f>AW363+AX363</f>
        <v>0</v>
      </c>
      <c r="BD363" s="2">
        <f>I363/(100-BE363)*100</f>
        <v>0</v>
      </c>
      <c r="BE363" s="2">
        <v>0</v>
      </c>
      <c r="BF363" s="2">
        <f>363</f>
        <v>363</v>
      </c>
      <c r="BH363" s="2">
        <f>H363*AO363</f>
        <v>0</v>
      </c>
      <c r="BI363" s="2">
        <f>H363*AP363</f>
        <v>0</v>
      </c>
      <c r="BJ363" s="2">
        <f>H363*I363</f>
        <v>0</v>
      </c>
      <c r="BK363" s="2"/>
      <c r="BL363" s="2">
        <v>764</v>
      </c>
    </row>
    <row r="364" spans="1:64" ht="15" customHeight="1">
      <c r="A364" s="15" t="s">
        <v>1352</v>
      </c>
      <c r="B364" s="14" t="s">
        <v>345</v>
      </c>
      <c r="C364" s="58" t="s">
        <v>1250</v>
      </c>
      <c r="D364" s="58"/>
      <c r="E364" s="58"/>
      <c r="F364" s="58"/>
      <c r="G364" s="14" t="s">
        <v>999</v>
      </c>
      <c r="H364" s="2">
        <v>26.22</v>
      </c>
      <c r="I364" s="2">
        <v>0</v>
      </c>
      <c r="J364" s="2">
        <f>H364*AO364</f>
        <v>0</v>
      </c>
      <c r="K364" s="2">
        <f>H364*AP364</f>
        <v>0</v>
      </c>
      <c r="L364" s="2">
        <f>H364*I364</f>
        <v>0</v>
      </c>
      <c r="M364" s="7" t="s">
        <v>831</v>
      </c>
      <c r="Z364" s="2">
        <f>IF(AQ364="5",BJ364,0)</f>
        <v>0</v>
      </c>
      <c r="AB364" s="2">
        <f>IF(AQ364="1",BH364,0)</f>
        <v>0</v>
      </c>
      <c r="AC364" s="2">
        <f>IF(AQ364="1",BI364,0)</f>
        <v>0</v>
      </c>
      <c r="AD364" s="2">
        <f>IF(AQ364="7",BH364,0)</f>
        <v>0</v>
      </c>
      <c r="AE364" s="2">
        <f>IF(AQ364="7",BI364,0)</f>
        <v>0</v>
      </c>
      <c r="AF364" s="2">
        <f>IF(AQ364="2",BH364,0)</f>
        <v>0</v>
      </c>
      <c r="AG364" s="2">
        <f>IF(AQ364="2",BI364,0)</f>
        <v>0</v>
      </c>
      <c r="AH364" s="2">
        <f>IF(AQ364="0",BJ364,0)</f>
        <v>0</v>
      </c>
      <c r="AI364" s="19" t="s">
        <v>255</v>
      </c>
      <c r="AJ364" s="2">
        <f>IF(AN364=0,L364,0)</f>
        <v>0</v>
      </c>
      <c r="AK364" s="2">
        <f>IF(AN364=15,L364,0)</f>
        <v>0</v>
      </c>
      <c r="AL364" s="2">
        <f>IF(AN364=21,L364,0)</f>
        <v>0</v>
      </c>
      <c r="AN364" s="2">
        <v>15</v>
      </c>
      <c r="AO364" s="2">
        <f>I364*0.62553669887901</f>
        <v>0</v>
      </c>
      <c r="AP364" s="2">
        <f>I364*(1-0.62553669887901)</f>
        <v>0</v>
      </c>
      <c r="AQ364" s="43" t="s">
        <v>1215</v>
      </c>
      <c r="AV364" s="2">
        <f>AW364+AX364</f>
        <v>0</v>
      </c>
      <c r="AW364" s="2">
        <f>H364*AO364</f>
        <v>0</v>
      </c>
      <c r="AX364" s="2">
        <f>H364*AP364</f>
        <v>0</v>
      </c>
      <c r="AY364" s="43" t="s">
        <v>970</v>
      </c>
      <c r="AZ364" s="43" t="s">
        <v>205</v>
      </c>
      <c r="BA364" s="19" t="s">
        <v>1155</v>
      </c>
      <c r="BC364" s="2">
        <f>AW364+AX364</f>
        <v>0</v>
      </c>
      <c r="BD364" s="2">
        <f>I364/(100-BE364)*100</f>
        <v>0</v>
      </c>
      <c r="BE364" s="2">
        <v>0</v>
      </c>
      <c r="BF364" s="2">
        <f>364</f>
        <v>364</v>
      </c>
      <c r="BH364" s="2">
        <f>H364*AO364</f>
        <v>0</v>
      </c>
      <c r="BI364" s="2">
        <f>H364*AP364</f>
        <v>0</v>
      </c>
      <c r="BJ364" s="2">
        <f>H364*I364</f>
        <v>0</v>
      </c>
      <c r="BK364" s="2"/>
      <c r="BL364" s="2">
        <v>764</v>
      </c>
    </row>
    <row r="365" spans="1:64" ht="15" customHeight="1">
      <c r="A365" s="15" t="s">
        <v>325</v>
      </c>
      <c r="B365" s="14" t="s">
        <v>320</v>
      </c>
      <c r="C365" s="58" t="s">
        <v>777</v>
      </c>
      <c r="D365" s="58"/>
      <c r="E365" s="58"/>
      <c r="F365" s="58"/>
      <c r="G365" s="14" t="s">
        <v>999</v>
      </c>
      <c r="H365" s="2">
        <v>24.48</v>
      </c>
      <c r="I365" s="2">
        <v>0</v>
      </c>
      <c r="J365" s="2">
        <f>H365*AO365</f>
        <v>0</v>
      </c>
      <c r="K365" s="2">
        <f>H365*AP365</f>
        <v>0</v>
      </c>
      <c r="L365" s="2">
        <f>H365*I365</f>
        <v>0</v>
      </c>
      <c r="M365" s="7" t="s">
        <v>831</v>
      </c>
      <c r="Z365" s="2">
        <f>IF(AQ365="5",BJ365,0)</f>
        <v>0</v>
      </c>
      <c r="AB365" s="2">
        <f>IF(AQ365="1",BH365,0)</f>
        <v>0</v>
      </c>
      <c r="AC365" s="2">
        <f>IF(AQ365="1",BI365,0)</f>
        <v>0</v>
      </c>
      <c r="AD365" s="2">
        <f>IF(AQ365="7",BH365,0)</f>
        <v>0</v>
      </c>
      <c r="AE365" s="2">
        <f>IF(AQ365="7",BI365,0)</f>
        <v>0</v>
      </c>
      <c r="AF365" s="2">
        <f>IF(AQ365="2",BH365,0)</f>
        <v>0</v>
      </c>
      <c r="AG365" s="2">
        <f>IF(AQ365="2",BI365,0)</f>
        <v>0</v>
      </c>
      <c r="AH365" s="2">
        <f>IF(AQ365="0",BJ365,0)</f>
        <v>0</v>
      </c>
      <c r="AI365" s="19" t="s">
        <v>255</v>
      </c>
      <c r="AJ365" s="2">
        <f>IF(AN365=0,L365,0)</f>
        <v>0</v>
      </c>
      <c r="AK365" s="2">
        <f>IF(AN365=15,L365,0)</f>
        <v>0</v>
      </c>
      <c r="AL365" s="2">
        <f>IF(AN365=21,L365,0)</f>
        <v>0</v>
      </c>
      <c r="AN365" s="2">
        <v>15</v>
      </c>
      <c r="AO365" s="2">
        <f>I365*0.610351059735035</f>
        <v>0</v>
      </c>
      <c r="AP365" s="2">
        <f>I365*(1-0.610351059735035)</f>
        <v>0</v>
      </c>
      <c r="AQ365" s="43" t="s">
        <v>1215</v>
      </c>
      <c r="AV365" s="2">
        <f>AW365+AX365</f>
        <v>0</v>
      </c>
      <c r="AW365" s="2">
        <f>H365*AO365</f>
        <v>0</v>
      </c>
      <c r="AX365" s="2">
        <f>H365*AP365</f>
        <v>0</v>
      </c>
      <c r="AY365" s="43" t="s">
        <v>970</v>
      </c>
      <c r="AZ365" s="43" t="s">
        <v>205</v>
      </c>
      <c r="BA365" s="19" t="s">
        <v>1155</v>
      </c>
      <c r="BC365" s="2">
        <f>AW365+AX365</f>
        <v>0</v>
      </c>
      <c r="BD365" s="2">
        <f>I365/(100-BE365)*100</f>
        <v>0</v>
      </c>
      <c r="BE365" s="2">
        <v>0</v>
      </c>
      <c r="BF365" s="2">
        <f>365</f>
        <v>365</v>
      </c>
      <c r="BH365" s="2">
        <f>H365*AO365</f>
        <v>0</v>
      </c>
      <c r="BI365" s="2">
        <f>H365*AP365</f>
        <v>0</v>
      </c>
      <c r="BJ365" s="2">
        <f>H365*I365</f>
        <v>0</v>
      </c>
      <c r="BK365" s="2"/>
      <c r="BL365" s="2">
        <v>764</v>
      </c>
    </row>
    <row r="366" spans="1:13" ht="13.5" customHeight="1">
      <c r="A366" s="51"/>
      <c r="B366" s="32" t="s">
        <v>639</v>
      </c>
      <c r="C366" s="75" t="s">
        <v>133</v>
      </c>
      <c r="D366" s="76"/>
      <c r="E366" s="76"/>
      <c r="F366" s="76"/>
      <c r="G366" s="76"/>
      <c r="H366" s="76"/>
      <c r="I366" s="76"/>
      <c r="J366" s="76"/>
      <c r="K366" s="76"/>
      <c r="L366" s="76"/>
      <c r="M366" s="77"/>
    </row>
    <row r="367" spans="1:64" ht="15" customHeight="1">
      <c r="A367" s="15" t="s">
        <v>473</v>
      </c>
      <c r="B367" s="14" t="s">
        <v>1074</v>
      </c>
      <c r="C367" s="58" t="s">
        <v>1177</v>
      </c>
      <c r="D367" s="58"/>
      <c r="E367" s="58"/>
      <c r="F367" s="58"/>
      <c r="G367" s="14" t="s">
        <v>319</v>
      </c>
      <c r="H367" s="2">
        <v>14</v>
      </c>
      <c r="I367" s="2">
        <v>0</v>
      </c>
      <c r="J367" s="2">
        <f>H367*AO367</f>
        <v>0</v>
      </c>
      <c r="K367" s="2">
        <f>H367*AP367</f>
        <v>0</v>
      </c>
      <c r="L367" s="2">
        <f>H367*I367</f>
        <v>0</v>
      </c>
      <c r="M367" s="7" t="s">
        <v>831</v>
      </c>
      <c r="Z367" s="2">
        <f>IF(AQ367="5",BJ367,0)</f>
        <v>0</v>
      </c>
      <c r="AB367" s="2">
        <f>IF(AQ367="1",BH367,0)</f>
        <v>0</v>
      </c>
      <c r="AC367" s="2">
        <f>IF(AQ367="1",BI367,0)</f>
        <v>0</v>
      </c>
      <c r="AD367" s="2">
        <f>IF(AQ367="7",BH367,0)</f>
        <v>0</v>
      </c>
      <c r="AE367" s="2">
        <f>IF(AQ367="7",BI367,0)</f>
        <v>0</v>
      </c>
      <c r="AF367" s="2">
        <f>IF(AQ367="2",BH367,0)</f>
        <v>0</v>
      </c>
      <c r="AG367" s="2">
        <f>IF(AQ367="2",BI367,0)</f>
        <v>0</v>
      </c>
      <c r="AH367" s="2">
        <f>IF(AQ367="0",BJ367,0)</f>
        <v>0</v>
      </c>
      <c r="AI367" s="19" t="s">
        <v>255</v>
      </c>
      <c r="AJ367" s="2">
        <f>IF(AN367=0,L367,0)</f>
        <v>0</v>
      </c>
      <c r="AK367" s="2">
        <f>IF(AN367=15,L367,0)</f>
        <v>0</v>
      </c>
      <c r="AL367" s="2">
        <f>IF(AN367=21,L367,0)</f>
        <v>0</v>
      </c>
      <c r="AN367" s="2">
        <v>15</v>
      </c>
      <c r="AO367" s="2">
        <f>I367*0.590342073764653</f>
        <v>0</v>
      </c>
      <c r="AP367" s="2">
        <f>I367*(1-0.590342073764653)</f>
        <v>0</v>
      </c>
      <c r="AQ367" s="43" t="s">
        <v>1215</v>
      </c>
      <c r="AV367" s="2">
        <f>AW367+AX367</f>
        <v>0</v>
      </c>
      <c r="AW367" s="2">
        <f>H367*AO367</f>
        <v>0</v>
      </c>
      <c r="AX367" s="2">
        <f>H367*AP367</f>
        <v>0</v>
      </c>
      <c r="AY367" s="43" t="s">
        <v>970</v>
      </c>
      <c r="AZ367" s="43" t="s">
        <v>205</v>
      </c>
      <c r="BA367" s="19" t="s">
        <v>1155</v>
      </c>
      <c r="BC367" s="2">
        <f>AW367+AX367</f>
        <v>0</v>
      </c>
      <c r="BD367" s="2">
        <f>I367/(100-BE367)*100</f>
        <v>0</v>
      </c>
      <c r="BE367" s="2">
        <v>0</v>
      </c>
      <c r="BF367" s="2">
        <f>367</f>
        <v>367</v>
      </c>
      <c r="BH367" s="2">
        <f>H367*AO367</f>
        <v>0</v>
      </c>
      <c r="BI367" s="2">
        <f>H367*AP367</f>
        <v>0</v>
      </c>
      <c r="BJ367" s="2">
        <f>H367*I367</f>
        <v>0</v>
      </c>
      <c r="BK367" s="2"/>
      <c r="BL367" s="2">
        <v>764</v>
      </c>
    </row>
    <row r="368" spans="1:64" ht="15" customHeight="1">
      <c r="A368" s="15" t="s">
        <v>442</v>
      </c>
      <c r="B368" s="14" t="s">
        <v>1114</v>
      </c>
      <c r="C368" s="58" t="s">
        <v>1035</v>
      </c>
      <c r="D368" s="58"/>
      <c r="E368" s="58"/>
      <c r="F368" s="58"/>
      <c r="G368" s="14" t="s">
        <v>999</v>
      </c>
      <c r="H368" s="2">
        <v>8.85</v>
      </c>
      <c r="I368" s="2">
        <v>0</v>
      </c>
      <c r="J368" s="2">
        <f>H368*AO368</f>
        <v>0</v>
      </c>
      <c r="K368" s="2">
        <f>H368*AP368</f>
        <v>0</v>
      </c>
      <c r="L368" s="2">
        <f>H368*I368</f>
        <v>0</v>
      </c>
      <c r="M368" s="7" t="s">
        <v>831</v>
      </c>
      <c r="Z368" s="2">
        <f>IF(AQ368="5",BJ368,0)</f>
        <v>0</v>
      </c>
      <c r="AB368" s="2">
        <f>IF(AQ368="1",BH368,0)</f>
        <v>0</v>
      </c>
      <c r="AC368" s="2">
        <f>IF(AQ368="1",BI368,0)</f>
        <v>0</v>
      </c>
      <c r="AD368" s="2">
        <f>IF(AQ368="7",BH368,0)</f>
        <v>0</v>
      </c>
      <c r="AE368" s="2">
        <f>IF(AQ368="7",BI368,0)</f>
        <v>0</v>
      </c>
      <c r="AF368" s="2">
        <f>IF(AQ368="2",BH368,0)</f>
        <v>0</v>
      </c>
      <c r="AG368" s="2">
        <f>IF(AQ368="2",BI368,0)</f>
        <v>0</v>
      </c>
      <c r="AH368" s="2">
        <f>IF(AQ368="0",BJ368,0)</f>
        <v>0</v>
      </c>
      <c r="AI368" s="19" t="s">
        <v>255</v>
      </c>
      <c r="AJ368" s="2">
        <f>IF(AN368=0,L368,0)</f>
        <v>0</v>
      </c>
      <c r="AK368" s="2">
        <f>IF(AN368=15,L368,0)</f>
        <v>0</v>
      </c>
      <c r="AL368" s="2">
        <f>IF(AN368=21,L368,0)</f>
        <v>0</v>
      </c>
      <c r="AN368" s="2">
        <v>15</v>
      </c>
      <c r="AO368" s="2">
        <f>I368*0.575170757991157</f>
        <v>0</v>
      </c>
      <c r="AP368" s="2">
        <f>I368*(1-0.575170757991157)</f>
        <v>0</v>
      </c>
      <c r="AQ368" s="43" t="s">
        <v>1215</v>
      </c>
      <c r="AV368" s="2">
        <f>AW368+AX368</f>
        <v>0</v>
      </c>
      <c r="AW368" s="2">
        <f>H368*AO368</f>
        <v>0</v>
      </c>
      <c r="AX368" s="2">
        <f>H368*AP368</f>
        <v>0</v>
      </c>
      <c r="AY368" s="43" t="s">
        <v>970</v>
      </c>
      <c r="AZ368" s="43" t="s">
        <v>205</v>
      </c>
      <c r="BA368" s="19" t="s">
        <v>1155</v>
      </c>
      <c r="BC368" s="2">
        <f>AW368+AX368</f>
        <v>0</v>
      </c>
      <c r="BD368" s="2">
        <f>I368/(100-BE368)*100</f>
        <v>0</v>
      </c>
      <c r="BE368" s="2">
        <v>0</v>
      </c>
      <c r="BF368" s="2">
        <f>368</f>
        <v>368</v>
      </c>
      <c r="BH368" s="2">
        <f>H368*AO368</f>
        <v>0</v>
      </c>
      <c r="BI368" s="2">
        <f>H368*AP368</f>
        <v>0</v>
      </c>
      <c r="BJ368" s="2">
        <f>H368*I368</f>
        <v>0</v>
      </c>
      <c r="BK368" s="2"/>
      <c r="BL368" s="2">
        <v>764</v>
      </c>
    </row>
    <row r="369" spans="1:13" ht="13.5" customHeight="1">
      <c r="A369" s="51"/>
      <c r="B369" s="32" t="s">
        <v>639</v>
      </c>
      <c r="C369" s="75" t="s">
        <v>133</v>
      </c>
      <c r="D369" s="76"/>
      <c r="E369" s="76"/>
      <c r="F369" s="76"/>
      <c r="G369" s="76"/>
      <c r="H369" s="76"/>
      <c r="I369" s="76"/>
      <c r="J369" s="76"/>
      <c r="K369" s="76"/>
      <c r="L369" s="76"/>
      <c r="M369" s="77"/>
    </row>
    <row r="370" spans="1:64" ht="15" customHeight="1">
      <c r="A370" s="15" t="s">
        <v>799</v>
      </c>
      <c r="B370" s="14" t="s">
        <v>804</v>
      </c>
      <c r="C370" s="58" t="s">
        <v>1180</v>
      </c>
      <c r="D370" s="58"/>
      <c r="E370" s="58"/>
      <c r="F370" s="58"/>
      <c r="G370" s="14" t="s">
        <v>999</v>
      </c>
      <c r="H370" s="2">
        <v>35.4</v>
      </c>
      <c r="I370" s="2">
        <v>0</v>
      </c>
      <c r="J370" s="2">
        <f>H370*AO370</f>
        <v>0</v>
      </c>
      <c r="K370" s="2">
        <f>H370*AP370</f>
        <v>0</v>
      </c>
      <c r="L370" s="2">
        <f>H370*I370</f>
        <v>0</v>
      </c>
      <c r="M370" s="7" t="s">
        <v>831</v>
      </c>
      <c r="Z370" s="2">
        <f>IF(AQ370="5",BJ370,0)</f>
        <v>0</v>
      </c>
      <c r="AB370" s="2">
        <f>IF(AQ370="1",BH370,0)</f>
        <v>0</v>
      </c>
      <c r="AC370" s="2">
        <f>IF(AQ370="1",BI370,0)</f>
        <v>0</v>
      </c>
      <c r="AD370" s="2">
        <f>IF(AQ370="7",BH370,0)</f>
        <v>0</v>
      </c>
      <c r="AE370" s="2">
        <f>IF(AQ370="7",BI370,0)</f>
        <v>0</v>
      </c>
      <c r="AF370" s="2">
        <f>IF(AQ370="2",BH370,0)</f>
        <v>0</v>
      </c>
      <c r="AG370" s="2">
        <f>IF(AQ370="2",BI370,0)</f>
        <v>0</v>
      </c>
      <c r="AH370" s="2">
        <f>IF(AQ370="0",BJ370,0)</f>
        <v>0</v>
      </c>
      <c r="AI370" s="19" t="s">
        <v>255</v>
      </c>
      <c r="AJ370" s="2">
        <f>IF(AN370=0,L370,0)</f>
        <v>0</v>
      </c>
      <c r="AK370" s="2">
        <f>IF(AN370=15,L370,0)</f>
        <v>0</v>
      </c>
      <c r="AL370" s="2">
        <f>IF(AN370=21,L370,0)</f>
        <v>0</v>
      </c>
      <c r="AN370" s="2">
        <v>15</v>
      </c>
      <c r="AO370" s="2">
        <f>I370*0.628895631067961</f>
        <v>0</v>
      </c>
      <c r="AP370" s="2">
        <f>I370*(1-0.628895631067961)</f>
        <v>0</v>
      </c>
      <c r="AQ370" s="43" t="s">
        <v>1215</v>
      </c>
      <c r="AV370" s="2">
        <f>AW370+AX370</f>
        <v>0</v>
      </c>
      <c r="AW370" s="2">
        <f>H370*AO370</f>
        <v>0</v>
      </c>
      <c r="AX370" s="2">
        <f>H370*AP370</f>
        <v>0</v>
      </c>
      <c r="AY370" s="43" t="s">
        <v>970</v>
      </c>
      <c r="AZ370" s="43" t="s">
        <v>205</v>
      </c>
      <c r="BA370" s="19" t="s">
        <v>1155</v>
      </c>
      <c r="BC370" s="2">
        <f>AW370+AX370</f>
        <v>0</v>
      </c>
      <c r="BD370" s="2">
        <f>I370/(100-BE370)*100</f>
        <v>0</v>
      </c>
      <c r="BE370" s="2">
        <v>0</v>
      </c>
      <c r="BF370" s="2">
        <f>370</f>
        <v>370</v>
      </c>
      <c r="BH370" s="2">
        <f>H370*AO370</f>
        <v>0</v>
      </c>
      <c r="BI370" s="2">
        <f>H370*AP370</f>
        <v>0</v>
      </c>
      <c r="BJ370" s="2">
        <f>H370*I370</f>
        <v>0</v>
      </c>
      <c r="BK370" s="2"/>
      <c r="BL370" s="2">
        <v>764</v>
      </c>
    </row>
    <row r="371" spans="1:64" ht="15" customHeight="1">
      <c r="A371" s="15" t="s">
        <v>213</v>
      </c>
      <c r="B371" s="14" t="s">
        <v>342</v>
      </c>
      <c r="C371" s="58" t="s">
        <v>251</v>
      </c>
      <c r="D371" s="58"/>
      <c r="E371" s="58"/>
      <c r="F371" s="58"/>
      <c r="G371" s="14" t="s">
        <v>319</v>
      </c>
      <c r="H371" s="2">
        <v>3</v>
      </c>
      <c r="I371" s="2">
        <v>0</v>
      </c>
      <c r="J371" s="2">
        <f>H371*AO371</f>
        <v>0</v>
      </c>
      <c r="K371" s="2">
        <f>H371*AP371</f>
        <v>0</v>
      </c>
      <c r="L371" s="2">
        <f>H371*I371</f>
        <v>0</v>
      </c>
      <c r="M371" s="7" t="s">
        <v>831</v>
      </c>
      <c r="Z371" s="2">
        <f>IF(AQ371="5",BJ371,0)</f>
        <v>0</v>
      </c>
      <c r="AB371" s="2">
        <f>IF(AQ371="1",BH371,0)</f>
        <v>0</v>
      </c>
      <c r="AC371" s="2">
        <f>IF(AQ371="1",BI371,0)</f>
        <v>0</v>
      </c>
      <c r="AD371" s="2">
        <f>IF(AQ371="7",BH371,0)</f>
        <v>0</v>
      </c>
      <c r="AE371" s="2">
        <f>IF(AQ371="7",BI371,0)</f>
        <v>0</v>
      </c>
      <c r="AF371" s="2">
        <f>IF(AQ371="2",BH371,0)</f>
        <v>0</v>
      </c>
      <c r="AG371" s="2">
        <f>IF(AQ371="2",BI371,0)</f>
        <v>0</v>
      </c>
      <c r="AH371" s="2">
        <f>IF(AQ371="0",BJ371,0)</f>
        <v>0</v>
      </c>
      <c r="AI371" s="19" t="s">
        <v>255</v>
      </c>
      <c r="AJ371" s="2">
        <f>IF(AN371=0,L371,0)</f>
        <v>0</v>
      </c>
      <c r="AK371" s="2">
        <f>IF(AN371=15,L371,0)</f>
        <v>0</v>
      </c>
      <c r="AL371" s="2">
        <f>IF(AN371=21,L371,0)</f>
        <v>0</v>
      </c>
      <c r="AN371" s="2">
        <v>15</v>
      </c>
      <c r="AO371" s="2">
        <f>I371*0.886179321486268</f>
        <v>0</v>
      </c>
      <c r="AP371" s="2">
        <f>I371*(1-0.886179321486268)</f>
        <v>0</v>
      </c>
      <c r="AQ371" s="43" t="s">
        <v>1215</v>
      </c>
      <c r="AV371" s="2">
        <f>AW371+AX371</f>
        <v>0</v>
      </c>
      <c r="AW371" s="2">
        <f>H371*AO371</f>
        <v>0</v>
      </c>
      <c r="AX371" s="2">
        <f>H371*AP371</f>
        <v>0</v>
      </c>
      <c r="AY371" s="43" t="s">
        <v>970</v>
      </c>
      <c r="AZ371" s="43" t="s">
        <v>205</v>
      </c>
      <c r="BA371" s="19" t="s">
        <v>1155</v>
      </c>
      <c r="BC371" s="2">
        <f>AW371+AX371</f>
        <v>0</v>
      </c>
      <c r="BD371" s="2">
        <f>I371/(100-BE371)*100</f>
        <v>0</v>
      </c>
      <c r="BE371" s="2">
        <v>0</v>
      </c>
      <c r="BF371" s="2">
        <f>371</f>
        <v>371</v>
      </c>
      <c r="BH371" s="2">
        <f>H371*AO371</f>
        <v>0</v>
      </c>
      <c r="BI371" s="2">
        <f>H371*AP371</f>
        <v>0</v>
      </c>
      <c r="BJ371" s="2">
        <f>H371*I371</f>
        <v>0</v>
      </c>
      <c r="BK371" s="2"/>
      <c r="BL371" s="2">
        <v>764</v>
      </c>
    </row>
    <row r="372" spans="1:64" ht="15" customHeight="1">
      <c r="A372" s="15" t="s">
        <v>466</v>
      </c>
      <c r="B372" s="14" t="s">
        <v>1051</v>
      </c>
      <c r="C372" s="58" t="s">
        <v>1254</v>
      </c>
      <c r="D372" s="58"/>
      <c r="E372" s="58"/>
      <c r="F372" s="58"/>
      <c r="G372" s="14" t="s">
        <v>999</v>
      </c>
      <c r="H372" s="2">
        <v>22.77</v>
      </c>
      <c r="I372" s="2">
        <v>0</v>
      </c>
      <c r="J372" s="2">
        <f>H372*AO372</f>
        <v>0</v>
      </c>
      <c r="K372" s="2">
        <f>H372*AP372</f>
        <v>0</v>
      </c>
      <c r="L372" s="2">
        <f>H372*I372</f>
        <v>0</v>
      </c>
      <c r="M372" s="7" t="s">
        <v>831</v>
      </c>
      <c r="Z372" s="2">
        <f>IF(AQ372="5",BJ372,0)</f>
        <v>0</v>
      </c>
      <c r="AB372" s="2">
        <f>IF(AQ372="1",BH372,0)</f>
        <v>0</v>
      </c>
      <c r="AC372" s="2">
        <f>IF(AQ372="1",BI372,0)</f>
        <v>0</v>
      </c>
      <c r="AD372" s="2">
        <f>IF(AQ372="7",BH372,0)</f>
        <v>0</v>
      </c>
      <c r="AE372" s="2">
        <f>IF(AQ372="7",BI372,0)</f>
        <v>0</v>
      </c>
      <c r="AF372" s="2">
        <f>IF(AQ372="2",BH372,0)</f>
        <v>0</v>
      </c>
      <c r="AG372" s="2">
        <f>IF(AQ372="2",BI372,0)</f>
        <v>0</v>
      </c>
      <c r="AH372" s="2">
        <f>IF(AQ372="0",BJ372,0)</f>
        <v>0</v>
      </c>
      <c r="AI372" s="19" t="s">
        <v>255</v>
      </c>
      <c r="AJ372" s="2">
        <f>IF(AN372=0,L372,0)</f>
        <v>0</v>
      </c>
      <c r="AK372" s="2">
        <f>IF(AN372=15,L372,0)</f>
        <v>0</v>
      </c>
      <c r="AL372" s="2">
        <f>IF(AN372=21,L372,0)</f>
        <v>0</v>
      </c>
      <c r="AN372" s="2">
        <v>15</v>
      </c>
      <c r="AO372" s="2">
        <f>I372*0.525487014906465</f>
        <v>0</v>
      </c>
      <c r="AP372" s="2">
        <f>I372*(1-0.525487014906465)</f>
        <v>0</v>
      </c>
      <c r="AQ372" s="43" t="s">
        <v>1215</v>
      </c>
      <c r="AV372" s="2">
        <f>AW372+AX372</f>
        <v>0</v>
      </c>
      <c r="AW372" s="2">
        <f>H372*AO372</f>
        <v>0</v>
      </c>
      <c r="AX372" s="2">
        <f>H372*AP372</f>
        <v>0</v>
      </c>
      <c r="AY372" s="43" t="s">
        <v>970</v>
      </c>
      <c r="AZ372" s="43" t="s">
        <v>205</v>
      </c>
      <c r="BA372" s="19" t="s">
        <v>1155</v>
      </c>
      <c r="BC372" s="2">
        <f>AW372+AX372</f>
        <v>0</v>
      </c>
      <c r="BD372" s="2">
        <f>I372/(100-BE372)*100</f>
        <v>0</v>
      </c>
      <c r="BE372" s="2">
        <v>0</v>
      </c>
      <c r="BF372" s="2">
        <f>372</f>
        <v>372</v>
      </c>
      <c r="BH372" s="2">
        <f>H372*AO372</f>
        <v>0</v>
      </c>
      <c r="BI372" s="2">
        <f>H372*AP372</f>
        <v>0</v>
      </c>
      <c r="BJ372" s="2">
        <f>H372*I372</f>
        <v>0</v>
      </c>
      <c r="BK372" s="2"/>
      <c r="BL372" s="2">
        <v>764</v>
      </c>
    </row>
    <row r="373" spans="1:13" ht="13.5" customHeight="1">
      <c r="A373" s="51"/>
      <c r="B373" s="32" t="s">
        <v>639</v>
      </c>
      <c r="C373" s="75" t="s">
        <v>1084</v>
      </c>
      <c r="D373" s="76"/>
      <c r="E373" s="76"/>
      <c r="F373" s="76"/>
      <c r="G373" s="76"/>
      <c r="H373" s="76"/>
      <c r="I373" s="76"/>
      <c r="J373" s="76"/>
      <c r="K373" s="76"/>
      <c r="L373" s="76"/>
      <c r="M373" s="77"/>
    </row>
    <row r="374" spans="1:64" ht="15" customHeight="1">
      <c r="A374" s="15" t="s">
        <v>1006</v>
      </c>
      <c r="B374" s="14" t="s">
        <v>344</v>
      </c>
      <c r="C374" s="58" t="s">
        <v>1003</v>
      </c>
      <c r="D374" s="58"/>
      <c r="E374" s="58"/>
      <c r="F374" s="58"/>
      <c r="G374" s="14" t="s">
        <v>319</v>
      </c>
      <c r="H374" s="2">
        <v>3</v>
      </c>
      <c r="I374" s="2">
        <v>0</v>
      </c>
      <c r="J374" s="2">
        <f>H374*AO374</f>
        <v>0</v>
      </c>
      <c r="K374" s="2">
        <f>H374*AP374</f>
        <v>0</v>
      </c>
      <c r="L374" s="2">
        <f>H374*I374</f>
        <v>0</v>
      </c>
      <c r="M374" s="7" t="s">
        <v>831</v>
      </c>
      <c r="Z374" s="2">
        <f>IF(AQ374="5",BJ374,0)</f>
        <v>0</v>
      </c>
      <c r="AB374" s="2">
        <f>IF(AQ374="1",BH374,0)</f>
        <v>0</v>
      </c>
      <c r="AC374" s="2">
        <f>IF(AQ374="1",BI374,0)</f>
        <v>0</v>
      </c>
      <c r="AD374" s="2">
        <f>IF(AQ374="7",BH374,0)</f>
        <v>0</v>
      </c>
      <c r="AE374" s="2">
        <f>IF(AQ374="7",BI374,0)</f>
        <v>0</v>
      </c>
      <c r="AF374" s="2">
        <f>IF(AQ374="2",BH374,0)</f>
        <v>0</v>
      </c>
      <c r="AG374" s="2">
        <f>IF(AQ374="2",BI374,0)</f>
        <v>0</v>
      </c>
      <c r="AH374" s="2">
        <f>IF(AQ374="0",BJ374,0)</f>
        <v>0</v>
      </c>
      <c r="AI374" s="19" t="s">
        <v>255</v>
      </c>
      <c r="AJ374" s="2">
        <f>IF(AN374=0,L374,0)</f>
        <v>0</v>
      </c>
      <c r="AK374" s="2">
        <f>IF(AN374=15,L374,0)</f>
        <v>0</v>
      </c>
      <c r="AL374" s="2">
        <f>IF(AN374=21,L374,0)</f>
        <v>0</v>
      </c>
      <c r="AN374" s="2">
        <v>15</v>
      </c>
      <c r="AO374" s="2">
        <f>I374*0.351088582591393</f>
        <v>0</v>
      </c>
      <c r="AP374" s="2">
        <f>I374*(1-0.351088582591393)</f>
        <v>0</v>
      </c>
      <c r="AQ374" s="43" t="s">
        <v>1215</v>
      </c>
      <c r="AV374" s="2">
        <f>AW374+AX374</f>
        <v>0</v>
      </c>
      <c r="AW374" s="2">
        <f>H374*AO374</f>
        <v>0</v>
      </c>
      <c r="AX374" s="2">
        <f>H374*AP374</f>
        <v>0</v>
      </c>
      <c r="AY374" s="43" t="s">
        <v>970</v>
      </c>
      <c r="AZ374" s="43" t="s">
        <v>205</v>
      </c>
      <c r="BA374" s="19" t="s">
        <v>1155</v>
      </c>
      <c r="BC374" s="2">
        <f>AW374+AX374</f>
        <v>0</v>
      </c>
      <c r="BD374" s="2">
        <f>I374/(100-BE374)*100</f>
        <v>0</v>
      </c>
      <c r="BE374" s="2">
        <v>0</v>
      </c>
      <c r="BF374" s="2">
        <f>374</f>
        <v>374</v>
      </c>
      <c r="BH374" s="2">
        <f>H374*AO374</f>
        <v>0</v>
      </c>
      <c r="BI374" s="2">
        <f>H374*AP374</f>
        <v>0</v>
      </c>
      <c r="BJ374" s="2">
        <f>H374*I374</f>
        <v>0</v>
      </c>
      <c r="BK374" s="2"/>
      <c r="BL374" s="2">
        <v>764</v>
      </c>
    </row>
    <row r="375" spans="1:13" ht="13.5" customHeight="1">
      <c r="A375" s="51"/>
      <c r="B375" s="32" t="s">
        <v>639</v>
      </c>
      <c r="C375" s="75" t="s">
        <v>562</v>
      </c>
      <c r="D375" s="76"/>
      <c r="E375" s="76"/>
      <c r="F375" s="76"/>
      <c r="G375" s="76"/>
      <c r="H375" s="76"/>
      <c r="I375" s="76"/>
      <c r="J375" s="76"/>
      <c r="K375" s="76"/>
      <c r="L375" s="76"/>
      <c r="M375" s="77"/>
    </row>
    <row r="376" spans="1:64" ht="15" customHeight="1">
      <c r="A376" s="15" t="s">
        <v>24</v>
      </c>
      <c r="B376" s="14" t="s">
        <v>521</v>
      </c>
      <c r="C376" s="58" t="s">
        <v>86</v>
      </c>
      <c r="D376" s="58"/>
      <c r="E376" s="58"/>
      <c r="F376" s="58"/>
      <c r="G376" s="14" t="s">
        <v>584</v>
      </c>
      <c r="H376" s="2">
        <v>3.057</v>
      </c>
      <c r="I376" s="2">
        <v>0</v>
      </c>
      <c r="J376" s="2">
        <f>H376*AO376</f>
        <v>0</v>
      </c>
      <c r="K376" s="2">
        <f>H376*AP376</f>
        <v>0</v>
      </c>
      <c r="L376" s="2">
        <f>H376*I376</f>
        <v>0</v>
      </c>
      <c r="M376" s="7" t="s">
        <v>831</v>
      </c>
      <c r="Z376" s="2">
        <f>IF(AQ376="5",BJ376,0)</f>
        <v>0</v>
      </c>
      <c r="AB376" s="2">
        <f>IF(AQ376="1",BH376,0)</f>
        <v>0</v>
      </c>
      <c r="AC376" s="2">
        <f>IF(AQ376="1",BI376,0)</f>
        <v>0</v>
      </c>
      <c r="AD376" s="2">
        <f>IF(AQ376="7",BH376,0)</f>
        <v>0</v>
      </c>
      <c r="AE376" s="2">
        <f>IF(AQ376="7",BI376,0)</f>
        <v>0</v>
      </c>
      <c r="AF376" s="2">
        <f>IF(AQ376="2",BH376,0)</f>
        <v>0</v>
      </c>
      <c r="AG376" s="2">
        <f>IF(AQ376="2",BI376,0)</f>
        <v>0</v>
      </c>
      <c r="AH376" s="2">
        <f>IF(AQ376="0",BJ376,0)</f>
        <v>0</v>
      </c>
      <c r="AI376" s="19" t="s">
        <v>255</v>
      </c>
      <c r="AJ376" s="2">
        <f>IF(AN376=0,L376,0)</f>
        <v>0</v>
      </c>
      <c r="AK376" s="2">
        <f>IF(AN376=15,L376,0)</f>
        <v>0</v>
      </c>
      <c r="AL376" s="2">
        <f>IF(AN376=21,L376,0)</f>
        <v>0</v>
      </c>
      <c r="AN376" s="2">
        <v>15</v>
      </c>
      <c r="AO376" s="2">
        <f>I376*0</f>
        <v>0</v>
      </c>
      <c r="AP376" s="2">
        <f>I376*(1-0)</f>
        <v>0</v>
      </c>
      <c r="AQ376" s="43" t="s">
        <v>655</v>
      </c>
      <c r="AV376" s="2">
        <f>AW376+AX376</f>
        <v>0</v>
      </c>
      <c r="AW376" s="2">
        <f>H376*AO376</f>
        <v>0</v>
      </c>
      <c r="AX376" s="2">
        <f>H376*AP376</f>
        <v>0</v>
      </c>
      <c r="AY376" s="43" t="s">
        <v>970</v>
      </c>
      <c r="AZ376" s="43" t="s">
        <v>205</v>
      </c>
      <c r="BA376" s="19" t="s">
        <v>1155</v>
      </c>
      <c r="BC376" s="2">
        <f>AW376+AX376</f>
        <v>0</v>
      </c>
      <c r="BD376" s="2">
        <f>I376/(100-BE376)*100</f>
        <v>0</v>
      </c>
      <c r="BE376" s="2">
        <v>0</v>
      </c>
      <c r="BF376" s="2">
        <f>376</f>
        <v>376</v>
      </c>
      <c r="BH376" s="2">
        <f>H376*AO376</f>
        <v>0</v>
      </c>
      <c r="BI376" s="2">
        <f>H376*AP376</f>
        <v>0</v>
      </c>
      <c r="BJ376" s="2">
        <f>H376*I376</f>
        <v>0</v>
      </c>
      <c r="BK376" s="2"/>
      <c r="BL376" s="2">
        <v>764</v>
      </c>
    </row>
    <row r="377" spans="1:47" ht="15" customHeight="1">
      <c r="A377" s="48" t="s">
        <v>844</v>
      </c>
      <c r="B377" s="17" t="s">
        <v>364</v>
      </c>
      <c r="C377" s="74" t="s">
        <v>1042</v>
      </c>
      <c r="D377" s="74"/>
      <c r="E377" s="74"/>
      <c r="F377" s="74"/>
      <c r="G377" s="40" t="s">
        <v>1110</v>
      </c>
      <c r="H377" s="40" t="s">
        <v>1110</v>
      </c>
      <c r="I377" s="40" t="s">
        <v>1110</v>
      </c>
      <c r="J377" s="23">
        <f>SUM(J378:J380)</f>
        <v>0</v>
      </c>
      <c r="K377" s="23">
        <f>SUM(K378:K380)</f>
        <v>0</v>
      </c>
      <c r="L377" s="23">
        <f>SUM(L378:L380)</f>
        <v>0</v>
      </c>
      <c r="M377" s="37" t="s">
        <v>844</v>
      </c>
      <c r="AI377" s="19" t="s">
        <v>255</v>
      </c>
      <c r="AS377" s="23">
        <f>SUM(AJ378:AJ380)</f>
        <v>0</v>
      </c>
      <c r="AT377" s="23">
        <f>SUM(AK378:AK380)</f>
        <v>0</v>
      </c>
      <c r="AU377" s="23">
        <f>SUM(AL378:AL380)</f>
        <v>0</v>
      </c>
    </row>
    <row r="378" spans="1:64" ht="15" customHeight="1">
      <c r="A378" s="15" t="s">
        <v>540</v>
      </c>
      <c r="B378" s="14" t="s">
        <v>189</v>
      </c>
      <c r="C378" s="58" t="s">
        <v>1334</v>
      </c>
      <c r="D378" s="58"/>
      <c r="E378" s="58"/>
      <c r="F378" s="58"/>
      <c r="G378" s="14" t="s">
        <v>1189</v>
      </c>
      <c r="H378" s="2">
        <v>305.69</v>
      </c>
      <c r="I378" s="2">
        <v>0</v>
      </c>
      <c r="J378" s="2">
        <f>H378*AO378</f>
        <v>0</v>
      </c>
      <c r="K378" s="2">
        <f>H378*AP378</f>
        <v>0</v>
      </c>
      <c r="L378" s="2">
        <f>H378*I378</f>
        <v>0</v>
      </c>
      <c r="M378" s="7" t="s">
        <v>831</v>
      </c>
      <c r="Z378" s="2">
        <f>IF(AQ378="5",BJ378,0)</f>
        <v>0</v>
      </c>
      <c r="AB378" s="2">
        <f>IF(AQ378="1",BH378,0)</f>
        <v>0</v>
      </c>
      <c r="AC378" s="2">
        <f>IF(AQ378="1",BI378,0)</f>
        <v>0</v>
      </c>
      <c r="AD378" s="2">
        <f>IF(AQ378="7",BH378,0)</f>
        <v>0</v>
      </c>
      <c r="AE378" s="2">
        <f>IF(AQ378="7",BI378,0)</f>
        <v>0</v>
      </c>
      <c r="AF378" s="2">
        <f>IF(AQ378="2",BH378,0)</f>
        <v>0</v>
      </c>
      <c r="AG378" s="2">
        <f>IF(AQ378="2",BI378,0)</f>
        <v>0</v>
      </c>
      <c r="AH378" s="2">
        <f>IF(AQ378="0",BJ378,0)</f>
        <v>0</v>
      </c>
      <c r="AI378" s="19" t="s">
        <v>255</v>
      </c>
      <c r="AJ378" s="2">
        <f>IF(AN378=0,L378,0)</f>
        <v>0</v>
      </c>
      <c r="AK378" s="2">
        <f>IF(AN378=15,L378,0)</f>
        <v>0</v>
      </c>
      <c r="AL378" s="2">
        <f>IF(AN378=21,L378,0)</f>
        <v>0</v>
      </c>
      <c r="AN378" s="2">
        <v>15</v>
      </c>
      <c r="AO378" s="2">
        <f>I378*0.411628264925373</f>
        <v>0</v>
      </c>
      <c r="AP378" s="2">
        <f>I378*(1-0.411628264925373)</f>
        <v>0</v>
      </c>
      <c r="AQ378" s="43" t="s">
        <v>1215</v>
      </c>
      <c r="AV378" s="2">
        <f>AW378+AX378</f>
        <v>0</v>
      </c>
      <c r="AW378" s="2">
        <f>H378*AO378</f>
        <v>0</v>
      </c>
      <c r="AX378" s="2">
        <f>H378*AP378</f>
        <v>0</v>
      </c>
      <c r="AY378" s="43" t="s">
        <v>269</v>
      </c>
      <c r="AZ378" s="43" t="s">
        <v>205</v>
      </c>
      <c r="BA378" s="19" t="s">
        <v>1155</v>
      </c>
      <c r="BC378" s="2">
        <f>AW378+AX378</f>
        <v>0</v>
      </c>
      <c r="BD378" s="2">
        <f>I378/(100-BE378)*100</f>
        <v>0</v>
      </c>
      <c r="BE378" s="2">
        <v>0</v>
      </c>
      <c r="BF378" s="2">
        <f>378</f>
        <v>378</v>
      </c>
      <c r="BH378" s="2">
        <f>H378*AO378</f>
        <v>0</v>
      </c>
      <c r="BI378" s="2">
        <f>H378*AP378</f>
        <v>0</v>
      </c>
      <c r="BJ378" s="2">
        <f>H378*I378</f>
        <v>0</v>
      </c>
      <c r="BK378" s="2"/>
      <c r="BL378" s="2">
        <v>765</v>
      </c>
    </row>
    <row r="379" spans="1:64" ht="15" customHeight="1">
      <c r="A379" s="15" t="s">
        <v>49</v>
      </c>
      <c r="B379" s="14" t="s">
        <v>959</v>
      </c>
      <c r="C379" s="58" t="s">
        <v>1040</v>
      </c>
      <c r="D379" s="58"/>
      <c r="E379" s="58"/>
      <c r="F379" s="58"/>
      <c r="G379" s="14" t="s">
        <v>1189</v>
      </c>
      <c r="H379" s="2">
        <v>336.259</v>
      </c>
      <c r="I379" s="2">
        <v>0</v>
      </c>
      <c r="J379" s="2">
        <f>H379*AO379</f>
        <v>0</v>
      </c>
      <c r="K379" s="2">
        <f>H379*AP379</f>
        <v>0</v>
      </c>
      <c r="L379" s="2">
        <f>H379*I379</f>
        <v>0</v>
      </c>
      <c r="M379" s="7" t="s">
        <v>831</v>
      </c>
      <c r="Z379" s="2">
        <f>IF(AQ379="5",BJ379,0)</f>
        <v>0</v>
      </c>
      <c r="AB379" s="2">
        <f>IF(AQ379="1",BH379,0)</f>
        <v>0</v>
      </c>
      <c r="AC379" s="2">
        <f>IF(AQ379="1",BI379,0)</f>
        <v>0</v>
      </c>
      <c r="AD379" s="2">
        <f>IF(AQ379="7",BH379,0)</f>
        <v>0</v>
      </c>
      <c r="AE379" s="2">
        <f>IF(AQ379="7",BI379,0)</f>
        <v>0</v>
      </c>
      <c r="AF379" s="2">
        <f>IF(AQ379="2",BH379,0)</f>
        <v>0</v>
      </c>
      <c r="AG379" s="2">
        <f>IF(AQ379="2",BI379,0)</f>
        <v>0</v>
      </c>
      <c r="AH379" s="2">
        <f>IF(AQ379="0",BJ379,0)</f>
        <v>0</v>
      </c>
      <c r="AI379" s="19" t="s">
        <v>255</v>
      </c>
      <c r="AJ379" s="2">
        <f>IF(AN379=0,L379,0)</f>
        <v>0</v>
      </c>
      <c r="AK379" s="2">
        <f>IF(AN379=15,L379,0)</f>
        <v>0</v>
      </c>
      <c r="AL379" s="2">
        <f>IF(AN379=21,L379,0)</f>
        <v>0</v>
      </c>
      <c r="AN379" s="2">
        <v>15</v>
      </c>
      <c r="AO379" s="2">
        <f>I379*1</f>
        <v>0</v>
      </c>
      <c r="AP379" s="2">
        <f>I379*(1-1)</f>
        <v>0</v>
      </c>
      <c r="AQ379" s="43" t="s">
        <v>1215</v>
      </c>
      <c r="AV379" s="2">
        <f>AW379+AX379</f>
        <v>0</v>
      </c>
      <c r="AW379" s="2">
        <f>H379*AO379</f>
        <v>0</v>
      </c>
      <c r="AX379" s="2">
        <f>H379*AP379</f>
        <v>0</v>
      </c>
      <c r="AY379" s="43" t="s">
        <v>269</v>
      </c>
      <c r="AZ379" s="43" t="s">
        <v>205</v>
      </c>
      <c r="BA379" s="19" t="s">
        <v>1155</v>
      </c>
      <c r="BC379" s="2">
        <f>AW379+AX379</f>
        <v>0</v>
      </c>
      <c r="BD379" s="2">
        <f>I379/(100-BE379)*100</f>
        <v>0</v>
      </c>
      <c r="BE379" s="2">
        <v>0</v>
      </c>
      <c r="BF379" s="2">
        <f>379</f>
        <v>379</v>
      </c>
      <c r="BH379" s="2">
        <f>H379*AO379</f>
        <v>0</v>
      </c>
      <c r="BI379" s="2">
        <f>H379*AP379</f>
        <v>0</v>
      </c>
      <c r="BJ379" s="2">
        <f>H379*I379</f>
        <v>0</v>
      </c>
      <c r="BK379" s="2"/>
      <c r="BL379" s="2">
        <v>765</v>
      </c>
    </row>
    <row r="380" spans="1:64" ht="15" customHeight="1">
      <c r="A380" s="15" t="s">
        <v>257</v>
      </c>
      <c r="B380" s="14" t="s">
        <v>452</v>
      </c>
      <c r="C380" s="58" t="s">
        <v>386</v>
      </c>
      <c r="D380" s="58"/>
      <c r="E380" s="58"/>
      <c r="F380" s="58"/>
      <c r="G380" s="14" t="s">
        <v>584</v>
      </c>
      <c r="H380" s="2">
        <v>0.105</v>
      </c>
      <c r="I380" s="2">
        <v>0</v>
      </c>
      <c r="J380" s="2">
        <f>H380*AO380</f>
        <v>0</v>
      </c>
      <c r="K380" s="2">
        <f>H380*AP380</f>
        <v>0</v>
      </c>
      <c r="L380" s="2">
        <f>H380*I380</f>
        <v>0</v>
      </c>
      <c r="M380" s="7" t="s">
        <v>831</v>
      </c>
      <c r="Z380" s="2">
        <f>IF(AQ380="5",BJ380,0)</f>
        <v>0</v>
      </c>
      <c r="AB380" s="2">
        <f>IF(AQ380="1",BH380,0)</f>
        <v>0</v>
      </c>
      <c r="AC380" s="2">
        <f>IF(AQ380="1",BI380,0)</f>
        <v>0</v>
      </c>
      <c r="AD380" s="2">
        <f>IF(AQ380="7",BH380,0)</f>
        <v>0</v>
      </c>
      <c r="AE380" s="2">
        <f>IF(AQ380="7",BI380,0)</f>
        <v>0</v>
      </c>
      <c r="AF380" s="2">
        <f>IF(AQ380="2",BH380,0)</f>
        <v>0</v>
      </c>
      <c r="AG380" s="2">
        <f>IF(AQ380="2",BI380,0)</f>
        <v>0</v>
      </c>
      <c r="AH380" s="2">
        <f>IF(AQ380="0",BJ380,0)</f>
        <v>0</v>
      </c>
      <c r="AI380" s="19" t="s">
        <v>255</v>
      </c>
      <c r="AJ380" s="2">
        <f>IF(AN380=0,L380,0)</f>
        <v>0</v>
      </c>
      <c r="AK380" s="2">
        <f>IF(AN380=15,L380,0)</f>
        <v>0</v>
      </c>
      <c r="AL380" s="2">
        <f>IF(AN380=21,L380,0)</f>
        <v>0</v>
      </c>
      <c r="AN380" s="2">
        <v>15</v>
      </c>
      <c r="AO380" s="2">
        <f>I380*0</f>
        <v>0</v>
      </c>
      <c r="AP380" s="2">
        <f>I380*(1-0)</f>
        <v>0</v>
      </c>
      <c r="AQ380" s="43" t="s">
        <v>655</v>
      </c>
      <c r="AV380" s="2">
        <f>AW380+AX380</f>
        <v>0</v>
      </c>
      <c r="AW380" s="2">
        <f>H380*AO380</f>
        <v>0</v>
      </c>
      <c r="AX380" s="2">
        <f>H380*AP380</f>
        <v>0</v>
      </c>
      <c r="AY380" s="43" t="s">
        <v>269</v>
      </c>
      <c r="AZ380" s="43" t="s">
        <v>205</v>
      </c>
      <c r="BA380" s="19" t="s">
        <v>1155</v>
      </c>
      <c r="BC380" s="2">
        <f>AW380+AX380</f>
        <v>0</v>
      </c>
      <c r="BD380" s="2">
        <f>I380/(100-BE380)*100</f>
        <v>0</v>
      </c>
      <c r="BE380" s="2">
        <v>0</v>
      </c>
      <c r="BF380" s="2">
        <f>380</f>
        <v>380</v>
      </c>
      <c r="BH380" s="2">
        <f>H380*AO380</f>
        <v>0</v>
      </c>
      <c r="BI380" s="2">
        <f>H380*AP380</f>
        <v>0</v>
      </c>
      <c r="BJ380" s="2">
        <f>H380*I380</f>
        <v>0</v>
      </c>
      <c r="BK380" s="2"/>
      <c r="BL380" s="2">
        <v>765</v>
      </c>
    </row>
    <row r="381" spans="1:47" ht="15" customHeight="1">
      <c r="A381" s="48" t="s">
        <v>844</v>
      </c>
      <c r="B381" s="17" t="s">
        <v>524</v>
      </c>
      <c r="C381" s="74" t="s">
        <v>595</v>
      </c>
      <c r="D381" s="74"/>
      <c r="E381" s="74"/>
      <c r="F381" s="74"/>
      <c r="G381" s="40" t="s">
        <v>1110</v>
      </c>
      <c r="H381" s="40" t="s">
        <v>1110</v>
      </c>
      <c r="I381" s="40" t="s">
        <v>1110</v>
      </c>
      <c r="J381" s="23">
        <f>SUM(J382:J417)</f>
        <v>0</v>
      </c>
      <c r="K381" s="23">
        <f>SUM(K382:K417)</f>
        <v>0</v>
      </c>
      <c r="L381" s="23">
        <f>SUM(L382:L417)</f>
        <v>0</v>
      </c>
      <c r="M381" s="37" t="s">
        <v>844</v>
      </c>
      <c r="AI381" s="19" t="s">
        <v>255</v>
      </c>
      <c r="AS381" s="23">
        <f>SUM(AJ382:AJ417)</f>
        <v>0</v>
      </c>
      <c r="AT381" s="23">
        <f>SUM(AK382:AK417)</f>
        <v>0</v>
      </c>
      <c r="AU381" s="23">
        <f>SUM(AL382:AL417)</f>
        <v>0</v>
      </c>
    </row>
    <row r="382" spans="1:64" ht="15" customHeight="1">
      <c r="A382" s="15" t="s">
        <v>297</v>
      </c>
      <c r="B382" s="14" t="s">
        <v>547</v>
      </c>
      <c r="C382" s="58" t="s">
        <v>1206</v>
      </c>
      <c r="D382" s="58"/>
      <c r="E382" s="58"/>
      <c r="F382" s="58"/>
      <c r="G382" s="14" t="s">
        <v>319</v>
      </c>
      <c r="H382" s="2">
        <v>3</v>
      </c>
      <c r="I382" s="2">
        <v>0</v>
      </c>
      <c r="J382" s="2">
        <f>H382*AO382</f>
        <v>0</v>
      </c>
      <c r="K382" s="2">
        <f>H382*AP382</f>
        <v>0</v>
      </c>
      <c r="L382" s="2">
        <f>H382*I382</f>
        <v>0</v>
      </c>
      <c r="M382" s="7" t="s">
        <v>831</v>
      </c>
      <c r="Z382" s="2">
        <f>IF(AQ382="5",BJ382,0)</f>
        <v>0</v>
      </c>
      <c r="AB382" s="2">
        <f>IF(AQ382="1",BH382,0)</f>
        <v>0</v>
      </c>
      <c r="AC382" s="2">
        <f>IF(AQ382="1",BI382,0)</f>
        <v>0</v>
      </c>
      <c r="AD382" s="2">
        <f>IF(AQ382="7",BH382,0)</f>
        <v>0</v>
      </c>
      <c r="AE382" s="2">
        <f>IF(AQ382="7",BI382,0)</f>
        <v>0</v>
      </c>
      <c r="AF382" s="2">
        <f>IF(AQ382="2",BH382,0)</f>
        <v>0</v>
      </c>
      <c r="AG382" s="2">
        <f>IF(AQ382="2",BI382,0)</f>
        <v>0</v>
      </c>
      <c r="AH382" s="2">
        <f>IF(AQ382="0",BJ382,0)</f>
        <v>0</v>
      </c>
      <c r="AI382" s="19" t="s">
        <v>255</v>
      </c>
      <c r="AJ382" s="2">
        <f>IF(AN382=0,L382,0)</f>
        <v>0</v>
      </c>
      <c r="AK382" s="2">
        <f>IF(AN382=15,L382,0)</f>
        <v>0</v>
      </c>
      <c r="AL382" s="2">
        <f>IF(AN382=21,L382,0)</f>
        <v>0</v>
      </c>
      <c r="AN382" s="2">
        <v>15</v>
      </c>
      <c r="AO382" s="2">
        <f>I382*0.906764800070674</f>
        <v>0</v>
      </c>
      <c r="AP382" s="2">
        <f>I382*(1-0.906764800070674)</f>
        <v>0</v>
      </c>
      <c r="AQ382" s="43" t="s">
        <v>1215</v>
      </c>
      <c r="AV382" s="2">
        <f>AW382+AX382</f>
        <v>0</v>
      </c>
      <c r="AW382" s="2">
        <f>H382*AO382</f>
        <v>0</v>
      </c>
      <c r="AX382" s="2">
        <f>H382*AP382</f>
        <v>0</v>
      </c>
      <c r="AY382" s="43" t="s">
        <v>140</v>
      </c>
      <c r="AZ382" s="43" t="s">
        <v>205</v>
      </c>
      <c r="BA382" s="19" t="s">
        <v>1155</v>
      </c>
      <c r="BC382" s="2">
        <f>AW382+AX382</f>
        <v>0</v>
      </c>
      <c r="BD382" s="2">
        <f>I382/(100-BE382)*100</f>
        <v>0</v>
      </c>
      <c r="BE382" s="2">
        <v>0</v>
      </c>
      <c r="BF382" s="2">
        <f>382</f>
        <v>382</v>
      </c>
      <c r="BH382" s="2">
        <f>H382*AO382</f>
        <v>0</v>
      </c>
      <c r="BI382" s="2">
        <f>H382*AP382</f>
        <v>0</v>
      </c>
      <c r="BJ382" s="2">
        <f>H382*I382</f>
        <v>0</v>
      </c>
      <c r="BK382" s="2"/>
      <c r="BL382" s="2">
        <v>766</v>
      </c>
    </row>
    <row r="383" spans="1:13" ht="13.5" customHeight="1">
      <c r="A383" s="51"/>
      <c r="B383" s="32" t="s">
        <v>639</v>
      </c>
      <c r="C383" s="75" t="s">
        <v>519</v>
      </c>
      <c r="D383" s="76"/>
      <c r="E383" s="76"/>
      <c r="F383" s="76"/>
      <c r="G383" s="76"/>
      <c r="H383" s="76"/>
      <c r="I383" s="76"/>
      <c r="J383" s="76"/>
      <c r="K383" s="76"/>
      <c r="L383" s="76"/>
      <c r="M383" s="77"/>
    </row>
    <row r="384" spans="1:64" ht="15" customHeight="1">
      <c r="A384" s="15" t="s">
        <v>249</v>
      </c>
      <c r="B384" s="14" t="s">
        <v>997</v>
      </c>
      <c r="C384" s="58" t="s">
        <v>275</v>
      </c>
      <c r="D384" s="58"/>
      <c r="E384" s="58"/>
      <c r="F384" s="58"/>
      <c r="G384" s="14" t="s">
        <v>319</v>
      </c>
      <c r="H384" s="2">
        <v>3</v>
      </c>
      <c r="I384" s="2">
        <v>0</v>
      </c>
      <c r="J384" s="2">
        <f aca="true" t="shared" si="88" ref="J384:J417">H384*AO384</f>
        <v>0</v>
      </c>
      <c r="K384" s="2">
        <f aca="true" t="shared" si="89" ref="K384:K417">H384*AP384</f>
        <v>0</v>
      </c>
      <c r="L384" s="2">
        <f aca="true" t="shared" si="90" ref="L384:L417">H384*I384</f>
        <v>0</v>
      </c>
      <c r="M384" s="7" t="s">
        <v>831</v>
      </c>
      <c r="Z384" s="2">
        <f aca="true" t="shared" si="91" ref="Z384:Z417">IF(AQ384="5",BJ384,0)</f>
        <v>0</v>
      </c>
      <c r="AB384" s="2">
        <f aca="true" t="shared" si="92" ref="AB384:AB417">IF(AQ384="1",BH384,0)</f>
        <v>0</v>
      </c>
      <c r="AC384" s="2">
        <f aca="true" t="shared" si="93" ref="AC384:AC417">IF(AQ384="1",BI384,0)</f>
        <v>0</v>
      </c>
      <c r="AD384" s="2">
        <f aca="true" t="shared" si="94" ref="AD384:AD417">IF(AQ384="7",BH384,0)</f>
        <v>0</v>
      </c>
      <c r="AE384" s="2">
        <f aca="true" t="shared" si="95" ref="AE384:AE417">IF(AQ384="7",BI384,0)</f>
        <v>0</v>
      </c>
      <c r="AF384" s="2">
        <f aca="true" t="shared" si="96" ref="AF384:AF417">IF(AQ384="2",BH384,0)</f>
        <v>0</v>
      </c>
      <c r="AG384" s="2">
        <f aca="true" t="shared" si="97" ref="AG384:AG417">IF(AQ384="2",BI384,0)</f>
        <v>0</v>
      </c>
      <c r="AH384" s="2">
        <f aca="true" t="shared" si="98" ref="AH384:AH417">IF(AQ384="0",BJ384,0)</f>
        <v>0</v>
      </c>
      <c r="AI384" s="19" t="s">
        <v>255</v>
      </c>
      <c r="AJ384" s="2">
        <f aca="true" t="shared" si="99" ref="AJ384:AJ417">IF(AN384=0,L384,0)</f>
        <v>0</v>
      </c>
      <c r="AK384" s="2">
        <f aca="true" t="shared" si="100" ref="AK384:AK417">IF(AN384=15,L384,0)</f>
        <v>0</v>
      </c>
      <c r="AL384" s="2">
        <f aca="true" t="shared" si="101" ref="AL384:AL417">IF(AN384=21,L384,0)</f>
        <v>0</v>
      </c>
      <c r="AN384" s="2">
        <v>15</v>
      </c>
      <c r="AO384" s="2">
        <f>I384*0.104091216216216</f>
        <v>0</v>
      </c>
      <c r="AP384" s="2">
        <f>I384*(1-0.104091216216216)</f>
        <v>0</v>
      </c>
      <c r="AQ384" s="43" t="s">
        <v>1215</v>
      </c>
      <c r="AV384" s="2">
        <f aca="true" t="shared" si="102" ref="AV384:AV417">AW384+AX384</f>
        <v>0</v>
      </c>
      <c r="AW384" s="2">
        <f aca="true" t="shared" si="103" ref="AW384:AW417">H384*AO384</f>
        <v>0</v>
      </c>
      <c r="AX384" s="2">
        <f aca="true" t="shared" si="104" ref="AX384:AX417">H384*AP384</f>
        <v>0</v>
      </c>
      <c r="AY384" s="43" t="s">
        <v>140</v>
      </c>
      <c r="AZ384" s="43" t="s">
        <v>205</v>
      </c>
      <c r="BA384" s="19" t="s">
        <v>1155</v>
      </c>
      <c r="BC384" s="2">
        <f aca="true" t="shared" si="105" ref="BC384:BC417">AW384+AX384</f>
        <v>0</v>
      </c>
      <c r="BD384" s="2">
        <f aca="true" t="shared" si="106" ref="BD384:BD417">I384/(100-BE384)*100</f>
        <v>0</v>
      </c>
      <c r="BE384" s="2">
        <v>0</v>
      </c>
      <c r="BF384" s="2">
        <f>384</f>
        <v>384</v>
      </c>
      <c r="BH384" s="2">
        <f aca="true" t="shared" si="107" ref="BH384:BH417">H384*AO384</f>
        <v>0</v>
      </c>
      <c r="BI384" s="2">
        <f aca="true" t="shared" si="108" ref="BI384:BI417">H384*AP384</f>
        <v>0</v>
      </c>
      <c r="BJ384" s="2">
        <f aca="true" t="shared" si="109" ref="BJ384:BJ417">H384*I384</f>
        <v>0</v>
      </c>
      <c r="BK384" s="2"/>
      <c r="BL384" s="2">
        <v>766</v>
      </c>
    </row>
    <row r="385" spans="1:64" ht="15" customHeight="1">
      <c r="A385" s="15" t="s">
        <v>398</v>
      </c>
      <c r="B385" s="14" t="s">
        <v>1335</v>
      </c>
      <c r="C385" s="58" t="s">
        <v>665</v>
      </c>
      <c r="D385" s="58"/>
      <c r="E385" s="58"/>
      <c r="F385" s="58"/>
      <c r="G385" s="14" t="s">
        <v>319</v>
      </c>
      <c r="H385" s="2">
        <v>3</v>
      </c>
      <c r="I385" s="2">
        <v>0</v>
      </c>
      <c r="J385" s="2">
        <f t="shared" si="88"/>
        <v>0</v>
      </c>
      <c r="K385" s="2">
        <f t="shared" si="89"/>
        <v>0</v>
      </c>
      <c r="L385" s="2">
        <f t="shared" si="90"/>
        <v>0</v>
      </c>
      <c r="M385" s="7" t="s">
        <v>831</v>
      </c>
      <c r="Z385" s="2">
        <f t="shared" si="91"/>
        <v>0</v>
      </c>
      <c r="AB385" s="2">
        <f t="shared" si="92"/>
        <v>0</v>
      </c>
      <c r="AC385" s="2">
        <f t="shared" si="93"/>
        <v>0</v>
      </c>
      <c r="AD385" s="2">
        <f t="shared" si="94"/>
        <v>0</v>
      </c>
      <c r="AE385" s="2">
        <f t="shared" si="95"/>
        <v>0</v>
      </c>
      <c r="AF385" s="2">
        <f t="shared" si="96"/>
        <v>0</v>
      </c>
      <c r="AG385" s="2">
        <f t="shared" si="97"/>
        <v>0</v>
      </c>
      <c r="AH385" s="2">
        <f t="shared" si="98"/>
        <v>0</v>
      </c>
      <c r="AI385" s="19" t="s">
        <v>255</v>
      </c>
      <c r="AJ385" s="2">
        <f t="shared" si="99"/>
        <v>0</v>
      </c>
      <c r="AK385" s="2">
        <f t="shared" si="100"/>
        <v>0</v>
      </c>
      <c r="AL385" s="2">
        <f t="shared" si="101"/>
        <v>0</v>
      </c>
      <c r="AN385" s="2">
        <v>15</v>
      </c>
      <c r="AO385" s="2">
        <f>I385*1</f>
        <v>0</v>
      </c>
      <c r="AP385" s="2">
        <f>I385*(1-1)</f>
        <v>0</v>
      </c>
      <c r="AQ385" s="43" t="s">
        <v>1215</v>
      </c>
      <c r="AV385" s="2">
        <f t="shared" si="102"/>
        <v>0</v>
      </c>
      <c r="AW385" s="2">
        <f t="shared" si="103"/>
        <v>0</v>
      </c>
      <c r="AX385" s="2">
        <f t="shared" si="104"/>
        <v>0</v>
      </c>
      <c r="AY385" s="43" t="s">
        <v>140</v>
      </c>
      <c r="AZ385" s="43" t="s">
        <v>205</v>
      </c>
      <c r="BA385" s="19" t="s">
        <v>1155</v>
      </c>
      <c r="BC385" s="2">
        <f t="shared" si="105"/>
        <v>0</v>
      </c>
      <c r="BD385" s="2">
        <f t="shared" si="106"/>
        <v>0</v>
      </c>
      <c r="BE385" s="2">
        <v>0</v>
      </c>
      <c r="BF385" s="2">
        <f>385</f>
        <v>385</v>
      </c>
      <c r="BH385" s="2">
        <f t="shared" si="107"/>
        <v>0</v>
      </c>
      <c r="BI385" s="2">
        <f t="shared" si="108"/>
        <v>0</v>
      </c>
      <c r="BJ385" s="2">
        <f t="shared" si="109"/>
        <v>0</v>
      </c>
      <c r="BK385" s="2"/>
      <c r="BL385" s="2">
        <v>766</v>
      </c>
    </row>
    <row r="386" spans="1:64" ht="15" customHeight="1">
      <c r="A386" s="15" t="s">
        <v>638</v>
      </c>
      <c r="B386" s="14" t="s">
        <v>746</v>
      </c>
      <c r="C386" s="58" t="s">
        <v>939</v>
      </c>
      <c r="D386" s="58"/>
      <c r="E386" s="58"/>
      <c r="F386" s="58"/>
      <c r="G386" s="14" t="s">
        <v>319</v>
      </c>
      <c r="H386" s="2">
        <v>9</v>
      </c>
      <c r="I386" s="2">
        <v>0</v>
      </c>
      <c r="J386" s="2">
        <f t="shared" si="88"/>
        <v>0</v>
      </c>
      <c r="K386" s="2">
        <f t="shared" si="89"/>
        <v>0</v>
      </c>
      <c r="L386" s="2">
        <f t="shared" si="90"/>
        <v>0</v>
      </c>
      <c r="M386" s="7" t="s">
        <v>831</v>
      </c>
      <c r="Z386" s="2">
        <f t="shared" si="91"/>
        <v>0</v>
      </c>
      <c r="AB386" s="2">
        <f t="shared" si="92"/>
        <v>0</v>
      </c>
      <c r="AC386" s="2">
        <f t="shared" si="93"/>
        <v>0</v>
      </c>
      <c r="AD386" s="2">
        <f t="shared" si="94"/>
        <v>0</v>
      </c>
      <c r="AE386" s="2">
        <f t="shared" si="95"/>
        <v>0</v>
      </c>
      <c r="AF386" s="2">
        <f t="shared" si="96"/>
        <v>0</v>
      </c>
      <c r="AG386" s="2">
        <f t="shared" si="97"/>
        <v>0</v>
      </c>
      <c r="AH386" s="2">
        <f t="shared" si="98"/>
        <v>0</v>
      </c>
      <c r="AI386" s="19" t="s">
        <v>255</v>
      </c>
      <c r="AJ386" s="2">
        <f t="shared" si="99"/>
        <v>0</v>
      </c>
      <c r="AK386" s="2">
        <f t="shared" si="100"/>
        <v>0</v>
      </c>
      <c r="AL386" s="2">
        <f t="shared" si="101"/>
        <v>0</v>
      </c>
      <c r="AN386" s="2">
        <v>15</v>
      </c>
      <c r="AO386" s="2">
        <f>I386*0.114601851989256</f>
        <v>0</v>
      </c>
      <c r="AP386" s="2">
        <f>I386*(1-0.114601851989256)</f>
        <v>0</v>
      </c>
      <c r="AQ386" s="43" t="s">
        <v>1215</v>
      </c>
      <c r="AV386" s="2">
        <f t="shared" si="102"/>
        <v>0</v>
      </c>
      <c r="AW386" s="2">
        <f t="shared" si="103"/>
        <v>0</v>
      </c>
      <c r="AX386" s="2">
        <f t="shared" si="104"/>
        <v>0</v>
      </c>
      <c r="AY386" s="43" t="s">
        <v>140</v>
      </c>
      <c r="AZ386" s="43" t="s">
        <v>205</v>
      </c>
      <c r="BA386" s="19" t="s">
        <v>1155</v>
      </c>
      <c r="BC386" s="2">
        <f t="shared" si="105"/>
        <v>0</v>
      </c>
      <c r="BD386" s="2">
        <f t="shared" si="106"/>
        <v>0</v>
      </c>
      <c r="BE386" s="2">
        <v>0</v>
      </c>
      <c r="BF386" s="2">
        <f>386</f>
        <v>386</v>
      </c>
      <c r="BH386" s="2">
        <f t="shared" si="107"/>
        <v>0</v>
      </c>
      <c r="BI386" s="2">
        <f t="shared" si="108"/>
        <v>0</v>
      </c>
      <c r="BJ386" s="2">
        <f t="shared" si="109"/>
        <v>0</v>
      </c>
      <c r="BK386" s="2"/>
      <c r="BL386" s="2">
        <v>766</v>
      </c>
    </row>
    <row r="387" spans="1:64" ht="15" customHeight="1">
      <c r="A387" s="15" t="s">
        <v>894</v>
      </c>
      <c r="B387" s="14" t="s">
        <v>925</v>
      </c>
      <c r="C387" s="58" t="s">
        <v>65</v>
      </c>
      <c r="D387" s="58"/>
      <c r="E387" s="58"/>
      <c r="F387" s="58"/>
      <c r="G387" s="14" t="s">
        <v>319</v>
      </c>
      <c r="H387" s="2">
        <v>9</v>
      </c>
      <c r="I387" s="2">
        <v>0</v>
      </c>
      <c r="J387" s="2">
        <f t="shared" si="88"/>
        <v>0</v>
      </c>
      <c r="K387" s="2">
        <f t="shared" si="89"/>
        <v>0</v>
      </c>
      <c r="L387" s="2">
        <f t="shared" si="90"/>
        <v>0</v>
      </c>
      <c r="M387" s="7" t="s">
        <v>831</v>
      </c>
      <c r="Z387" s="2">
        <f t="shared" si="91"/>
        <v>0</v>
      </c>
      <c r="AB387" s="2">
        <f t="shared" si="92"/>
        <v>0</v>
      </c>
      <c r="AC387" s="2">
        <f t="shared" si="93"/>
        <v>0</v>
      </c>
      <c r="AD387" s="2">
        <f t="shared" si="94"/>
        <v>0</v>
      </c>
      <c r="AE387" s="2">
        <f t="shared" si="95"/>
        <v>0</v>
      </c>
      <c r="AF387" s="2">
        <f t="shared" si="96"/>
        <v>0</v>
      </c>
      <c r="AG387" s="2">
        <f t="shared" si="97"/>
        <v>0</v>
      </c>
      <c r="AH387" s="2">
        <f t="shared" si="98"/>
        <v>0</v>
      </c>
      <c r="AI387" s="19" t="s">
        <v>255</v>
      </c>
      <c r="AJ387" s="2">
        <f t="shared" si="99"/>
        <v>0</v>
      </c>
      <c r="AK387" s="2">
        <f t="shared" si="100"/>
        <v>0</v>
      </c>
      <c r="AL387" s="2">
        <f t="shared" si="101"/>
        <v>0</v>
      </c>
      <c r="AN387" s="2">
        <v>15</v>
      </c>
      <c r="AO387" s="2">
        <f>I387*1</f>
        <v>0</v>
      </c>
      <c r="AP387" s="2">
        <f>I387*(1-1)</f>
        <v>0</v>
      </c>
      <c r="AQ387" s="43" t="s">
        <v>1215</v>
      </c>
      <c r="AV387" s="2">
        <f t="shared" si="102"/>
        <v>0</v>
      </c>
      <c r="AW387" s="2">
        <f t="shared" si="103"/>
        <v>0</v>
      </c>
      <c r="AX387" s="2">
        <f t="shared" si="104"/>
        <v>0</v>
      </c>
      <c r="AY387" s="43" t="s">
        <v>140</v>
      </c>
      <c r="AZ387" s="43" t="s">
        <v>205</v>
      </c>
      <c r="BA387" s="19" t="s">
        <v>1155</v>
      </c>
      <c r="BC387" s="2">
        <f t="shared" si="105"/>
        <v>0</v>
      </c>
      <c r="BD387" s="2">
        <f t="shared" si="106"/>
        <v>0</v>
      </c>
      <c r="BE387" s="2">
        <v>0</v>
      </c>
      <c r="BF387" s="2">
        <f>387</f>
        <v>387</v>
      </c>
      <c r="BH387" s="2">
        <f t="shared" si="107"/>
        <v>0</v>
      </c>
      <c r="BI387" s="2">
        <f t="shared" si="108"/>
        <v>0</v>
      </c>
      <c r="BJ387" s="2">
        <f t="shared" si="109"/>
        <v>0</v>
      </c>
      <c r="BK387" s="2"/>
      <c r="BL387" s="2">
        <v>766</v>
      </c>
    </row>
    <row r="388" spans="1:64" ht="15" customHeight="1">
      <c r="A388" s="15" t="s">
        <v>169</v>
      </c>
      <c r="B388" s="14" t="s">
        <v>1358</v>
      </c>
      <c r="C388" s="58" t="s">
        <v>869</v>
      </c>
      <c r="D388" s="58"/>
      <c r="E388" s="58"/>
      <c r="F388" s="58"/>
      <c r="G388" s="14" t="s">
        <v>319</v>
      </c>
      <c r="H388" s="2">
        <v>15</v>
      </c>
      <c r="I388" s="2">
        <v>0</v>
      </c>
      <c r="J388" s="2">
        <f t="shared" si="88"/>
        <v>0</v>
      </c>
      <c r="K388" s="2">
        <f t="shared" si="89"/>
        <v>0</v>
      </c>
      <c r="L388" s="2">
        <f t="shared" si="90"/>
        <v>0</v>
      </c>
      <c r="M388" s="7" t="s">
        <v>831</v>
      </c>
      <c r="Z388" s="2">
        <f t="shared" si="91"/>
        <v>0</v>
      </c>
      <c r="AB388" s="2">
        <f t="shared" si="92"/>
        <v>0</v>
      </c>
      <c r="AC388" s="2">
        <f t="shared" si="93"/>
        <v>0</v>
      </c>
      <c r="AD388" s="2">
        <f t="shared" si="94"/>
        <v>0</v>
      </c>
      <c r="AE388" s="2">
        <f t="shared" si="95"/>
        <v>0</v>
      </c>
      <c r="AF388" s="2">
        <f t="shared" si="96"/>
        <v>0</v>
      </c>
      <c r="AG388" s="2">
        <f t="shared" si="97"/>
        <v>0</v>
      </c>
      <c r="AH388" s="2">
        <f t="shared" si="98"/>
        <v>0</v>
      </c>
      <c r="AI388" s="19" t="s">
        <v>255</v>
      </c>
      <c r="AJ388" s="2">
        <f t="shared" si="99"/>
        <v>0</v>
      </c>
      <c r="AK388" s="2">
        <f t="shared" si="100"/>
        <v>0</v>
      </c>
      <c r="AL388" s="2">
        <f t="shared" si="101"/>
        <v>0</v>
      </c>
      <c r="AN388" s="2">
        <v>15</v>
      </c>
      <c r="AO388" s="2">
        <f>I388*0.124013201320132</f>
        <v>0</v>
      </c>
      <c r="AP388" s="2">
        <f>I388*(1-0.124013201320132)</f>
        <v>0</v>
      </c>
      <c r="AQ388" s="43" t="s">
        <v>1215</v>
      </c>
      <c r="AV388" s="2">
        <f t="shared" si="102"/>
        <v>0</v>
      </c>
      <c r="AW388" s="2">
        <f t="shared" si="103"/>
        <v>0</v>
      </c>
      <c r="AX388" s="2">
        <f t="shared" si="104"/>
        <v>0</v>
      </c>
      <c r="AY388" s="43" t="s">
        <v>140</v>
      </c>
      <c r="AZ388" s="43" t="s">
        <v>205</v>
      </c>
      <c r="BA388" s="19" t="s">
        <v>1155</v>
      </c>
      <c r="BC388" s="2">
        <f t="shared" si="105"/>
        <v>0</v>
      </c>
      <c r="BD388" s="2">
        <f t="shared" si="106"/>
        <v>0</v>
      </c>
      <c r="BE388" s="2">
        <v>0</v>
      </c>
      <c r="BF388" s="2">
        <f>388</f>
        <v>388</v>
      </c>
      <c r="BH388" s="2">
        <f t="shared" si="107"/>
        <v>0</v>
      </c>
      <c r="BI388" s="2">
        <f t="shared" si="108"/>
        <v>0</v>
      </c>
      <c r="BJ388" s="2">
        <f t="shared" si="109"/>
        <v>0</v>
      </c>
      <c r="BK388" s="2"/>
      <c r="BL388" s="2">
        <v>766</v>
      </c>
    </row>
    <row r="389" spans="1:64" ht="15" customHeight="1">
      <c r="A389" s="15" t="s">
        <v>1217</v>
      </c>
      <c r="B389" s="14" t="s">
        <v>706</v>
      </c>
      <c r="C389" s="58" t="s">
        <v>1249</v>
      </c>
      <c r="D389" s="58"/>
      <c r="E389" s="58"/>
      <c r="F389" s="58"/>
      <c r="G389" s="14" t="s">
        <v>319</v>
      </c>
      <c r="H389" s="2">
        <v>15</v>
      </c>
      <c r="I389" s="2">
        <v>0</v>
      </c>
      <c r="J389" s="2">
        <f t="shared" si="88"/>
        <v>0</v>
      </c>
      <c r="K389" s="2">
        <f t="shared" si="89"/>
        <v>0</v>
      </c>
      <c r="L389" s="2">
        <f t="shared" si="90"/>
        <v>0</v>
      </c>
      <c r="M389" s="7" t="s">
        <v>831</v>
      </c>
      <c r="Z389" s="2">
        <f t="shared" si="91"/>
        <v>0</v>
      </c>
      <c r="AB389" s="2">
        <f t="shared" si="92"/>
        <v>0</v>
      </c>
      <c r="AC389" s="2">
        <f t="shared" si="93"/>
        <v>0</v>
      </c>
      <c r="AD389" s="2">
        <f t="shared" si="94"/>
        <v>0</v>
      </c>
      <c r="AE389" s="2">
        <f t="shared" si="95"/>
        <v>0</v>
      </c>
      <c r="AF389" s="2">
        <f t="shared" si="96"/>
        <v>0</v>
      </c>
      <c r="AG389" s="2">
        <f t="shared" si="97"/>
        <v>0</v>
      </c>
      <c r="AH389" s="2">
        <f t="shared" si="98"/>
        <v>0</v>
      </c>
      <c r="AI389" s="19" t="s">
        <v>255</v>
      </c>
      <c r="AJ389" s="2">
        <f t="shared" si="99"/>
        <v>0</v>
      </c>
      <c r="AK389" s="2">
        <f t="shared" si="100"/>
        <v>0</v>
      </c>
      <c r="AL389" s="2">
        <f t="shared" si="101"/>
        <v>0</v>
      </c>
      <c r="AN389" s="2">
        <v>15</v>
      </c>
      <c r="AO389" s="2">
        <f>I389*1</f>
        <v>0</v>
      </c>
      <c r="AP389" s="2">
        <f>I389*(1-1)</f>
        <v>0</v>
      </c>
      <c r="AQ389" s="43" t="s">
        <v>1215</v>
      </c>
      <c r="AV389" s="2">
        <f t="shared" si="102"/>
        <v>0</v>
      </c>
      <c r="AW389" s="2">
        <f t="shared" si="103"/>
        <v>0</v>
      </c>
      <c r="AX389" s="2">
        <f t="shared" si="104"/>
        <v>0</v>
      </c>
      <c r="AY389" s="43" t="s">
        <v>140</v>
      </c>
      <c r="AZ389" s="43" t="s">
        <v>205</v>
      </c>
      <c r="BA389" s="19" t="s">
        <v>1155</v>
      </c>
      <c r="BC389" s="2">
        <f t="shared" si="105"/>
        <v>0</v>
      </c>
      <c r="BD389" s="2">
        <f t="shared" si="106"/>
        <v>0</v>
      </c>
      <c r="BE389" s="2">
        <v>0</v>
      </c>
      <c r="BF389" s="2">
        <f>389</f>
        <v>389</v>
      </c>
      <c r="BH389" s="2">
        <f t="shared" si="107"/>
        <v>0</v>
      </c>
      <c r="BI389" s="2">
        <f t="shared" si="108"/>
        <v>0</v>
      </c>
      <c r="BJ389" s="2">
        <f t="shared" si="109"/>
        <v>0</v>
      </c>
      <c r="BK389" s="2"/>
      <c r="BL389" s="2">
        <v>766</v>
      </c>
    </row>
    <row r="390" spans="1:64" ht="15" customHeight="1">
      <c r="A390" s="15" t="s">
        <v>57</v>
      </c>
      <c r="B390" s="14" t="s">
        <v>954</v>
      </c>
      <c r="C390" s="58" t="s">
        <v>362</v>
      </c>
      <c r="D390" s="58"/>
      <c r="E390" s="58"/>
      <c r="F390" s="58"/>
      <c r="G390" s="14" t="s">
        <v>319</v>
      </c>
      <c r="H390" s="2">
        <v>33</v>
      </c>
      <c r="I390" s="2">
        <v>0</v>
      </c>
      <c r="J390" s="2">
        <f t="shared" si="88"/>
        <v>0</v>
      </c>
      <c r="K390" s="2">
        <f t="shared" si="89"/>
        <v>0</v>
      </c>
      <c r="L390" s="2">
        <f t="shared" si="90"/>
        <v>0</v>
      </c>
      <c r="M390" s="7" t="s">
        <v>831</v>
      </c>
      <c r="Z390" s="2">
        <f t="shared" si="91"/>
        <v>0</v>
      </c>
      <c r="AB390" s="2">
        <f t="shared" si="92"/>
        <v>0</v>
      </c>
      <c r="AC390" s="2">
        <f t="shared" si="93"/>
        <v>0</v>
      </c>
      <c r="AD390" s="2">
        <f t="shared" si="94"/>
        <v>0</v>
      </c>
      <c r="AE390" s="2">
        <f t="shared" si="95"/>
        <v>0</v>
      </c>
      <c r="AF390" s="2">
        <f t="shared" si="96"/>
        <v>0</v>
      </c>
      <c r="AG390" s="2">
        <f t="shared" si="97"/>
        <v>0</v>
      </c>
      <c r="AH390" s="2">
        <f t="shared" si="98"/>
        <v>0</v>
      </c>
      <c r="AI390" s="19" t="s">
        <v>255</v>
      </c>
      <c r="AJ390" s="2">
        <f t="shared" si="99"/>
        <v>0</v>
      </c>
      <c r="AK390" s="2">
        <f t="shared" si="100"/>
        <v>0</v>
      </c>
      <c r="AL390" s="2">
        <f t="shared" si="101"/>
        <v>0</v>
      </c>
      <c r="AN390" s="2">
        <v>15</v>
      </c>
      <c r="AO390" s="2">
        <f>I390*0</f>
        <v>0</v>
      </c>
      <c r="AP390" s="2">
        <f>I390*(1-0)</f>
        <v>0</v>
      </c>
      <c r="AQ390" s="43" t="s">
        <v>1215</v>
      </c>
      <c r="AV390" s="2">
        <f t="shared" si="102"/>
        <v>0</v>
      </c>
      <c r="AW390" s="2">
        <f t="shared" si="103"/>
        <v>0</v>
      </c>
      <c r="AX390" s="2">
        <f t="shared" si="104"/>
        <v>0</v>
      </c>
      <c r="AY390" s="43" t="s">
        <v>140</v>
      </c>
      <c r="AZ390" s="43" t="s">
        <v>205</v>
      </c>
      <c r="BA390" s="19" t="s">
        <v>1155</v>
      </c>
      <c r="BC390" s="2">
        <f t="shared" si="105"/>
        <v>0</v>
      </c>
      <c r="BD390" s="2">
        <f t="shared" si="106"/>
        <v>0</v>
      </c>
      <c r="BE390" s="2">
        <v>0</v>
      </c>
      <c r="BF390" s="2">
        <f>390</f>
        <v>390</v>
      </c>
      <c r="BH390" s="2">
        <f t="shared" si="107"/>
        <v>0</v>
      </c>
      <c r="BI390" s="2">
        <f t="shared" si="108"/>
        <v>0</v>
      </c>
      <c r="BJ390" s="2">
        <f t="shared" si="109"/>
        <v>0</v>
      </c>
      <c r="BK390" s="2"/>
      <c r="BL390" s="2">
        <v>766</v>
      </c>
    </row>
    <row r="391" spans="1:64" ht="15" customHeight="1">
      <c r="A391" s="15" t="s">
        <v>682</v>
      </c>
      <c r="B391" s="14" t="s">
        <v>256</v>
      </c>
      <c r="C391" s="58" t="s">
        <v>1235</v>
      </c>
      <c r="D391" s="58"/>
      <c r="E391" s="58"/>
      <c r="F391" s="58"/>
      <c r="G391" s="14" t="s">
        <v>319</v>
      </c>
      <c r="H391" s="2">
        <v>6</v>
      </c>
      <c r="I391" s="2">
        <v>0</v>
      </c>
      <c r="J391" s="2">
        <f t="shared" si="88"/>
        <v>0</v>
      </c>
      <c r="K391" s="2">
        <f t="shared" si="89"/>
        <v>0</v>
      </c>
      <c r="L391" s="2">
        <f t="shared" si="90"/>
        <v>0</v>
      </c>
      <c r="M391" s="7" t="s">
        <v>831</v>
      </c>
      <c r="Z391" s="2">
        <f t="shared" si="91"/>
        <v>0</v>
      </c>
      <c r="AB391" s="2">
        <f t="shared" si="92"/>
        <v>0</v>
      </c>
      <c r="AC391" s="2">
        <f t="shared" si="93"/>
        <v>0</v>
      </c>
      <c r="AD391" s="2">
        <f t="shared" si="94"/>
        <v>0</v>
      </c>
      <c r="AE391" s="2">
        <f t="shared" si="95"/>
        <v>0</v>
      </c>
      <c r="AF391" s="2">
        <f t="shared" si="96"/>
        <v>0</v>
      </c>
      <c r="AG391" s="2">
        <f t="shared" si="97"/>
        <v>0</v>
      </c>
      <c r="AH391" s="2">
        <f t="shared" si="98"/>
        <v>0</v>
      </c>
      <c r="AI391" s="19" t="s">
        <v>255</v>
      </c>
      <c r="AJ391" s="2">
        <f t="shared" si="99"/>
        <v>0</v>
      </c>
      <c r="AK391" s="2">
        <f t="shared" si="100"/>
        <v>0</v>
      </c>
      <c r="AL391" s="2">
        <f t="shared" si="101"/>
        <v>0</v>
      </c>
      <c r="AN391" s="2">
        <v>15</v>
      </c>
      <c r="AO391" s="2">
        <f>I391*1</f>
        <v>0</v>
      </c>
      <c r="AP391" s="2">
        <f>I391*(1-1)</f>
        <v>0</v>
      </c>
      <c r="AQ391" s="43" t="s">
        <v>1215</v>
      </c>
      <c r="AV391" s="2">
        <f t="shared" si="102"/>
        <v>0</v>
      </c>
      <c r="AW391" s="2">
        <f t="shared" si="103"/>
        <v>0</v>
      </c>
      <c r="AX391" s="2">
        <f t="shared" si="104"/>
        <v>0</v>
      </c>
      <c r="AY391" s="43" t="s">
        <v>140</v>
      </c>
      <c r="AZ391" s="43" t="s">
        <v>205</v>
      </c>
      <c r="BA391" s="19" t="s">
        <v>1155</v>
      </c>
      <c r="BC391" s="2">
        <f t="shared" si="105"/>
        <v>0</v>
      </c>
      <c r="BD391" s="2">
        <f t="shared" si="106"/>
        <v>0</v>
      </c>
      <c r="BE391" s="2">
        <v>0</v>
      </c>
      <c r="BF391" s="2">
        <f>391</f>
        <v>391</v>
      </c>
      <c r="BH391" s="2">
        <f t="shared" si="107"/>
        <v>0</v>
      </c>
      <c r="BI391" s="2">
        <f t="shared" si="108"/>
        <v>0</v>
      </c>
      <c r="BJ391" s="2">
        <f t="shared" si="109"/>
        <v>0</v>
      </c>
      <c r="BK391" s="2"/>
      <c r="BL391" s="2">
        <v>766</v>
      </c>
    </row>
    <row r="392" spans="1:64" ht="15" customHeight="1">
      <c r="A392" s="15" t="s">
        <v>1321</v>
      </c>
      <c r="B392" s="14" t="s">
        <v>581</v>
      </c>
      <c r="C392" s="58" t="s">
        <v>277</v>
      </c>
      <c r="D392" s="58"/>
      <c r="E392" s="58"/>
      <c r="F392" s="58"/>
      <c r="G392" s="14" t="s">
        <v>319</v>
      </c>
      <c r="H392" s="2">
        <v>27</v>
      </c>
      <c r="I392" s="2">
        <v>0</v>
      </c>
      <c r="J392" s="2">
        <f t="shared" si="88"/>
        <v>0</v>
      </c>
      <c r="K392" s="2">
        <f t="shared" si="89"/>
        <v>0</v>
      </c>
      <c r="L392" s="2">
        <f t="shared" si="90"/>
        <v>0</v>
      </c>
      <c r="M392" s="7" t="s">
        <v>831</v>
      </c>
      <c r="Z392" s="2">
        <f t="shared" si="91"/>
        <v>0</v>
      </c>
      <c r="AB392" s="2">
        <f t="shared" si="92"/>
        <v>0</v>
      </c>
      <c r="AC392" s="2">
        <f t="shared" si="93"/>
        <v>0</v>
      </c>
      <c r="AD392" s="2">
        <f t="shared" si="94"/>
        <v>0</v>
      </c>
      <c r="AE392" s="2">
        <f t="shared" si="95"/>
        <v>0</v>
      </c>
      <c r="AF392" s="2">
        <f t="shared" si="96"/>
        <v>0</v>
      </c>
      <c r="AG392" s="2">
        <f t="shared" si="97"/>
        <v>0</v>
      </c>
      <c r="AH392" s="2">
        <f t="shared" si="98"/>
        <v>0</v>
      </c>
      <c r="AI392" s="19" t="s">
        <v>255</v>
      </c>
      <c r="AJ392" s="2">
        <f t="shared" si="99"/>
        <v>0</v>
      </c>
      <c r="AK392" s="2">
        <f t="shared" si="100"/>
        <v>0</v>
      </c>
      <c r="AL392" s="2">
        <f t="shared" si="101"/>
        <v>0</v>
      </c>
      <c r="AN392" s="2">
        <v>15</v>
      </c>
      <c r="AO392" s="2">
        <f>I392*1</f>
        <v>0</v>
      </c>
      <c r="AP392" s="2">
        <f>I392*(1-1)</f>
        <v>0</v>
      </c>
      <c r="AQ392" s="43" t="s">
        <v>1215</v>
      </c>
      <c r="AV392" s="2">
        <f t="shared" si="102"/>
        <v>0</v>
      </c>
      <c r="AW392" s="2">
        <f t="shared" si="103"/>
        <v>0</v>
      </c>
      <c r="AX392" s="2">
        <f t="shared" si="104"/>
        <v>0</v>
      </c>
      <c r="AY392" s="43" t="s">
        <v>140</v>
      </c>
      <c r="AZ392" s="43" t="s">
        <v>205</v>
      </c>
      <c r="BA392" s="19" t="s">
        <v>1155</v>
      </c>
      <c r="BC392" s="2">
        <f t="shared" si="105"/>
        <v>0</v>
      </c>
      <c r="BD392" s="2">
        <f t="shared" si="106"/>
        <v>0</v>
      </c>
      <c r="BE392" s="2">
        <v>0</v>
      </c>
      <c r="BF392" s="2">
        <f>392</f>
        <v>392</v>
      </c>
      <c r="BH392" s="2">
        <f t="shared" si="107"/>
        <v>0</v>
      </c>
      <c r="BI392" s="2">
        <f t="shared" si="108"/>
        <v>0</v>
      </c>
      <c r="BJ392" s="2">
        <f t="shared" si="109"/>
        <v>0</v>
      </c>
      <c r="BK392" s="2"/>
      <c r="BL392" s="2">
        <v>766</v>
      </c>
    </row>
    <row r="393" spans="1:64" ht="15" customHeight="1">
      <c r="A393" s="15" t="s">
        <v>1012</v>
      </c>
      <c r="B393" s="14" t="s">
        <v>1173</v>
      </c>
      <c r="C393" s="58" t="s">
        <v>1077</v>
      </c>
      <c r="D393" s="58"/>
      <c r="E393" s="58"/>
      <c r="F393" s="58"/>
      <c r="G393" s="14" t="s">
        <v>319</v>
      </c>
      <c r="H393" s="2">
        <v>27</v>
      </c>
      <c r="I393" s="2">
        <v>0</v>
      </c>
      <c r="J393" s="2">
        <f t="shared" si="88"/>
        <v>0</v>
      </c>
      <c r="K393" s="2">
        <f t="shared" si="89"/>
        <v>0</v>
      </c>
      <c r="L393" s="2">
        <f t="shared" si="90"/>
        <v>0</v>
      </c>
      <c r="M393" s="7" t="s">
        <v>831</v>
      </c>
      <c r="Z393" s="2">
        <f t="shared" si="91"/>
        <v>0</v>
      </c>
      <c r="AB393" s="2">
        <f t="shared" si="92"/>
        <v>0</v>
      </c>
      <c r="AC393" s="2">
        <f t="shared" si="93"/>
        <v>0</v>
      </c>
      <c r="AD393" s="2">
        <f t="shared" si="94"/>
        <v>0</v>
      </c>
      <c r="AE393" s="2">
        <f t="shared" si="95"/>
        <v>0</v>
      </c>
      <c r="AF393" s="2">
        <f t="shared" si="96"/>
        <v>0</v>
      </c>
      <c r="AG393" s="2">
        <f t="shared" si="97"/>
        <v>0</v>
      </c>
      <c r="AH393" s="2">
        <f t="shared" si="98"/>
        <v>0</v>
      </c>
      <c r="AI393" s="19" t="s">
        <v>255</v>
      </c>
      <c r="AJ393" s="2">
        <f t="shared" si="99"/>
        <v>0</v>
      </c>
      <c r="AK393" s="2">
        <f t="shared" si="100"/>
        <v>0</v>
      </c>
      <c r="AL393" s="2">
        <f t="shared" si="101"/>
        <v>0</v>
      </c>
      <c r="AN393" s="2">
        <v>15</v>
      </c>
      <c r="AO393" s="2">
        <f>I393*0</f>
        <v>0</v>
      </c>
      <c r="AP393" s="2">
        <f>I393*(1-0)</f>
        <v>0</v>
      </c>
      <c r="AQ393" s="43" t="s">
        <v>1215</v>
      </c>
      <c r="AV393" s="2">
        <f t="shared" si="102"/>
        <v>0</v>
      </c>
      <c r="AW393" s="2">
        <f t="shared" si="103"/>
        <v>0</v>
      </c>
      <c r="AX393" s="2">
        <f t="shared" si="104"/>
        <v>0</v>
      </c>
      <c r="AY393" s="43" t="s">
        <v>140</v>
      </c>
      <c r="AZ393" s="43" t="s">
        <v>205</v>
      </c>
      <c r="BA393" s="19" t="s">
        <v>1155</v>
      </c>
      <c r="BC393" s="2">
        <f t="shared" si="105"/>
        <v>0</v>
      </c>
      <c r="BD393" s="2">
        <f t="shared" si="106"/>
        <v>0</v>
      </c>
      <c r="BE393" s="2">
        <v>0</v>
      </c>
      <c r="BF393" s="2">
        <f>393</f>
        <v>393</v>
      </c>
      <c r="BH393" s="2">
        <f t="shared" si="107"/>
        <v>0</v>
      </c>
      <c r="BI393" s="2">
        <f t="shared" si="108"/>
        <v>0</v>
      </c>
      <c r="BJ393" s="2">
        <f t="shared" si="109"/>
        <v>0</v>
      </c>
      <c r="BK393" s="2"/>
      <c r="BL393" s="2">
        <v>766</v>
      </c>
    </row>
    <row r="394" spans="1:64" ht="15" customHeight="1">
      <c r="A394" s="15" t="s">
        <v>785</v>
      </c>
      <c r="B394" s="14" t="s">
        <v>299</v>
      </c>
      <c r="C394" s="58" t="s">
        <v>305</v>
      </c>
      <c r="D394" s="58"/>
      <c r="E394" s="58"/>
      <c r="F394" s="58"/>
      <c r="G394" s="14" t="s">
        <v>319</v>
      </c>
      <c r="H394" s="2">
        <v>6</v>
      </c>
      <c r="I394" s="2">
        <v>0</v>
      </c>
      <c r="J394" s="2">
        <f t="shared" si="88"/>
        <v>0</v>
      </c>
      <c r="K394" s="2">
        <f t="shared" si="89"/>
        <v>0</v>
      </c>
      <c r="L394" s="2">
        <f t="shared" si="90"/>
        <v>0</v>
      </c>
      <c r="M394" s="7" t="s">
        <v>831</v>
      </c>
      <c r="Z394" s="2">
        <f t="shared" si="91"/>
        <v>0</v>
      </c>
      <c r="AB394" s="2">
        <f t="shared" si="92"/>
        <v>0</v>
      </c>
      <c r="AC394" s="2">
        <f t="shared" si="93"/>
        <v>0</v>
      </c>
      <c r="AD394" s="2">
        <f t="shared" si="94"/>
        <v>0</v>
      </c>
      <c r="AE394" s="2">
        <f t="shared" si="95"/>
        <v>0</v>
      </c>
      <c r="AF394" s="2">
        <f t="shared" si="96"/>
        <v>0</v>
      </c>
      <c r="AG394" s="2">
        <f t="shared" si="97"/>
        <v>0</v>
      </c>
      <c r="AH394" s="2">
        <f t="shared" si="98"/>
        <v>0</v>
      </c>
      <c r="AI394" s="19" t="s">
        <v>255</v>
      </c>
      <c r="AJ394" s="2">
        <f t="shared" si="99"/>
        <v>0</v>
      </c>
      <c r="AK394" s="2">
        <f t="shared" si="100"/>
        <v>0</v>
      </c>
      <c r="AL394" s="2">
        <f t="shared" si="101"/>
        <v>0</v>
      </c>
      <c r="AN394" s="2">
        <v>15</v>
      </c>
      <c r="AO394" s="2">
        <f>I394*0</f>
        <v>0</v>
      </c>
      <c r="AP394" s="2">
        <f>I394*(1-0)</f>
        <v>0</v>
      </c>
      <c r="AQ394" s="43" t="s">
        <v>1215</v>
      </c>
      <c r="AV394" s="2">
        <f t="shared" si="102"/>
        <v>0</v>
      </c>
      <c r="AW394" s="2">
        <f t="shared" si="103"/>
        <v>0</v>
      </c>
      <c r="AX394" s="2">
        <f t="shared" si="104"/>
        <v>0</v>
      </c>
      <c r="AY394" s="43" t="s">
        <v>140</v>
      </c>
      <c r="AZ394" s="43" t="s">
        <v>205</v>
      </c>
      <c r="BA394" s="19" t="s">
        <v>1155</v>
      </c>
      <c r="BC394" s="2">
        <f t="shared" si="105"/>
        <v>0</v>
      </c>
      <c r="BD394" s="2">
        <f t="shared" si="106"/>
        <v>0</v>
      </c>
      <c r="BE394" s="2">
        <v>0</v>
      </c>
      <c r="BF394" s="2">
        <f>394</f>
        <v>394</v>
      </c>
      <c r="BH394" s="2">
        <f t="shared" si="107"/>
        <v>0</v>
      </c>
      <c r="BI394" s="2">
        <f t="shared" si="108"/>
        <v>0</v>
      </c>
      <c r="BJ394" s="2">
        <f t="shared" si="109"/>
        <v>0</v>
      </c>
      <c r="BK394" s="2"/>
      <c r="BL394" s="2">
        <v>766</v>
      </c>
    </row>
    <row r="395" spans="1:64" ht="15" customHeight="1">
      <c r="A395" s="15" t="s">
        <v>210</v>
      </c>
      <c r="B395" s="14" t="s">
        <v>433</v>
      </c>
      <c r="C395" s="58" t="s">
        <v>298</v>
      </c>
      <c r="D395" s="58"/>
      <c r="E395" s="58"/>
      <c r="F395" s="58"/>
      <c r="G395" s="14" t="s">
        <v>319</v>
      </c>
      <c r="H395" s="2">
        <v>3</v>
      </c>
      <c r="I395" s="2">
        <v>0</v>
      </c>
      <c r="J395" s="2">
        <f t="shared" si="88"/>
        <v>0</v>
      </c>
      <c r="K395" s="2">
        <f t="shared" si="89"/>
        <v>0</v>
      </c>
      <c r="L395" s="2">
        <f t="shared" si="90"/>
        <v>0</v>
      </c>
      <c r="M395" s="7" t="s">
        <v>831</v>
      </c>
      <c r="Z395" s="2">
        <f t="shared" si="91"/>
        <v>0</v>
      </c>
      <c r="AB395" s="2">
        <f t="shared" si="92"/>
        <v>0</v>
      </c>
      <c r="AC395" s="2">
        <f t="shared" si="93"/>
        <v>0</v>
      </c>
      <c r="AD395" s="2">
        <f t="shared" si="94"/>
        <v>0</v>
      </c>
      <c r="AE395" s="2">
        <f t="shared" si="95"/>
        <v>0</v>
      </c>
      <c r="AF395" s="2">
        <f t="shared" si="96"/>
        <v>0</v>
      </c>
      <c r="AG395" s="2">
        <f t="shared" si="97"/>
        <v>0</v>
      </c>
      <c r="AH395" s="2">
        <f t="shared" si="98"/>
        <v>0</v>
      </c>
      <c r="AI395" s="19" t="s">
        <v>255</v>
      </c>
      <c r="AJ395" s="2">
        <f t="shared" si="99"/>
        <v>0</v>
      </c>
      <c r="AK395" s="2">
        <f t="shared" si="100"/>
        <v>0</v>
      </c>
      <c r="AL395" s="2">
        <f t="shared" si="101"/>
        <v>0</v>
      </c>
      <c r="AN395" s="2">
        <v>15</v>
      </c>
      <c r="AO395" s="2">
        <f>I395*1</f>
        <v>0</v>
      </c>
      <c r="AP395" s="2">
        <f>I395*(1-1)</f>
        <v>0</v>
      </c>
      <c r="AQ395" s="43" t="s">
        <v>1215</v>
      </c>
      <c r="AV395" s="2">
        <f t="shared" si="102"/>
        <v>0</v>
      </c>
      <c r="AW395" s="2">
        <f t="shared" si="103"/>
        <v>0</v>
      </c>
      <c r="AX395" s="2">
        <f t="shared" si="104"/>
        <v>0</v>
      </c>
      <c r="AY395" s="43" t="s">
        <v>140</v>
      </c>
      <c r="AZ395" s="43" t="s">
        <v>205</v>
      </c>
      <c r="BA395" s="19" t="s">
        <v>1155</v>
      </c>
      <c r="BC395" s="2">
        <f t="shared" si="105"/>
        <v>0</v>
      </c>
      <c r="BD395" s="2">
        <f t="shared" si="106"/>
        <v>0</v>
      </c>
      <c r="BE395" s="2">
        <v>0</v>
      </c>
      <c r="BF395" s="2">
        <f>395</f>
        <v>395</v>
      </c>
      <c r="BH395" s="2">
        <f t="shared" si="107"/>
        <v>0</v>
      </c>
      <c r="BI395" s="2">
        <f t="shared" si="108"/>
        <v>0</v>
      </c>
      <c r="BJ395" s="2">
        <f t="shared" si="109"/>
        <v>0</v>
      </c>
      <c r="BK395" s="2"/>
      <c r="BL395" s="2">
        <v>766</v>
      </c>
    </row>
    <row r="396" spans="1:64" ht="15" customHeight="1">
      <c r="A396" s="15" t="s">
        <v>603</v>
      </c>
      <c r="B396" s="14" t="s">
        <v>433</v>
      </c>
      <c r="C396" s="58" t="s">
        <v>355</v>
      </c>
      <c r="D396" s="58"/>
      <c r="E396" s="58"/>
      <c r="F396" s="58"/>
      <c r="G396" s="14" t="s">
        <v>319</v>
      </c>
      <c r="H396" s="2">
        <v>3</v>
      </c>
      <c r="I396" s="2">
        <v>0</v>
      </c>
      <c r="J396" s="2">
        <f t="shared" si="88"/>
        <v>0</v>
      </c>
      <c r="K396" s="2">
        <f t="shared" si="89"/>
        <v>0</v>
      </c>
      <c r="L396" s="2">
        <f t="shared" si="90"/>
        <v>0</v>
      </c>
      <c r="M396" s="7" t="s">
        <v>831</v>
      </c>
      <c r="Z396" s="2">
        <f t="shared" si="91"/>
        <v>0</v>
      </c>
      <c r="AB396" s="2">
        <f t="shared" si="92"/>
        <v>0</v>
      </c>
      <c r="AC396" s="2">
        <f t="shared" si="93"/>
        <v>0</v>
      </c>
      <c r="AD396" s="2">
        <f t="shared" si="94"/>
        <v>0</v>
      </c>
      <c r="AE396" s="2">
        <f t="shared" si="95"/>
        <v>0</v>
      </c>
      <c r="AF396" s="2">
        <f t="shared" si="96"/>
        <v>0</v>
      </c>
      <c r="AG396" s="2">
        <f t="shared" si="97"/>
        <v>0</v>
      </c>
      <c r="AH396" s="2">
        <f t="shared" si="98"/>
        <v>0</v>
      </c>
      <c r="AI396" s="19" t="s">
        <v>255</v>
      </c>
      <c r="AJ396" s="2">
        <f t="shared" si="99"/>
        <v>0</v>
      </c>
      <c r="AK396" s="2">
        <f t="shared" si="100"/>
        <v>0</v>
      </c>
      <c r="AL396" s="2">
        <f t="shared" si="101"/>
        <v>0</v>
      </c>
      <c r="AN396" s="2">
        <v>15</v>
      </c>
      <c r="AO396" s="2">
        <f>I396*1</f>
        <v>0</v>
      </c>
      <c r="AP396" s="2">
        <f>I396*(1-1)</f>
        <v>0</v>
      </c>
      <c r="AQ396" s="43" t="s">
        <v>1215</v>
      </c>
      <c r="AV396" s="2">
        <f t="shared" si="102"/>
        <v>0</v>
      </c>
      <c r="AW396" s="2">
        <f t="shared" si="103"/>
        <v>0</v>
      </c>
      <c r="AX396" s="2">
        <f t="shared" si="104"/>
        <v>0</v>
      </c>
      <c r="AY396" s="43" t="s">
        <v>140</v>
      </c>
      <c r="AZ396" s="43" t="s">
        <v>205</v>
      </c>
      <c r="BA396" s="19" t="s">
        <v>1155</v>
      </c>
      <c r="BC396" s="2">
        <f t="shared" si="105"/>
        <v>0</v>
      </c>
      <c r="BD396" s="2">
        <f t="shared" si="106"/>
        <v>0</v>
      </c>
      <c r="BE396" s="2">
        <v>0</v>
      </c>
      <c r="BF396" s="2">
        <f>396</f>
        <v>396</v>
      </c>
      <c r="BH396" s="2">
        <f t="shared" si="107"/>
        <v>0</v>
      </c>
      <c r="BI396" s="2">
        <f t="shared" si="108"/>
        <v>0</v>
      </c>
      <c r="BJ396" s="2">
        <f t="shared" si="109"/>
        <v>0</v>
      </c>
      <c r="BK396" s="2"/>
      <c r="BL396" s="2">
        <v>766</v>
      </c>
    </row>
    <row r="397" spans="1:64" ht="15" customHeight="1">
      <c r="A397" s="15" t="s">
        <v>1336</v>
      </c>
      <c r="B397" s="14" t="s">
        <v>1052</v>
      </c>
      <c r="C397" s="58" t="s">
        <v>390</v>
      </c>
      <c r="D397" s="58"/>
      <c r="E397" s="58"/>
      <c r="F397" s="58"/>
      <c r="G397" s="14" t="s">
        <v>319</v>
      </c>
      <c r="H397" s="2">
        <v>8</v>
      </c>
      <c r="I397" s="2">
        <v>0</v>
      </c>
      <c r="J397" s="2">
        <f t="shared" si="88"/>
        <v>0</v>
      </c>
      <c r="K397" s="2">
        <f t="shared" si="89"/>
        <v>0</v>
      </c>
      <c r="L397" s="2">
        <f t="shared" si="90"/>
        <v>0</v>
      </c>
      <c r="M397" s="7" t="s">
        <v>831</v>
      </c>
      <c r="Z397" s="2">
        <f t="shared" si="91"/>
        <v>0</v>
      </c>
      <c r="AB397" s="2">
        <f t="shared" si="92"/>
        <v>0</v>
      </c>
      <c r="AC397" s="2">
        <f t="shared" si="93"/>
        <v>0</v>
      </c>
      <c r="AD397" s="2">
        <f t="shared" si="94"/>
        <v>0</v>
      </c>
      <c r="AE397" s="2">
        <f t="shared" si="95"/>
        <v>0</v>
      </c>
      <c r="AF397" s="2">
        <f t="shared" si="96"/>
        <v>0</v>
      </c>
      <c r="AG397" s="2">
        <f t="shared" si="97"/>
        <v>0</v>
      </c>
      <c r="AH397" s="2">
        <f t="shared" si="98"/>
        <v>0</v>
      </c>
      <c r="AI397" s="19" t="s">
        <v>255</v>
      </c>
      <c r="AJ397" s="2">
        <f t="shared" si="99"/>
        <v>0</v>
      </c>
      <c r="AK397" s="2">
        <f t="shared" si="100"/>
        <v>0</v>
      </c>
      <c r="AL397" s="2">
        <f t="shared" si="101"/>
        <v>0</v>
      </c>
      <c r="AN397" s="2">
        <v>15</v>
      </c>
      <c r="AO397" s="2">
        <f>I397*0.150991555238176</f>
        <v>0</v>
      </c>
      <c r="AP397" s="2">
        <f>I397*(1-0.150991555238176)</f>
        <v>0</v>
      </c>
      <c r="AQ397" s="43" t="s">
        <v>1215</v>
      </c>
      <c r="AV397" s="2">
        <f t="shared" si="102"/>
        <v>0</v>
      </c>
      <c r="AW397" s="2">
        <f t="shared" si="103"/>
        <v>0</v>
      </c>
      <c r="AX397" s="2">
        <f t="shared" si="104"/>
        <v>0</v>
      </c>
      <c r="AY397" s="43" t="s">
        <v>140</v>
      </c>
      <c r="AZ397" s="43" t="s">
        <v>205</v>
      </c>
      <c r="BA397" s="19" t="s">
        <v>1155</v>
      </c>
      <c r="BC397" s="2">
        <f t="shared" si="105"/>
        <v>0</v>
      </c>
      <c r="BD397" s="2">
        <f t="shared" si="106"/>
        <v>0</v>
      </c>
      <c r="BE397" s="2">
        <v>0</v>
      </c>
      <c r="BF397" s="2">
        <f>397</f>
        <v>397</v>
      </c>
      <c r="BH397" s="2">
        <f t="shared" si="107"/>
        <v>0</v>
      </c>
      <c r="BI397" s="2">
        <f t="shared" si="108"/>
        <v>0</v>
      </c>
      <c r="BJ397" s="2">
        <f t="shared" si="109"/>
        <v>0</v>
      </c>
      <c r="BK397" s="2"/>
      <c r="BL397" s="2">
        <v>766</v>
      </c>
    </row>
    <row r="398" spans="1:64" ht="15" customHeight="1">
      <c r="A398" s="15" t="s">
        <v>1294</v>
      </c>
      <c r="B398" s="14" t="s">
        <v>1303</v>
      </c>
      <c r="C398" s="58" t="s">
        <v>976</v>
      </c>
      <c r="D398" s="58"/>
      <c r="E398" s="58"/>
      <c r="F398" s="58"/>
      <c r="G398" s="14" t="s">
        <v>319</v>
      </c>
      <c r="H398" s="2">
        <v>8</v>
      </c>
      <c r="I398" s="2">
        <v>0</v>
      </c>
      <c r="J398" s="2">
        <f t="shared" si="88"/>
        <v>0</v>
      </c>
      <c r="K398" s="2">
        <f t="shared" si="89"/>
        <v>0</v>
      </c>
      <c r="L398" s="2">
        <f t="shared" si="90"/>
        <v>0</v>
      </c>
      <c r="M398" s="7" t="s">
        <v>831</v>
      </c>
      <c r="Z398" s="2">
        <f t="shared" si="91"/>
        <v>0</v>
      </c>
      <c r="AB398" s="2">
        <f t="shared" si="92"/>
        <v>0</v>
      </c>
      <c r="AC398" s="2">
        <f t="shared" si="93"/>
        <v>0</v>
      </c>
      <c r="AD398" s="2">
        <f t="shared" si="94"/>
        <v>0</v>
      </c>
      <c r="AE398" s="2">
        <f t="shared" si="95"/>
        <v>0</v>
      </c>
      <c r="AF398" s="2">
        <f t="shared" si="96"/>
        <v>0</v>
      </c>
      <c r="AG398" s="2">
        <f t="shared" si="97"/>
        <v>0</v>
      </c>
      <c r="AH398" s="2">
        <f t="shared" si="98"/>
        <v>0</v>
      </c>
      <c r="AI398" s="19" t="s">
        <v>255</v>
      </c>
      <c r="AJ398" s="2">
        <f t="shared" si="99"/>
        <v>0</v>
      </c>
      <c r="AK398" s="2">
        <f t="shared" si="100"/>
        <v>0</v>
      </c>
      <c r="AL398" s="2">
        <f t="shared" si="101"/>
        <v>0</v>
      </c>
      <c r="AN398" s="2">
        <v>15</v>
      </c>
      <c r="AO398" s="2">
        <f>I398*1</f>
        <v>0</v>
      </c>
      <c r="AP398" s="2">
        <f>I398*(1-1)</f>
        <v>0</v>
      </c>
      <c r="AQ398" s="43" t="s">
        <v>1215</v>
      </c>
      <c r="AV398" s="2">
        <f t="shared" si="102"/>
        <v>0</v>
      </c>
      <c r="AW398" s="2">
        <f t="shared" si="103"/>
        <v>0</v>
      </c>
      <c r="AX398" s="2">
        <f t="shared" si="104"/>
        <v>0</v>
      </c>
      <c r="AY398" s="43" t="s">
        <v>140</v>
      </c>
      <c r="AZ398" s="43" t="s">
        <v>205</v>
      </c>
      <c r="BA398" s="19" t="s">
        <v>1155</v>
      </c>
      <c r="BC398" s="2">
        <f t="shared" si="105"/>
        <v>0</v>
      </c>
      <c r="BD398" s="2">
        <f t="shared" si="106"/>
        <v>0</v>
      </c>
      <c r="BE398" s="2">
        <v>0</v>
      </c>
      <c r="BF398" s="2">
        <f>398</f>
        <v>398</v>
      </c>
      <c r="BH398" s="2">
        <f t="shared" si="107"/>
        <v>0</v>
      </c>
      <c r="BI398" s="2">
        <f t="shared" si="108"/>
        <v>0</v>
      </c>
      <c r="BJ398" s="2">
        <f t="shared" si="109"/>
        <v>0</v>
      </c>
      <c r="BK398" s="2"/>
      <c r="BL398" s="2">
        <v>766</v>
      </c>
    </row>
    <row r="399" spans="1:64" ht="15" customHeight="1">
      <c r="A399" s="15" t="s">
        <v>593</v>
      </c>
      <c r="B399" s="14" t="s">
        <v>916</v>
      </c>
      <c r="C399" s="58" t="s">
        <v>994</v>
      </c>
      <c r="D399" s="58"/>
      <c r="E399" s="58"/>
      <c r="F399" s="58"/>
      <c r="G399" s="14" t="s">
        <v>319</v>
      </c>
      <c r="H399" s="2">
        <v>3</v>
      </c>
      <c r="I399" s="2">
        <v>0</v>
      </c>
      <c r="J399" s="2">
        <f t="shared" si="88"/>
        <v>0</v>
      </c>
      <c r="K399" s="2">
        <f t="shared" si="89"/>
        <v>0</v>
      </c>
      <c r="L399" s="2">
        <f t="shared" si="90"/>
        <v>0</v>
      </c>
      <c r="M399" s="7" t="s">
        <v>831</v>
      </c>
      <c r="Z399" s="2">
        <f t="shared" si="91"/>
        <v>0</v>
      </c>
      <c r="AB399" s="2">
        <f t="shared" si="92"/>
        <v>0</v>
      </c>
      <c r="AC399" s="2">
        <f t="shared" si="93"/>
        <v>0</v>
      </c>
      <c r="AD399" s="2">
        <f t="shared" si="94"/>
        <v>0</v>
      </c>
      <c r="AE399" s="2">
        <f t="shared" si="95"/>
        <v>0</v>
      </c>
      <c r="AF399" s="2">
        <f t="shared" si="96"/>
        <v>0</v>
      </c>
      <c r="AG399" s="2">
        <f t="shared" si="97"/>
        <v>0</v>
      </c>
      <c r="AH399" s="2">
        <f t="shared" si="98"/>
        <v>0</v>
      </c>
      <c r="AI399" s="19" t="s">
        <v>255</v>
      </c>
      <c r="AJ399" s="2">
        <f t="shared" si="99"/>
        <v>0</v>
      </c>
      <c r="AK399" s="2">
        <f t="shared" si="100"/>
        <v>0</v>
      </c>
      <c r="AL399" s="2">
        <f t="shared" si="101"/>
        <v>0</v>
      </c>
      <c r="AN399" s="2">
        <v>15</v>
      </c>
      <c r="AO399" s="2">
        <f>I399*0.0995792637114951</f>
        <v>0</v>
      </c>
      <c r="AP399" s="2">
        <f>I399*(1-0.0995792637114951)</f>
        <v>0</v>
      </c>
      <c r="AQ399" s="43" t="s">
        <v>1215</v>
      </c>
      <c r="AV399" s="2">
        <f t="shared" si="102"/>
        <v>0</v>
      </c>
      <c r="AW399" s="2">
        <f t="shared" si="103"/>
        <v>0</v>
      </c>
      <c r="AX399" s="2">
        <f t="shared" si="104"/>
        <v>0</v>
      </c>
      <c r="AY399" s="43" t="s">
        <v>140</v>
      </c>
      <c r="AZ399" s="43" t="s">
        <v>205</v>
      </c>
      <c r="BA399" s="19" t="s">
        <v>1155</v>
      </c>
      <c r="BC399" s="2">
        <f t="shared" si="105"/>
        <v>0</v>
      </c>
      <c r="BD399" s="2">
        <f t="shared" si="106"/>
        <v>0</v>
      </c>
      <c r="BE399" s="2">
        <v>0</v>
      </c>
      <c r="BF399" s="2">
        <f>399</f>
        <v>399</v>
      </c>
      <c r="BH399" s="2">
        <f t="shared" si="107"/>
        <v>0</v>
      </c>
      <c r="BI399" s="2">
        <f t="shared" si="108"/>
        <v>0</v>
      </c>
      <c r="BJ399" s="2">
        <f t="shared" si="109"/>
        <v>0</v>
      </c>
      <c r="BK399" s="2"/>
      <c r="BL399" s="2">
        <v>766</v>
      </c>
    </row>
    <row r="400" spans="1:64" ht="15" customHeight="1">
      <c r="A400" s="15" t="s">
        <v>1285</v>
      </c>
      <c r="B400" s="14" t="s">
        <v>902</v>
      </c>
      <c r="C400" s="58" t="s">
        <v>1129</v>
      </c>
      <c r="D400" s="58"/>
      <c r="E400" s="58"/>
      <c r="F400" s="58"/>
      <c r="G400" s="14" t="s">
        <v>319</v>
      </c>
      <c r="H400" s="2">
        <v>3</v>
      </c>
      <c r="I400" s="2">
        <v>0</v>
      </c>
      <c r="J400" s="2">
        <f t="shared" si="88"/>
        <v>0</v>
      </c>
      <c r="K400" s="2">
        <f t="shared" si="89"/>
        <v>0</v>
      </c>
      <c r="L400" s="2">
        <f t="shared" si="90"/>
        <v>0</v>
      </c>
      <c r="M400" s="7" t="s">
        <v>831</v>
      </c>
      <c r="Z400" s="2">
        <f t="shared" si="91"/>
        <v>0</v>
      </c>
      <c r="AB400" s="2">
        <f t="shared" si="92"/>
        <v>0</v>
      </c>
      <c r="AC400" s="2">
        <f t="shared" si="93"/>
        <v>0</v>
      </c>
      <c r="AD400" s="2">
        <f t="shared" si="94"/>
        <v>0</v>
      </c>
      <c r="AE400" s="2">
        <f t="shared" si="95"/>
        <v>0</v>
      </c>
      <c r="AF400" s="2">
        <f t="shared" si="96"/>
        <v>0</v>
      </c>
      <c r="AG400" s="2">
        <f t="shared" si="97"/>
        <v>0</v>
      </c>
      <c r="AH400" s="2">
        <f t="shared" si="98"/>
        <v>0</v>
      </c>
      <c r="AI400" s="19" t="s">
        <v>255</v>
      </c>
      <c r="AJ400" s="2">
        <f t="shared" si="99"/>
        <v>0</v>
      </c>
      <c r="AK400" s="2">
        <f t="shared" si="100"/>
        <v>0</v>
      </c>
      <c r="AL400" s="2">
        <f t="shared" si="101"/>
        <v>0</v>
      </c>
      <c r="AN400" s="2">
        <v>15</v>
      </c>
      <c r="AO400" s="2">
        <f>I400*1</f>
        <v>0</v>
      </c>
      <c r="AP400" s="2">
        <f>I400*(1-1)</f>
        <v>0</v>
      </c>
      <c r="AQ400" s="43" t="s">
        <v>1215</v>
      </c>
      <c r="AV400" s="2">
        <f t="shared" si="102"/>
        <v>0</v>
      </c>
      <c r="AW400" s="2">
        <f t="shared" si="103"/>
        <v>0</v>
      </c>
      <c r="AX400" s="2">
        <f t="shared" si="104"/>
        <v>0</v>
      </c>
      <c r="AY400" s="43" t="s">
        <v>140</v>
      </c>
      <c r="AZ400" s="43" t="s">
        <v>205</v>
      </c>
      <c r="BA400" s="19" t="s">
        <v>1155</v>
      </c>
      <c r="BC400" s="2">
        <f t="shared" si="105"/>
        <v>0</v>
      </c>
      <c r="BD400" s="2">
        <f t="shared" si="106"/>
        <v>0</v>
      </c>
      <c r="BE400" s="2">
        <v>0</v>
      </c>
      <c r="BF400" s="2">
        <f>400</f>
        <v>400</v>
      </c>
      <c r="BH400" s="2">
        <f t="shared" si="107"/>
        <v>0</v>
      </c>
      <c r="BI400" s="2">
        <f t="shared" si="108"/>
        <v>0</v>
      </c>
      <c r="BJ400" s="2">
        <f t="shared" si="109"/>
        <v>0</v>
      </c>
      <c r="BK400" s="2"/>
      <c r="BL400" s="2">
        <v>766</v>
      </c>
    </row>
    <row r="401" spans="1:64" ht="15" customHeight="1">
      <c r="A401" s="15" t="s">
        <v>663</v>
      </c>
      <c r="B401" s="14" t="s">
        <v>863</v>
      </c>
      <c r="C401" s="58" t="s">
        <v>1011</v>
      </c>
      <c r="D401" s="58"/>
      <c r="E401" s="58"/>
      <c r="F401" s="58"/>
      <c r="G401" s="14" t="s">
        <v>1189</v>
      </c>
      <c r="H401" s="2">
        <v>29.825</v>
      </c>
      <c r="I401" s="2">
        <v>0</v>
      </c>
      <c r="J401" s="2">
        <f t="shared" si="88"/>
        <v>0</v>
      </c>
      <c r="K401" s="2">
        <f t="shared" si="89"/>
        <v>0</v>
      </c>
      <c r="L401" s="2">
        <f t="shared" si="90"/>
        <v>0</v>
      </c>
      <c r="M401" s="7" t="s">
        <v>831</v>
      </c>
      <c r="Z401" s="2">
        <f t="shared" si="91"/>
        <v>0</v>
      </c>
      <c r="AB401" s="2">
        <f t="shared" si="92"/>
        <v>0</v>
      </c>
      <c r="AC401" s="2">
        <f t="shared" si="93"/>
        <v>0</v>
      </c>
      <c r="AD401" s="2">
        <f t="shared" si="94"/>
        <v>0</v>
      </c>
      <c r="AE401" s="2">
        <f t="shared" si="95"/>
        <v>0</v>
      </c>
      <c r="AF401" s="2">
        <f t="shared" si="96"/>
        <v>0</v>
      </c>
      <c r="AG401" s="2">
        <f t="shared" si="97"/>
        <v>0</v>
      </c>
      <c r="AH401" s="2">
        <f t="shared" si="98"/>
        <v>0</v>
      </c>
      <c r="AI401" s="19" t="s">
        <v>255</v>
      </c>
      <c r="AJ401" s="2">
        <f t="shared" si="99"/>
        <v>0</v>
      </c>
      <c r="AK401" s="2">
        <f t="shared" si="100"/>
        <v>0</v>
      </c>
      <c r="AL401" s="2">
        <f t="shared" si="101"/>
        <v>0</v>
      </c>
      <c r="AN401" s="2">
        <v>15</v>
      </c>
      <c r="AO401" s="2">
        <f>I401*0.0347058271513825</f>
        <v>0</v>
      </c>
      <c r="AP401" s="2">
        <f>I401*(1-0.0347058271513825)</f>
        <v>0</v>
      </c>
      <c r="AQ401" s="43" t="s">
        <v>1215</v>
      </c>
      <c r="AV401" s="2">
        <f t="shared" si="102"/>
        <v>0</v>
      </c>
      <c r="AW401" s="2">
        <f t="shared" si="103"/>
        <v>0</v>
      </c>
      <c r="AX401" s="2">
        <f t="shared" si="104"/>
        <v>0</v>
      </c>
      <c r="AY401" s="43" t="s">
        <v>140</v>
      </c>
      <c r="AZ401" s="43" t="s">
        <v>205</v>
      </c>
      <c r="BA401" s="19" t="s">
        <v>1155</v>
      </c>
      <c r="BC401" s="2">
        <f t="shared" si="105"/>
        <v>0</v>
      </c>
      <c r="BD401" s="2">
        <f t="shared" si="106"/>
        <v>0</v>
      </c>
      <c r="BE401" s="2">
        <v>0</v>
      </c>
      <c r="BF401" s="2">
        <f>401</f>
        <v>401</v>
      </c>
      <c r="BH401" s="2">
        <f t="shared" si="107"/>
        <v>0</v>
      </c>
      <c r="BI401" s="2">
        <f t="shared" si="108"/>
        <v>0</v>
      </c>
      <c r="BJ401" s="2">
        <f t="shared" si="109"/>
        <v>0</v>
      </c>
      <c r="BK401" s="2"/>
      <c r="BL401" s="2">
        <v>766</v>
      </c>
    </row>
    <row r="402" spans="1:64" ht="15" customHeight="1">
      <c r="A402" s="15" t="s">
        <v>912</v>
      </c>
      <c r="B402" s="14" t="s">
        <v>643</v>
      </c>
      <c r="C402" s="58" t="s">
        <v>1184</v>
      </c>
      <c r="D402" s="58"/>
      <c r="E402" s="58"/>
      <c r="F402" s="58"/>
      <c r="G402" s="14" t="s">
        <v>1189</v>
      </c>
      <c r="H402" s="2">
        <v>16.875</v>
      </c>
      <c r="I402" s="2">
        <v>0</v>
      </c>
      <c r="J402" s="2">
        <f t="shared" si="88"/>
        <v>0</v>
      </c>
      <c r="K402" s="2">
        <f t="shared" si="89"/>
        <v>0</v>
      </c>
      <c r="L402" s="2">
        <f t="shared" si="90"/>
        <v>0</v>
      </c>
      <c r="M402" s="7" t="s">
        <v>831</v>
      </c>
      <c r="Z402" s="2">
        <f t="shared" si="91"/>
        <v>0</v>
      </c>
      <c r="AB402" s="2">
        <f t="shared" si="92"/>
        <v>0</v>
      </c>
      <c r="AC402" s="2">
        <f t="shared" si="93"/>
        <v>0</v>
      </c>
      <c r="AD402" s="2">
        <f t="shared" si="94"/>
        <v>0</v>
      </c>
      <c r="AE402" s="2">
        <f t="shared" si="95"/>
        <v>0</v>
      </c>
      <c r="AF402" s="2">
        <f t="shared" si="96"/>
        <v>0</v>
      </c>
      <c r="AG402" s="2">
        <f t="shared" si="97"/>
        <v>0</v>
      </c>
      <c r="AH402" s="2">
        <f t="shared" si="98"/>
        <v>0</v>
      </c>
      <c r="AI402" s="19" t="s">
        <v>255</v>
      </c>
      <c r="AJ402" s="2">
        <f t="shared" si="99"/>
        <v>0</v>
      </c>
      <c r="AK402" s="2">
        <f t="shared" si="100"/>
        <v>0</v>
      </c>
      <c r="AL402" s="2">
        <f t="shared" si="101"/>
        <v>0</v>
      </c>
      <c r="AN402" s="2">
        <v>15</v>
      </c>
      <c r="AO402" s="2">
        <f>I402*1</f>
        <v>0</v>
      </c>
      <c r="AP402" s="2">
        <f>I402*(1-1)</f>
        <v>0</v>
      </c>
      <c r="AQ402" s="43" t="s">
        <v>1215</v>
      </c>
      <c r="AV402" s="2">
        <f t="shared" si="102"/>
        <v>0</v>
      </c>
      <c r="AW402" s="2">
        <f t="shared" si="103"/>
        <v>0</v>
      </c>
      <c r="AX402" s="2">
        <f t="shared" si="104"/>
        <v>0</v>
      </c>
      <c r="AY402" s="43" t="s">
        <v>140</v>
      </c>
      <c r="AZ402" s="43" t="s">
        <v>205</v>
      </c>
      <c r="BA402" s="19" t="s">
        <v>1155</v>
      </c>
      <c r="BC402" s="2">
        <f t="shared" si="105"/>
        <v>0</v>
      </c>
      <c r="BD402" s="2">
        <f t="shared" si="106"/>
        <v>0</v>
      </c>
      <c r="BE402" s="2">
        <v>0</v>
      </c>
      <c r="BF402" s="2">
        <f>402</f>
        <v>402</v>
      </c>
      <c r="BH402" s="2">
        <f t="shared" si="107"/>
        <v>0</v>
      </c>
      <c r="BI402" s="2">
        <f t="shared" si="108"/>
        <v>0</v>
      </c>
      <c r="BJ402" s="2">
        <f t="shared" si="109"/>
        <v>0</v>
      </c>
      <c r="BK402" s="2"/>
      <c r="BL402" s="2">
        <v>766</v>
      </c>
    </row>
    <row r="403" spans="1:64" ht="15" customHeight="1">
      <c r="A403" s="15" t="s">
        <v>576</v>
      </c>
      <c r="B403" s="14" t="s">
        <v>192</v>
      </c>
      <c r="C403" s="58" t="s">
        <v>1255</v>
      </c>
      <c r="D403" s="58"/>
      <c r="E403" s="58"/>
      <c r="F403" s="58"/>
      <c r="G403" s="14" t="s">
        <v>319</v>
      </c>
      <c r="H403" s="2">
        <v>2</v>
      </c>
      <c r="I403" s="2">
        <v>0</v>
      </c>
      <c r="J403" s="2">
        <f t="shared" si="88"/>
        <v>0</v>
      </c>
      <c r="K403" s="2">
        <f t="shared" si="89"/>
        <v>0</v>
      </c>
      <c r="L403" s="2">
        <f t="shared" si="90"/>
        <v>0</v>
      </c>
      <c r="M403" s="7" t="s">
        <v>831</v>
      </c>
      <c r="Z403" s="2">
        <f t="shared" si="91"/>
        <v>0</v>
      </c>
      <c r="AB403" s="2">
        <f t="shared" si="92"/>
        <v>0</v>
      </c>
      <c r="AC403" s="2">
        <f t="shared" si="93"/>
        <v>0</v>
      </c>
      <c r="AD403" s="2">
        <f t="shared" si="94"/>
        <v>0</v>
      </c>
      <c r="AE403" s="2">
        <f t="shared" si="95"/>
        <v>0</v>
      </c>
      <c r="AF403" s="2">
        <f t="shared" si="96"/>
        <v>0</v>
      </c>
      <c r="AG403" s="2">
        <f t="shared" si="97"/>
        <v>0</v>
      </c>
      <c r="AH403" s="2">
        <f t="shared" si="98"/>
        <v>0</v>
      </c>
      <c r="AI403" s="19" t="s">
        <v>255</v>
      </c>
      <c r="AJ403" s="2">
        <f t="shared" si="99"/>
        <v>0</v>
      </c>
      <c r="AK403" s="2">
        <f t="shared" si="100"/>
        <v>0</v>
      </c>
      <c r="AL403" s="2">
        <f t="shared" si="101"/>
        <v>0</v>
      </c>
      <c r="AN403" s="2">
        <v>15</v>
      </c>
      <c r="AO403" s="2">
        <f>I403*1</f>
        <v>0</v>
      </c>
      <c r="AP403" s="2">
        <f>I403*(1-1)</f>
        <v>0</v>
      </c>
      <c r="AQ403" s="43" t="s">
        <v>1215</v>
      </c>
      <c r="AV403" s="2">
        <f t="shared" si="102"/>
        <v>0</v>
      </c>
      <c r="AW403" s="2">
        <f t="shared" si="103"/>
        <v>0</v>
      </c>
      <c r="AX403" s="2">
        <f t="shared" si="104"/>
        <v>0</v>
      </c>
      <c r="AY403" s="43" t="s">
        <v>140</v>
      </c>
      <c r="AZ403" s="43" t="s">
        <v>205</v>
      </c>
      <c r="BA403" s="19" t="s">
        <v>1155</v>
      </c>
      <c r="BC403" s="2">
        <f t="shared" si="105"/>
        <v>0</v>
      </c>
      <c r="BD403" s="2">
        <f t="shared" si="106"/>
        <v>0</v>
      </c>
      <c r="BE403" s="2">
        <v>0</v>
      </c>
      <c r="BF403" s="2">
        <f>403</f>
        <v>403</v>
      </c>
      <c r="BH403" s="2">
        <f t="shared" si="107"/>
        <v>0</v>
      </c>
      <c r="BI403" s="2">
        <f t="shared" si="108"/>
        <v>0</v>
      </c>
      <c r="BJ403" s="2">
        <f t="shared" si="109"/>
        <v>0</v>
      </c>
      <c r="BK403" s="2"/>
      <c r="BL403" s="2">
        <v>766</v>
      </c>
    </row>
    <row r="404" spans="1:64" ht="15" customHeight="1">
      <c r="A404" s="15" t="s">
        <v>1199</v>
      </c>
      <c r="B404" s="14" t="s">
        <v>291</v>
      </c>
      <c r="C404" s="58" t="s">
        <v>1307</v>
      </c>
      <c r="D404" s="58"/>
      <c r="E404" s="58"/>
      <c r="F404" s="58"/>
      <c r="G404" s="14" t="s">
        <v>319</v>
      </c>
      <c r="H404" s="2">
        <v>3</v>
      </c>
      <c r="I404" s="2">
        <v>0</v>
      </c>
      <c r="J404" s="2">
        <f t="shared" si="88"/>
        <v>0</v>
      </c>
      <c r="K404" s="2">
        <f t="shared" si="89"/>
        <v>0</v>
      </c>
      <c r="L404" s="2">
        <f t="shared" si="90"/>
        <v>0</v>
      </c>
      <c r="M404" s="7" t="s">
        <v>831</v>
      </c>
      <c r="Z404" s="2">
        <f t="shared" si="91"/>
        <v>0</v>
      </c>
      <c r="AB404" s="2">
        <f t="shared" si="92"/>
        <v>0</v>
      </c>
      <c r="AC404" s="2">
        <f t="shared" si="93"/>
        <v>0</v>
      </c>
      <c r="AD404" s="2">
        <f t="shared" si="94"/>
        <v>0</v>
      </c>
      <c r="AE404" s="2">
        <f t="shared" si="95"/>
        <v>0</v>
      </c>
      <c r="AF404" s="2">
        <f t="shared" si="96"/>
        <v>0</v>
      </c>
      <c r="AG404" s="2">
        <f t="shared" si="97"/>
        <v>0</v>
      </c>
      <c r="AH404" s="2">
        <f t="shared" si="98"/>
        <v>0</v>
      </c>
      <c r="AI404" s="19" t="s">
        <v>255</v>
      </c>
      <c r="AJ404" s="2">
        <f t="shared" si="99"/>
        <v>0</v>
      </c>
      <c r="AK404" s="2">
        <f t="shared" si="100"/>
        <v>0</v>
      </c>
      <c r="AL404" s="2">
        <f t="shared" si="101"/>
        <v>0</v>
      </c>
      <c r="AN404" s="2">
        <v>15</v>
      </c>
      <c r="AO404" s="2">
        <f>I404*0.108582136164897</f>
        <v>0</v>
      </c>
      <c r="AP404" s="2">
        <f>I404*(1-0.108582136164897)</f>
        <v>0</v>
      </c>
      <c r="AQ404" s="43" t="s">
        <v>1215</v>
      </c>
      <c r="AV404" s="2">
        <f t="shared" si="102"/>
        <v>0</v>
      </c>
      <c r="AW404" s="2">
        <f t="shared" si="103"/>
        <v>0</v>
      </c>
      <c r="AX404" s="2">
        <f t="shared" si="104"/>
        <v>0</v>
      </c>
      <c r="AY404" s="43" t="s">
        <v>140</v>
      </c>
      <c r="AZ404" s="43" t="s">
        <v>205</v>
      </c>
      <c r="BA404" s="19" t="s">
        <v>1155</v>
      </c>
      <c r="BC404" s="2">
        <f t="shared" si="105"/>
        <v>0</v>
      </c>
      <c r="BD404" s="2">
        <f t="shared" si="106"/>
        <v>0</v>
      </c>
      <c r="BE404" s="2">
        <v>0</v>
      </c>
      <c r="BF404" s="2">
        <f>404</f>
        <v>404</v>
      </c>
      <c r="BH404" s="2">
        <f t="shared" si="107"/>
        <v>0</v>
      </c>
      <c r="BI404" s="2">
        <f t="shared" si="108"/>
        <v>0</v>
      </c>
      <c r="BJ404" s="2">
        <f t="shared" si="109"/>
        <v>0</v>
      </c>
      <c r="BK404" s="2"/>
      <c r="BL404" s="2">
        <v>766</v>
      </c>
    </row>
    <row r="405" spans="1:64" ht="15" customHeight="1">
      <c r="A405" s="15" t="s">
        <v>515</v>
      </c>
      <c r="B405" s="14" t="s">
        <v>907</v>
      </c>
      <c r="C405" s="58" t="s">
        <v>724</v>
      </c>
      <c r="D405" s="58"/>
      <c r="E405" s="58"/>
      <c r="F405" s="58"/>
      <c r="G405" s="14" t="s">
        <v>319</v>
      </c>
      <c r="H405" s="2">
        <v>1</v>
      </c>
      <c r="I405" s="2">
        <v>0</v>
      </c>
      <c r="J405" s="2">
        <f t="shared" si="88"/>
        <v>0</v>
      </c>
      <c r="K405" s="2">
        <f t="shared" si="89"/>
        <v>0</v>
      </c>
      <c r="L405" s="2">
        <f t="shared" si="90"/>
        <v>0</v>
      </c>
      <c r="M405" s="7" t="s">
        <v>831</v>
      </c>
      <c r="Z405" s="2">
        <f t="shared" si="91"/>
        <v>0</v>
      </c>
      <c r="AB405" s="2">
        <f t="shared" si="92"/>
        <v>0</v>
      </c>
      <c r="AC405" s="2">
        <f t="shared" si="93"/>
        <v>0</v>
      </c>
      <c r="AD405" s="2">
        <f t="shared" si="94"/>
        <v>0</v>
      </c>
      <c r="AE405" s="2">
        <f t="shared" si="95"/>
        <v>0</v>
      </c>
      <c r="AF405" s="2">
        <f t="shared" si="96"/>
        <v>0</v>
      </c>
      <c r="AG405" s="2">
        <f t="shared" si="97"/>
        <v>0</v>
      </c>
      <c r="AH405" s="2">
        <f t="shared" si="98"/>
        <v>0</v>
      </c>
      <c r="AI405" s="19" t="s">
        <v>255</v>
      </c>
      <c r="AJ405" s="2">
        <f t="shared" si="99"/>
        <v>0</v>
      </c>
      <c r="AK405" s="2">
        <f t="shared" si="100"/>
        <v>0</v>
      </c>
      <c r="AL405" s="2">
        <f t="shared" si="101"/>
        <v>0</v>
      </c>
      <c r="AN405" s="2">
        <v>15</v>
      </c>
      <c r="AO405" s="2">
        <f>I405*1</f>
        <v>0</v>
      </c>
      <c r="AP405" s="2">
        <f>I405*(1-1)</f>
        <v>0</v>
      </c>
      <c r="AQ405" s="43" t="s">
        <v>1215</v>
      </c>
      <c r="AV405" s="2">
        <f t="shared" si="102"/>
        <v>0</v>
      </c>
      <c r="AW405" s="2">
        <f t="shared" si="103"/>
        <v>0</v>
      </c>
      <c r="AX405" s="2">
        <f t="shared" si="104"/>
        <v>0</v>
      </c>
      <c r="AY405" s="43" t="s">
        <v>140</v>
      </c>
      <c r="AZ405" s="43" t="s">
        <v>205</v>
      </c>
      <c r="BA405" s="19" t="s">
        <v>1155</v>
      </c>
      <c r="BC405" s="2">
        <f t="shared" si="105"/>
        <v>0</v>
      </c>
      <c r="BD405" s="2">
        <f t="shared" si="106"/>
        <v>0</v>
      </c>
      <c r="BE405" s="2">
        <v>0</v>
      </c>
      <c r="BF405" s="2">
        <f>405</f>
        <v>405</v>
      </c>
      <c r="BH405" s="2">
        <f t="shared" si="107"/>
        <v>0</v>
      </c>
      <c r="BI405" s="2">
        <f t="shared" si="108"/>
        <v>0</v>
      </c>
      <c r="BJ405" s="2">
        <f t="shared" si="109"/>
        <v>0</v>
      </c>
      <c r="BK405" s="2"/>
      <c r="BL405" s="2">
        <v>766</v>
      </c>
    </row>
    <row r="406" spans="1:64" ht="15" customHeight="1">
      <c r="A406" s="15" t="s">
        <v>184</v>
      </c>
      <c r="B406" s="14" t="s">
        <v>1029</v>
      </c>
      <c r="C406" s="58" t="s">
        <v>978</v>
      </c>
      <c r="D406" s="58"/>
      <c r="E406" s="58"/>
      <c r="F406" s="58"/>
      <c r="G406" s="14" t="s">
        <v>319</v>
      </c>
      <c r="H406" s="2">
        <v>1</v>
      </c>
      <c r="I406" s="2">
        <v>0</v>
      </c>
      <c r="J406" s="2">
        <f t="shared" si="88"/>
        <v>0</v>
      </c>
      <c r="K406" s="2">
        <f t="shared" si="89"/>
        <v>0</v>
      </c>
      <c r="L406" s="2">
        <f t="shared" si="90"/>
        <v>0</v>
      </c>
      <c r="M406" s="7" t="s">
        <v>831</v>
      </c>
      <c r="Z406" s="2">
        <f t="shared" si="91"/>
        <v>0</v>
      </c>
      <c r="AB406" s="2">
        <f t="shared" si="92"/>
        <v>0</v>
      </c>
      <c r="AC406" s="2">
        <f t="shared" si="93"/>
        <v>0</v>
      </c>
      <c r="AD406" s="2">
        <f t="shared" si="94"/>
        <v>0</v>
      </c>
      <c r="AE406" s="2">
        <f t="shared" si="95"/>
        <v>0</v>
      </c>
      <c r="AF406" s="2">
        <f t="shared" si="96"/>
        <v>0</v>
      </c>
      <c r="AG406" s="2">
        <f t="shared" si="97"/>
        <v>0</v>
      </c>
      <c r="AH406" s="2">
        <f t="shared" si="98"/>
        <v>0</v>
      </c>
      <c r="AI406" s="19" t="s">
        <v>255</v>
      </c>
      <c r="AJ406" s="2">
        <f t="shared" si="99"/>
        <v>0</v>
      </c>
      <c r="AK406" s="2">
        <f t="shared" si="100"/>
        <v>0</v>
      </c>
      <c r="AL406" s="2">
        <f t="shared" si="101"/>
        <v>0</v>
      </c>
      <c r="AN406" s="2">
        <v>15</v>
      </c>
      <c r="AO406" s="2">
        <f>I406*1</f>
        <v>0</v>
      </c>
      <c r="AP406" s="2">
        <f>I406*(1-1)</f>
        <v>0</v>
      </c>
      <c r="AQ406" s="43" t="s">
        <v>1215</v>
      </c>
      <c r="AV406" s="2">
        <f t="shared" si="102"/>
        <v>0</v>
      </c>
      <c r="AW406" s="2">
        <f t="shared" si="103"/>
        <v>0</v>
      </c>
      <c r="AX406" s="2">
        <f t="shared" si="104"/>
        <v>0</v>
      </c>
      <c r="AY406" s="43" t="s">
        <v>140</v>
      </c>
      <c r="AZ406" s="43" t="s">
        <v>205</v>
      </c>
      <c r="BA406" s="19" t="s">
        <v>1155</v>
      </c>
      <c r="BC406" s="2">
        <f t="shared" si="105"/>
        <v>0</v>
      </c>
      <c r="BD406" s="2">
        <f t="shared" si="106"/>
        <v>0</v>
      </c>
      <c r="BE406" s="2">
        <v>0</v>
      </c>
      <c r="BF406" s="2">
        <f>406</f>
        <v>406</v>
      </c>
      <c r="BH406" s="2">
        <f t="shared" si="107"/>
        <v>0</v>
      </c>
      <c r="BI406" s="2">
        <f t="shared" si="108"/>
        <v>0</v>
      </c>
      <c r="BJ406" s="2">
        <f t="shared" si="109"/>
        <v>0</v>
      </c>
      <c r="BK406" s="2"/>
      <c r="BL406" s="2">
        <v>766</v>
      </c>
    </row>
    <row r="407" spans="1:64" ht="15" customHeight="1">
      <c r="A407" s="15" t="s">
        <v>371</v>
      </c>
      <c r="B407" s="14" t="s">
        <v>1020</v>
      </c>
      <c r="C407" s="58" t="s">
        <v>1133</v>
      </c>
      <c r="D407" s="58"/>
      <c r="E407" s="58"/>
      <c r="F407" s="58"/>
      <c r="G407" s="14" t="s">
        <v>319</v>
      </c>
      <c r="H407" s="2">
        <v>1</v>
      </c>
      <c r="I407" s="2">
        <v>0</v>
      </c>
      <c r="J407" s="2">
        <f t="shared" si="88"/>
        <v>0</v>
      </c>
      <c r="K407" s="2">
        <f t="shared" si="89"/>
        <v>0</v>
      </c>
      <c r="L407" s="2">
        <f t="shared" si="90"/>
        <v>0</v>
      </c>
      <c r="M407" s="7" t="s">
        <v>831</v>
      </c>
      <c r="Z407" s="2">
        <f t="shared" si="91"/>
        <v>0</v>
      </c>
      <c r="AB407" s="2">
        <f t="shared" si="92"/>
        <v>0</v>
      </c>
      <c r="AC407" s="2">
        <f t="shared" si="93"/>
        <v>0</v>
      </c>
      <c r="AD407" s="2">
        <f t="shared" si="94"/>
        <v>0</v>
      </c>
      <c r="AE407" s="2">
        <f t="shared" si="95"/>
        <v>0</v>
      </c>
      <c r="AF407" s="2">
        <f t="shared" si="96"/>
        <v>0</v>
      </c>
      <c r="AG407" s="2">
        <f t="shared" si="97"/>
        <v>0</v>
      </c>
      <c r="AH407" s="2">
        <f t="shared" si="98"/>
        <v>0</v>
      </c>
      <c r="AI407" s="19" t="s">
        <v>255</v>
      </c>
      <c r="AJ407" s="2">
        <f t="shared" si="99"/>
        <v>0</v>
      </c>
      <c r="AK407" s="2">
        <f t="shared" si="100"/>
        <v>0</v>
      </c>
      <c r="AL407" s="2">
        <f t="shared" si="101"/>
        <v>0</v>
      </c>
      <c r="AN407" s="2">
        <v>15</v>
      </c>
      <c r="AO407" s="2">
        <f>I407*1</f>
        <v>0</v>
      </c>
      <c r="AP407" s="2">
        <f>I407*(1-1)</f>
        <v>0</v>
      </c>
      <c r="AQ407" s="43" t="s">
        <v>1215</v>
      </c>
      <c r="AV407" s="2">
        <f t="shared" si="102"/>
        <v>0</v>
      </c>
      <c r="AW407" s="2">
        <f t="shared" si="103"/>
        <v>0</v>
      </c>
      <c r="AX407" s="2">
        <f t="shared" si="104"/>
        <v>0</v>
      </c>
      <c r="AY407" s="43" t="s">
        <v>140</v>
      </c>
      <c r="AZ407" s="43" t="s">
        <v>205</v>
      </c>
      <c r="BA407" s="19" t="s">
        <v>1155</v>
      </c>
      <c r="BC407" s="2">
        <f t="shared" si="105"/>
        <v>0</v>
      </c>
      <c r="BD407" s="2">
        <f t="shared" si="106"/>
        <v>0</v>
      </c>
      <c r="BE407" s="2">
        <v>0</v>
      </c>
      <c r="BF407" s="2">
        <f>407</f>
        <v>407</v>
      </c>
      <c r="BH407" s="2">
        <f t="shared" si="107"/>
        <v>0</v>
      </c>
      <c r="BI407" s="2">
        <f t="shared" si="108"/>
        <v>0</v>
      </c>
      <c r="BJ407" s="2">
        <f t="shared" si="109"/>
        <v>0</v>
      </c>
      <c r="BK407" s="2"/>
      <c r="BL407" s="2">
        <v>766</v>
      </c>
    </row>
    <row r="408" spans="1:64" ht="15" customHeight="1">
      <c r="A408" s="15" t="s">
        <v>620</v>
      </c>
      <c r="B408" s="14" t="s">
        <v>848</v>
      </c>
      <c r="C408" s="58" t="s">
        <v>1162</v>
      </c>
      <c r="D408" s="58"/>
      <c r="E408" s="58"/>
      <c r="F408" s="58"/>
      <c r="G408" s="14" t="s">
        <v>319</v>
      </c>
      <c r="H408" s="2">
        <v>6</v>
      </c>
      <c r="I408" s="2">
        <v>0</v>
      </c>
      <c r="J408" s="2">
        <f t="shared" si="88"/>
        <v>0</v>
      </c>
      <c r="K408" s="2">
        <f t="shared" si="89"/>
        <v>0</v>
      </c>
      <c r="L408" s="2">
        <f t="shared" si="90"/>
        <v>0</v>
      </c>
      <c r="M408" s="7" t="s">
        <v>831</v>
      </c>
      <c r="Z408" s="2">
        <f t="shared" si="91"/>
        <v>0</v>
      </c>
      <c r="AB408" s="2">
        <f t="shared" si="92"/>
        <v>0</v>
      </c>
      <c r="AC408" s="2">
        <f t="shared" si="93"/>
        <v>0</v>
      </c>
      <c r="AD408" s="2">
        <f t="shared" si="94"/>
        <v>0</v>
      </c>
      <c r="AE408" s="2">
        <f t="shared" si="95"/>
        <v>0</v>
      </c>
      <c r="AF408" s="2">
        <f t="shared" si="96"/>
        <v>0</v>
      </c>
      <c r="AG408" s="2">
        <f t="shared" si="97"/>
        <v>0</v>
      </c>
      <c r="AH408" s="2">
        <f t="shared" si="98"/>
        <v>0</v>
      </c>
      <c r="AI408" s="19" t="s">
        <v>255</v>
      </c>
      <c r="AJ408" s="2">
        <f t="shared" si="99"/>
        <v>0</v>
      </c>
      <c r="AK408" s="2">
        <f t="shared" si="100"/>
        <v>0</v>
      </c>
      <c r="AL408" s="2">
        <f t="shared" si="101"/>
        <v>0</v>
      </c>
      <c r="AN408" s="2">
        <v>15</v>
      </c>
      <c r="AO408" s="2">
        <f>I408*0.136547425474255</f>
        <v>0</v>
      </c>
      <c r="AP408" s="2">
        <f>I408*(1-0.136547425474255)</f>
        <v>0</v>
      </c>
      <c r="AQ408" s="43" t="s">
        <v>1215</v>
      </c>
      <c r="AV408" s="2">
        <f t="shared" si="102"/>
        <v>0</v>
      </c>
      <c r="AW408" s="2">
        <f t="shared" si="103"/>
        <v>0</v>
      </c>
      <c r="AX408" s="2">
        <f t="shared" si="104"/>
        <v>0</v>
      </c>
      <c r="AY408" s="43" t="s">
        <v>140</v>
      </c>
      <c r="AZ408" s="43" t="s">
        <v>205</v>
      </c>
      <c r="BA408" s="19" t="s">
        <v>1155</v>
      </c>
      <c r="BC408" s="2">
        <f t="shared" si="105"/>
        <v>0</v>
      </c>
      <c r="BD408" s="2">
        <f t="shared" si="106"/>
        <v>0</v>
      </c>
      <c r="BE408" s="2">
        <v>0</v>
      </c>
      <c r="BF408" s="2">
        <f>408</f>
        <v>408</v>
      </c>
      <c r="BH408" s="2">
        <f t="shared" si="107"/>
        <v>0</v>
      </c>
      <c r="BI408" s="2">
        <f t="shared" si="108"/>
        <v>0</v>
      </c>
      <c r="BJ408" s="2">
        <f t="shared" si="109"/>
        <v>0</v>
      </c>
      <c r="BK408" s="2"/>
      <c r="BL408" s="2">
        <v>766</v>
      </c>
    </row>
    <row r="409" spans="1:64" ht="15" customHeight="1">
      <c r="A409" s="15" t="s">
        <v>761</v>
      </c>
      <c r="B409" s="14" t="s">
        <v>72</v>
      </c>
      <c r="C409" s="58" t="s">
        <v>18</v>
      </c>
      <c r="D409" s="58"/>
      <c r="E409" s="58"/>
      <c r="F409" s="58"/>
      <c r="G409" s="14" t="s">
        <v>319</v>
      </c>
      <c r="H409" s="2">
        <v>1</v>
      </c>
      <c r="I409" s="2">
        <v>0</v>
      </c>
      <c r="J409" s="2">
        <f t="shared" si="88"/>
        <v>0</v>
      </c>
      <c r="K409" s="2">
        <f t="shared" si="89"/>
        <v>0</v>
      </c>
      <c r="L409" s="2">
        <f t="shared" si="90"/>
        <v>0</v>
      </c>
      <c r="M409" s="7" t="s">
        <v>831</v>
      </c>
      <c r="Z409" s="2">
        <f t="shared" si="91"/>
        <v>0</v>
      </c>
      <c r="AB409" s="2">
        <f t="shared" si="92"/>
        <v>0</v>
      </c>
      <c r="AC409" s="2">
        <f t="shared" si="93"/>
        <v>0</v>
      </c>
      <c r="AD409" s="2">
        <f t="shared" si="94"/>
        <v>0</v>
      </c>
      <c r="AE409" s="2">
        <f t="shared" si="95"/>
        <v>0</v>
      </c>
      <c r="AF409" s="2">
        <f t="shared" si="96"/>
        <v>0</v>
      </c>
      <c r="AG409" s="2">
        <f t="shared" si="97"/>
        <v>0</v>
      </c>
      <c r="AH409" s="2">
        <f t="shared" si="98"/>
        <v>0</v>
      </c>
      <c r="AI409" s="19" t="s">
        <v>255</v>
      </c>
      <c r="AJ409" s="2">
        <f t="shared" si="99"/>
        <v>0</v>
      </c>
      <c r="AK409" s="2">
        <f t="shared" si="100"/>
        <v>0</v>
      </c>
      <c r="AL409" s="2">
        <f t="shared" si="101"/>
        <v>0</v>
      </c>
      <c r="AN409" s="2">
        <v>15</v>
      </c>
      <c r="AO409" s="2">
        <f>I409*1</f>
        <v>0</v>
      </c>
      <c r="AP409" s="2">
        <f>I409*(1-1)</f>
        <v>0</v>
      </c>
      <c r="AQ409" s="43" t="s">
        <v>1215</v>
      </c>
      <c r="AV409" s="2">
        <f t="shared" si="102"/>
        <v>0</v>
      </c>
      <c r="AW409" s="2">
        <f t="shared" si="103"/>
        <v>0</v>
      </c>
      <c r="AX409" s="2">
        <f t="shared" si="104"/>
        <v>0</v>
      </c>
      <c r="AY409" s="43" t="s">
        <v>140</v>
      </c>
      <c r="AZ409" s="43" t="s">
        <v>205</v>
      </c>
      <c r="BA409" s="19" t="s">
        <v>1155</v>
      </c>
      <c r="BC409" s="2">
        <f t="shared" si="105"/>
        <v>0</v>
      </c>
      <c r="BD409" s="2">
        <f t="shared" si="106"/>
        <v>0</v>
      </c>
      <c r="BE409" s="2">
        <v>0</v>
      </c>
      <c r="BF409" s="2">
        <f>409</f>
        <v>409</v>
      </c>
      <c r="BH409" s="2">
        <f t="shared" si="107"/>
        <v>0</v>
      </c>
      <c r="BI409" s="2">
        <f t="shared" si="108"/>
        <v>0</v>
      </c>
      <c r="BJ409" s="2">
        <f t="shared" si="109"/>
        <v>0</v>
      </c>
      <c r="BK409" s="2"/>
      <c r="BL409" s="2">
        <v>766</v>
      </c>
    </row>
    <row r="410" spans="1:64" ht="15" customHeight="1">
      <c r="A410" s="15" t="s">
        <v>1135</v>
      </c>
      <c r="B410" s="14" t="s">
        <v>461</v>
      </c>
      <c r="C410" s="58" t="s">
        <v>1266</v>
      </c>
      <c r="D410" s="58"/>
      <c r="E410" s="58"/>
      <c r="F410" s="58"/>
      <c r="G410" s="14" t="s">
        <v>319</v>
      </c>
      <c r="H410" s="2">
        <v>3</v>
      </c>
      <c r="I410" s="2">
        <v>0</v>
      </c>
      <c r="J410" s="2">
        <f t="shared" si="88"/>
        <v>0</v>
      </c>
      <c r="K410" s="2">
        <f t="shared" si="89"/>
        <v>0</v>
      </c>
      <c r="L410" s="2">
        <f t="shared" si="90"/>
        <v>0</v>
      </c>
      <c r="M410" s="7" t="s">
        <v>831</v>
      </c>
      <c r="Z410" s="2">
        <f t="shared" si="91"/>
        <v>0</v>
      </c>
      <c r="AB410" s="2">
        <f t="shared" si="92"/>
        <v>0</v>
      </c>
      <c r="AC410" s="2">
        <f t="shared" si="93"/>
        <v>0</v>
      </c>
      <c r="AD410" s="2">
        <f t="shared" si="94"/>
        <v>0</v>
      </c>
      <c r="AE410" s="2">
        <f t="shared" si="95"/>
        <v>0</v>
      </c>
      <c r="AF410" s="2">
        <f t="shared" si="96"/>
        <v>0</v>
      </c>
      <c r="AG410" s="2">
        <f t="shared" si="97"/>
        <v>0</v>
      </c>
      <c r="AH410" s="2">
        <f t="shared" si="98"/>
        <v>0</v>
      </c>
      <c r="AI410" s="19" t="s">
        <v>255</v>
      </c>
      <c r="AJ410" s="2">
        <f t="shared" si="99"/>
        <v>0</v>
      </c>
      <c r="AK410" s="2">
        <f t="shared" si="100"/>
        <v>0</v>
      </c>
      <c r="AL410" s="2">
        <f t="shared" si="101"/>
        <v>0</v>
      </c>
      <c r="AN410" s="2">
        <v>15</v>
      </c>
      <c r="AO410" s="2">
        <f>I410*1</f>
        <v>0</v>
      </c>
      <c r="AP410" s="2">
        <f>I410*(1-1)</f>
        <v>0</v>
      </c>
      <c r="AQ410" s="43" t="s">
        <v>1215</v>
      </c>
      <c r="AV410" s="2">
        <f t="shared" si="102"/>
        <v>0</v>
      </c>
      <c r="AW410" s="2">
        <f t="shared" si="103"/>
        <v>0</v>
      </c>
      <c r="AX410" s="2">
        <f t="shared" si="104"/>
        <v>0</v>
      </c>
      <c r="AY410" s="43" t="s">
        <v>140</v>
      </c>
      <c r="AZ410" s="43" t="s">
        <v>205</v>
      </c>
      <c r="BA410" s="19" t="s">
        <v>1155</v>
      </c>
      <c r="BC410" s="2">
        <f t="shared" si="105"/>
        <v>0</v>
      </c>
      <c r="BD410" s="2">
        <f t="shared" si="106"/>
        <v>0</v>
      </c>
      <c r="BE410" s="2">
        <v>0</v>
      </c>
      <c r="BF410" s="2">
        <f>410</f>
        <v>410</v>
      </c>
      <c r="BH410" s="2">
        <f t="shared" si="107"/>
        <v>0</v>
      </c>
      <c r="BI410" s="2">
        <f t="shared" si="108"/>
        <v>0</v>
      </c>
      <c r="BJ410" s="2">
        <f t="shared" si="109"/>
        <v>0</v>
      </c>
      <c r="BK410" s="2"/>
      <c r="BL410" s="2">
        <v>766</v>
      </c>
    </row>
    <row r="411" spans="1:64" ht="15" customHeight="1">
      <c r="A411" s="15" t="s">
        <v>282</v>
      </c>
      <c r="B411" s="14" t="s">
        <v>110</v>
      </c>
      <c r="C411" s="58" t="s">
        <v>742</v>
      </c>
      <c r="D411" s="58"/>
      <c r="E411" s="58"/>
      <c r="F411" s="58"/>
      <c r="G411" s="14" t="s">
        <v>319</v>
      </c>
      <c r="H411" s="2">
        <v>2</v>
      </c>
      <c r="I411" s="2">
        <v>0</v>
      </c>
      <c r="J411" s="2">
        <f t="shared" si="88"/>
        <v>0</v>
      </c>
      <c r="K411" s="2">
        <f t="shared" si="89"/>
        <v>0</v>
      </c>
      <c r="L411" s="2">
        <f t="shared" si="90"/>
        <v>0</v>
      </c>
      <c r="M411" s="7" t="s">
        <v>831</v>
      </c>
      <c r="Z411" s="2">
        <f t="shared" si="91"/>
        <v>0</v>
      </c>
      <c r="AB411" s="2">
        <f t="shared" si="92"/>
        <v>0</v>
      </c>
      <c r="AC411" s="2">
        <f t="shared" si="93"/>
        <v>0</v>
      </c>
      <c r="AD411" s="2">
        <f t="shared" si="94"/>
        <v>0</v>
      </c>
      <c r="AE411" s="2">
        <f t="shared" si="95"/>
        <v>0</v>
      </c>
      <c r="AF411" s="2">
        <f t="shared" si="96"/>
        <v>0</v>
      </c>
      <c r="AG411" s="2">
        <f t="shared" si="97"/>
        <v>0</v>
      </c>
      <c r="AH411" s="2">
        <f t="shared" si="98"/>
        <v>0</v>
      </c>
      <c r="AI411" s="19" t="s">
        <v>255</v>
      </c>
      <c r="AJ411" s="2">
        <f t="shared" si="99"/>
        <v>0</v>
      </c>
      <c r="AK411" s="2">
        <f t="shared" si="100"/>
        <v>0</v>
      </c>
      <c r="AL411" s="2">
        <f t="shared" si="101"/>
        <v>0</v>
      </c>
      <c r="AN411" s="2">
        <v>15</v>
      </c>
      <c r="AO411" s="2">
        <f>I411*1</f>
        <v>0</v>
      </c>
      <c r="AP411" s="2">
        <f>I411*(1-1)</f>
        <v>0</v>
      </c>
      <c r="AQ411" s="43" t="s">
        <v>1215</v>
      </c>
      <c r="AV411" s="2">
        <f t="shared" si="102"/>
        <v>0</v>
      </c>
      <c r="AW411" s="2">
        <f t="shared" si="103"/>
        <v>0</v>
      </c>
      <c r="AX411" s="2">
        <f t="shared" si="104"/>
        <v>0</v>
      </c>
      <c r="AY411" s="43" t="s">
        <v>140</v>
      </c>
      <c r="AZ411" s="43" t="s">
        <v>205</v>
      </c>
      <c r="BA411" s="19" t="s">
        <v>1155</v>
      </c>
      <c r="BC411" s="2">
        <f t="shared" si="105"/>
        <v>0</v>
      </c>
      <c r="BD411" s="2">
        <f t="shared" si="106"/>
        <v>0</v>
      </c>
      <c r="BE411" s="2">
        <v>0</v>
      </c>
      <c r="BF411" s="2">
        <f>411</f>
        <v>411</v>
      </c>
      <c r="BH411" s="2">
        <f t="shared" si="107"/>
        <v>0</v>
      </c>
      <c r="BI411" s="2">
        <f t="shared" si="108"/>
        <v>0</v>
      </c>
      <c r="BJ411" s="2">
        <f t="shared" si="109"/>
        <v>0</v>
      </c>
      <c r="BK411" s="2"/>
      <c r="BL411" s="2">
        <v>766</v>
      </c>
    </row>
    <row r="412" spans="1:64" ht="15" customHeight="1">
      <c r="A412" s="15" t="s">
        <v>1172</v>
      </c>
      <c r="B412" s="14" t="s">
        <v>1052</v>
      </c>
      <c r="C412" s="58" t="s">
        <v>743</v>
      </c>
      <c r="D412" s="58"/>
      <c r="E412" s="58"/>
      <c r="F412" s="58"/>
      <c r="G412" s="14" t="s">
        <v>319</v>
      </c>
      <c r="H412" s="2">
        <v>9</v>
      </c>
      <c r="I412" s="2">
        <v>0</v>
      </c>
      <c r="J412" s="2">
        <f t="shared" si="88"/>
        <v>0</v>
      </c>
      <c r="K412" s="2">
        <f t="shared" si="89"/>
        <v>0</v>
      </c>
      <c r="L412" s="2">
        <f t="shared" si="90"/>
        <v>0</v>
      </c>
      <c r="M412" s="7" t="s">
        <v>831</v>
      </c>
      <c r="Z412" s="2">
        <f t="shared" si="91"/>
        <v>0</v>
      </c>
      <c r="AB412" s="2">
        <f t="shared" si="92"/>
        <v>0</v>
      </c>
      <c r="AC412" s="2">
        <f t="shared" si="93"/>
        <v>0</v>
      </c>
      <c r="AD412" s="2">
        <f t="shared" si="94"/>
        <v>0</v>
      </c>
      <c r="AE412" s="2">
        <f t="shared" si="95"/>
        <v>0</v>
      </c>
      <c r="AF412" s="2">
        <f t="shared" si="96"/>
        <v>0</v>
      </c>
      <c r="AG412" s="2">
        <f t="shared" si="97"/>
        <v>0</v>
      </c>
      <c r="AH412" s="2">
        <f t="shared" si="98"/>
        <v>0</v>
      </c>
      <c r="AI412" s="19" t="s">
        <v>255</v>
      </c>
      <c r="AJ412" s="2">
        <f t="shared" si="99"/>
        <v>0</v>
      </c>
      <c r="AK412" s="2">
        <f t="shared" si="100"/>
        <v>0</v>
      </c>
      <c r="AL412" s="2">
        <f t="shared" si="101"/>
        <v>0</v>
      </c>
      <c r="AN412" s="2">
        <v>15</v>
      </c>
      <c r="AO412" s="2">
        <f>I412*0.150991445326376</f>
        <v>0</v>
      </c>
      <c r="AP412" s="2">
        <f>I412*(1-0.150991445326376)</f>
        <v>0</v>
      </c>
      <c r="AQ412" s="43" t="s">
        <v>1215</v>
      </c>
      <c r="AV412" s="2">
        <f t="shared" si="102"/>
        <v>0</v>
      </c>
      <c r="AW412" s="2">
        <f t="shared" si="103"/>
        <v>0</v>
      </c>
      <c r="AX412" s="2">
        <f t="shared" si="104"/>
        <v>0</v>
      </c>
      <c r="AY412" s="43" t="s">
        <v>140</v>
      </c>
      <c r="AZ412" s="43" t="s">
        <v>205</v>
      </c>
      <c r="BA412" s="19" t="s">
        <v>1155</v>
      </c>
      <c r="BC412" s="2">
        <f t="shared" si="105"/>
        <v>0</v>
      </c>
      <c r="BD412" s="2">
        <f t="shared" si="106"/>
        <v>0</v>
      </c>
      <c r="BE412" s="2">
        <v>0</v>
      </c>
      <c r="BF412" s="2">
        <f>412</f>
        <v>412</v>
      </c>
      <c r="BH412" s="2">
        <f t="shared" si="107"/>
        <v>0</v>
      </c>
      <c r="BI412" s="2">
        <f t="shared" si="108"/>
        <v>0</v>
      </c>
      <c r="BJ412" s="2">
        <f t="shared" si="109"/>
        <v>0</v>
      </c>
      <c r="BK412" s="2"/>
      <c r="BL412" s="2">
        <v>766</v>
      </c>
    </row>
    <row r="413" spans="1:64" ht="15" customHeight="1">
      <c r="A413" s="15" t="s">
        <v>522</v>
      </c>
      <c r="B413" s="14" t="s">
        <v>486</v>
      </c>
      <c r="C413" s="58" t="s">
        <v>681</v>
      </c>
      <c r="D413" s="58"/>
      <c r="E413" s="58"/>
      <c r="F413" s="58"/>
      <c r="G413" s="14" t="s">
        <v>319</v>
      </c>
      <c r="H413" s="2">
        <v>3</v>
      </c>
      <c r="I413" s="2">
        <v>0</v>
      </c>
      <c r="J413" s="2">
        <f t="shared" si="88"/>
        <v>0</v>
      </c>
      <c r="K413" s="2">
        <f t="shared" si="89"/>
        <v>0</v>
      </c>
      <c r="L413" s="2">
        <f t="shared" si="90"/>
        <v>0</v>
      </c>
      <c r="M413" s="7" t="s">
        <v>844</v>
      </c>
      <c r="Z413" s="2">
        <f t="shared" si="91"/>
        <v>0</v>
      </c>
      <c r="AB413" s="2">
        <f t="shared" si="92"/>
        <v>0</v>
      </c>
      <c r="AC413" s="2">
        <f t="shared" si="93"/>
        <v>0</v>
      </c>
      <c r="AD413" s="2">
        <f t="shared" si="94"/>
        <v>0</v>
      </c>
      <c r="AE413" s="2">
        <f t="shared" si="95"/>
        <v>0</v>
      </c>
      <c r="AF413" s="2">
        <f t="shared" si="96"/>
        <v>0</v>
      </c>
      <c r="AG413" s="2">
        <f t="shared" si="97"/>
        <v>0</v>
      </c>
      <c r="AH413" s="2">
        <f t="shared" si="98"/>
        <v>0</v>
      </c>
      <c r="AI413" s="19" t="s">
        <v>255</v>
      </c>
      <c r="AJ413" s="2">
        <f t="shared" si="99"/>
        <v>0</v>
      </c>
      <c r="AK413" s="2">
        <f t="shared" si="100"/>
        <v>0</v>
      </c>
      <c r="AL413" s="2">
        <f t="shared" si="101"/>
        <v>0</v>
      </c>
      <c r="AN413" s="2">
        <v>15</v>
      </c>
      <c r="AO413" s="2">
        <f>I413*1</f>
        <v>0</v>
      </c>
      <c r="AP413" s="2">
        <f>I413*(1-1)</f>
        <v>0</v>
      </c>
      <c r="AQ413" s="43" t="s">
        <v>1215</v>
      </c>
      <c r="AV413" s="2">
        <f t="shared" si="102"/>
        <v>0</v>
      </c>
      <c r="AW413" s="2">
        <f t="shared" si="103"/>
        <v>0</v>
      </c>
      <c r="AX413" s="2">
        <f t="shared" si="104"/>
        <v>0</v>
      </c>
      <c r="AY413" s="43" t="s">
        <v>140</v>
      </c>
      <c r="AZ413" s="43" t="s">
        <v>205</v>
      </c>
      <c r="BA413" s="19" t="s">
        <v>1155</v>
      </c>
      <c r="BC413" s="2">
        <f t="shared" si="105"/>
        <v>0</v>
      </c>
      <c r="BD413" s="2">
        <f t="shared" si="106"/>
        <v>0</v>
      </c>
      <c r="BE413" s="2">
        <v>0</v>
      </c>
      <c r="BF413" s="2">
        <f>413</f>
        <v>413</v>
      </c>
      <c r="BH413" s="2">
        <f t="shared" si="107"/>
        <v>0</v>
      </c>
      <c r="BI413" s="2">
        <f t="shared" si="108"/>
        <v>0</v>
      </c>
      <c r="BJ413" s="2">
        <f t="shared" si="109"/>
        <v>0</v>
      </c>
      <c r="BK413" s="2"/>
      <c r="BL413" s="2">
        <v>766</v>
      </c>
    </row>
    <row r="414" spans="1:64" ht="15" customHeight="1">
      <c r="A414" s="15" t="s">
        <v>12</v>
      </c>
      <c r="B414" s="14" t="s">
        <v>486</v>
      </c>
      <c r="C414" s="58" t="s">
        <v>500</v>
      </c>
      <c r="D414" s="58"/>
      <c r="E414" s="58"/>
      <c r="F414" s="58"/>
      <c r="G414" s="14" t="s">
        <v>319</v>
      </c>
      <c r="H414" s="2">
        <v>3</v>
      </c>
      <c r="I414" s="2">
        <v>0</v>
      </c>
      <c r="J414" s="2">
        <f t="shared" si="88"/>
        <v>0</v>
      </c>
      <c r="K414" s="2">
        <f t="shared" si="89"/>
        <v>0</v>
      </c>
      <c r="L414" s="2">
        <f t="shared" si="90"/>
        <v>0</v>
      </c>
      <c r="M414" s="7" t="s">
        <v>844</v>
      </c>
      <c r="Z414" s="2">
        <f t="shared" si="91"/>
        <v>0</v>
      </c>
      <c r="AB414" s="2">
        <f t="shared" si="92"/>
        <v>0</v>
      </c>
      <c r="AC414" s="2">
        <f t="shared" si="93"/>
        <v>0</v>
      </c>
      <c r="AD414" s="2">
        <f t="shared" si="94"/>
        <v>0</v>
      </c>
      <c r="AE414" s="2">
        <f t="shared" si="95"/>
        <v>0</v>
      </c>
      <c r="AF414" s="2">
        <f t="shared" si="96"/>
        <v>0</v>
      </c>
      <c r="AG414" s="2">
        <f t="shared" si="97"/>
        <v>0</v>
      </c>
      <c r="AH414" s="2">
        <f t="shared" si="98"/>
        <v>0</v>
      </c>
      <c r="AI414" s="19" t="s">
        <v>255</v>
      </c>
      <c r="AJ414" s="2">
        <f t="shared" si="99"/>
        <v>0</v>
      </c>
      <c r="AK414" s="2">
        <f t="shared" si="100"/>
        <v>0</v>
      </c>
      <c r="AL414" s="2">
        <f t="shared" si="101"/>
        <v>0</v>
      </c>
      <c r="AN414" s="2">
        <v>15</v>
      </c>
      <c r="AO414" s="2">
        <f>I414*1</f>
        <v>0</v>
      </c>
      <c r="AP414" s="2">
        <f>I414*(1-1)</f>
        <v>0</v>
      </c>
      <c r="AQ414" s="43" t="s">
        <v>1215</v>
      </c>
      <c r="AV414" s="2">
        <f t="shared" si="102"/>
        <v>0</v>
      </c>
      <c r="AW414" s="2">
        <f t="shared" si="103"/>
        <v>0</v>
      </c>
      <c r="AX414" s="2">
        <f t="shared" si="104"/>
        <v>0</v>
      </c>
      <c r="AY414" s="43" t="s">
        <v>140</v>
      </c>
      <c r="AZ414" s="43" t="s">
        <v>205</v>
      </c>
      <c r="BA414" s="19" t="s">
        <v>1155</v>
      </c>
      <c r="BC414" s="2">
        <f t="shared" si="105"/>
        <v>0</v>
      </c>
      <c r="BD414" s="2">
        <f t="shared" si="106"/>
        <v>0</v>
      </c>
      <c r="BE414" s="2">
        <v>0</v>
      </c>
      <c r="BF414" s="2">
        <f>414</f>
        <v>414</v>
      </c>
      <c r="BH414" s="2">
        <f t="shared" si="107"/>
        <v>0</v>
      </c>
      <c r="BI414" s="2">
        <f t="shared" si="108"/>
        <v>0</v>
      </c>
      <c r="BJ414" s="2">
        <f t="shared" si="109"/>
        <v>0</v>
      </c>
      <c r="BK414" s="2"/>
      <c r="BL414" s="2">
        <v>766</v>
      </c>
    </row>
    <row r="415" spans="1:64" ht="15" customHeight="1">
      <c r="A415" s="15" t="s">
        <v>568</v>
      </c>
      <c r="B415" s="14" t="s">
        <v>486</v>
      </c>
      <c r="C415" s="58" t="s">
        <v>787</v>
      </c>
      <c r="D415" s="58"/>
      <c r="E415" s="58"/>
      <c r="F415" s="58"/>
      <c r="G415" s="14" t="s">
        <v>319</v>
      </c>
      <c r="H415" s="2">
        <v>3</v>
      </c>
      <c r="I415" s="2">
        <v>0</v>
      </c>
      <c r="J415" s="2">
        <f t="shared" si="88"/>
        <v>0</v>
      </c>
      <c r="K415" s="2">
        <f t="shared" si="89"/>
        <v>0</v>
      </c>
      <c r="L415" s="2">
        <f t="shared" si="90"/>
        <v>0</v>
      </c>
      <c r="M415" s="7" t="s">
        <v>844</v>
      </c>
      <c r="Z415" s="2">
        <f t="shared" si="91"/>
        <v>0</v>
      </c>
      <c r="AB415" s="2">
        <f t="shared" si="92"/>
        <v>0</v>
      </c>
      <c r="AC415" s="2">
        <f t="shared" si="93"/>
        <v>0</v>
      </c>
      <c r="AD415" s="2">
        <f t="shared" si="94"/>
        <v>0</v>
      </c>
      <c r="AE415" s="2">
        <f t="shared" si="95"/>
        <v>0</v>
      </c>
      <c r="AF415" s="2">
        <f t="shared" si="96"/>
        <v>0</v>
      </c>
      <c r="AG415" s="2">
        <f t="shared" si="97"/>
        <v>0</v>
      </c>
      <c r="AH415" s="2">
        <f t="shared" si="98"/>
        <v>0</v>
      </c>
      <c r="AI415" s="19" t="s">
        <v>255</v>
      </c>
      <c r="AJ415" s="2">
        <f t="shared" si="99"/>
        <v>0</v>
      </c>
      <c r="AK415" s="2">
        <f t="shared" si="100"/>
        <v>0</v>
      </c>
      <c r="AL415" s="2">
        <f t="shared" si="101"/>
        <v>0</v>
      </c>
      <c r="AN415" s="2">
        <v>15</v>
      </c>
      <c r="AO415" s="2">
        <f>I415*1</f>
        <v>0</v>
      </c>
      <c r="AP415" s="2">
        <f>I415*(1-1)</f>
        <v>0</v>
      </c>
      <c r="AQ415" s="43" t="s">
        <v>1215</v>
      </c>
      <c r="AV415" s="2">
        <f t="shared" si="102"/>
        <v>0</v>
      </c>
      <c r="AW415" s="2">
        <f t="shared" si="103"/>
        <v>0</v>
      </c>
      <c r="AX415" s="2">
        <f t="shared" si="104"/>
        <v>0</v>
      </c>
      <c r="AY415" s="43" t="s">
        <v>140</v>
      </c>
      <c r="AZ415" s="43" t="s">
        <v>205</v>
      </c>
      <c r="BA415" s="19" t="s">
        <v>1155</v>
      </c>
      <c r="BC415" s="2">
        <f t="shared" si="105"/>
        <v>0</v>
      </c>
      <c r="BD415" s="2">
        <f t="shared" si="106"/>
        <v>0</v>
      </c>
      <c r="BE415" s="2">
        <v>0</v>
      </c>
      <c r="BF415" s="2">
        <f>415</f>
        <v>415</v>
      </c>
      <c r="BH415" s="2">
        <f t="shared" si="107"/>
        <v>0</v>
      </c>
      <c r="BI415" s="2">
        <f t="shared" si="108"/>
        <v>0</v>
      </c>
      <c r="BJ415" s="2">
        <f t="shared" si="109"/>
        <v>0</v>
      </c>
      <c r="BK415" s="2"/>
      <c r="BL415" s="2">
        <v>766</v>
      </c>
    </row>
    <row r="416" spans="1:64" ht="15" customHeight="1">
      <c r="A416" s="15" t="s">
        <v>283</v>
      </c>
      <c r="B416" s="14" t="s">
        <v>792</v>
      </c>
      <c r="C416" s="58" t="s">
        <v>1279</v>
      </c>
      <c r="D416" s="58"/>
      <c r="E416" s="58"/>
      <c r="F416" s="58"/>
      <c r="G416" s="14" t="s">
        <v>999</v>
      </c>
      <c r="H416" s="2">
        <v>133.435</v>
      </c>
      <c r="I416" s="2">
        <v>0</v>
      </c>
      <c r="J416" s="2">
        <f t="shared" si="88"/>
        <v>0</v>
      </c>
      <c r="K416" s="2">
        <f t="shared" si="89"/>
        <v>0</v>
      </c>
      <c r="L416" s="2">
        <f t="shared" si="90"/>
        <v>0</v>
      </c>
      <c r="M416" s="7" t="s">
        <v>831</v>
      </c>
      <c r="Z416" s="2">
        <f t="shared" si="91"/>
        <v>0</v>
      </c>
      <c r="AB416" s="2">
        <f t="shared" si="92"/>
        <v>0</v>
      </c>
      <c r="AC416" s="2">
        <f t="shared" si="93"/>
        <v>0</v>
      </c>
      <c r="AD416" s="2">
        <f t="shared" si="94"/>
        <v>0</v>
      </c>
      <c r="AE416" s="2">
        <f t="shared" si="95"/>
        <v>0</v>
      </c>
      <c r="AF416" s="2">
        <f t="shared" si="96"/>
        <v>0</v>
      </c>
      <c r="AG416" s="2">
        <f t="shared" si="97"/>
        <v>0</v>
      </c>
      <c r="AH416" s="2">
        <f t="shared" si="98"/>
        <v>0</v>
      </c>
      <c r="AI416" s="19" t="s">
        <v>255</v>
      </c>
      <c r="AJ416" s="2">
        <f t="shared" si="99"/>
        <v>0</v>
      </c>
      <c r="AK416" s="2">
        <f t="shared" si="100"/>
        <v>0</v>
      </c>
      <c r="AL416" s="2">
        <f t="shared" si="101"/>
        <v>0</v>
      </c>
      <c r="AN416" s="2">
        <v>15</v>
      </c>
      <c r="AO416" s="2">
        <f>I416*0.310922899348089</f>
        <v>0</v>
      </c>
      <c r="AP416" s="2">
        <f>I416*(1-0.310922899348089)</f>
        <v>0</v>
      </c>
      <c r="AQ416" s="43" t="s">
        <v>1215</v>
      </c>
      <c r="AV416" s="2">
        <f t="shared" si="102"/>
        <v>0</v>
      </c>
      <c r="AW416" s="2">
        <f t="shared" si="103"/>
        <v>0</v>
      </c>
      <c r="AX416" s="2">
        <f t="shared" si="104"/>
        <v>0</v>
      </c>
      <c r="AY416" s="43" t="s">
        <v>140</v>
      </c>
      <c r="AZ416" s="43" t="s">
        <v>205</v>
      </c>
      <c r="BA416" s="19" t="s">
        <v>1155</v>
      </c>
      <c r="BC416" s="2">
        <f t="shared" si="105"/>
        <v>0</v>
      </c>
      <c r="BD416" s="2">
        <f t="shared" si="106"/>
        <v>0</v>
      </c>
      <c r="BE416" s="2">
        <v>0</v>
      </c>
      <c r="BF416" s="2">
        <f>416</f>
        <v>416</v>
      </c>
      <c r="BH416" s="2">
        <f t="shared" si="107"/>
        <v>0</v>
      </c>
      <c r="BI416" s="2">
        <f t="shared" si="108"/>
        <v>0</v>
      </c>
      <c r="BJ416" s="2">
        <f t="shared" si="109"/>
        <v>0</v>
      </c>
      <c r="BK416" s="2"/>
      <c r="BL416" s="2">
        <v>766</v>
      </c>
    </row>
    <row r="417" spans="1:64" ht="15" customHeight="1">
      <c r="A417" s="15" t="s">
        <v>669</v>
      </c>
      <c r="B417" s="14" t="s">
        <v>422</v>
      </c>
      <c r="C417" s="58" t="s">
        <v>154</v>
      </c>
      <c r="D417" s="58"/>
      <c r="E417" s="58"/>
      <c r="F417" s="58"/>
      <c r="G417" s="14" t="s">
        <v>584</v>
      </c>
      <c r="H417" s="2">
        <v>2.894</v>
      </c>
      <c r="I417" s="2">
        <v>0</v>
      </c>
      <c r="J417" s="2">
        <f t="shared" si="88"/>
        <v>0</v>
      </c>
      <c r="K417" s="2">
        <f t="shared" si="89"/>
        <v>0</v>
      </c>
      <c r="L417" s="2">
        <f t="shared" si="90"/>
        <v>0</v>
      </c>
      <c r="M417" s="7" t="s">
        <v>831</v>
      </c>
      <c r="Z417" s="2">
        <f t="shared" si="91"/>
        <v>0</v>
      </c>
      <c r="AB417" s="2">
        <f t="shared" si="92"/>
        <v>0</v>
      </c>
      <c r="AC417" s="2">
        <f t="shared" si="93"/>
        <v>0</v>
      </c>
      <c r="AD417" s="2">
        <f t="shared" si="94"/>
        <v>0</v>
      </c>
      <c r="AE417" s="2">
        <f t="shared" si="95"/>
        <v>0</v>
      </c>
      <c r="AF417" s="2">
        <f t="shared" si="96"/>
        <v>0</v>
      </c>
      <c r="AG417" s="2">
        <f t="shared" si="97"/>
        <v>0</v>
      </c>
      <c r="AH417" s="2">
        <f t="shared" si="98"/>
        <v>0</v>
      </c>
      <c r="AI417" s="19" t="s">
        <v>255</v>
      </c>
      <c r="AJ417" s="2">
        <f t="shared" si="99"/>
        <v>0</v>
      </c>
      <c r="AK417" s="2">
        <f t="shared" si="100"/>
        <v>0</v>
      </c>
      <c r="AL417" s="2">
        <f t="shared" si="101"/>
        <v>0</v>
      </c>
      <c r="AN417" s="2">
        <v>15</v>
      </c>
      <c r="AO417" s="2">
        <f>I417*0</f>
        <v>0</v>
      </c>
      <c r="AP417" s="2">
        <f>I417*(1-0)</f>
        <v>0</v>
      </c>
      <c r="AQ417" s="43" t="s">
        <v>655</v>
      </c>
      <c r="AV417" s="2">
        <f t="shared" si="102"/>
        <v>0</v>
      </c>
      <c r="AW417" s="2">
        <f t="shared" si="103"/>
        <v>0</v>
      </c>
      <c r="AX417" s="2">
        <f t="shared" si="104"/>
        <v>0</v>
      </c>
      <c r="AY417" s="43" t="s">
        <v>140</v>
      </c>
      <c r="AZ417" s="43" t="s">
        <v>205</v>
      </c>
      <c r="BA417" s="19" t="s">
        <v>1155</v>
      </c>
      <c r="BC417" s="2">
        <f t="shared" si="105"/>
        <v>0</v>
      </c>
      <c r="BD417" s="2">
        <f t="shared" si="106"/>
        <v>0</v>
      </c>
      <c r="BE417" s="2">
        <v>0</v>
      </c>
      <c r="BF417" s="2">
        <f>417</f>
        <v>417</v>
      </c>
      <c r="BH417" s="2">
        <f t="shared" si="107"/>
        <v>0</v>
      </c>
      <c r="BI417" s="2">
        <f t="shared" si="108"/>
        <v>0</v>
      </c>
      <c r="BJ417" s="2">
        <f t="shared" si="109"/>
        <v>0</v>
      </c>
      <c r="BK417" s="2"/>
      <c r="BL417" s="2">
        <v>766</v>
      </c>
    </row>
    <row r="418" spans="1:47" ht="15" customHeight="1">
      <c r="A418" s="48" t="s">
        <v>844</v>
      </c>
      <c r="B418" s="17" t="s">
        <v>570</v>
      </c>
      <c r="C418" s="74" t="s">
        <v>400</v>
      </c>
      <c r="D418" s="74"/>
      <c r="E418" s="74"/>
      <c r="F418" s="74"/>
      <c r="G418" s="40" t="s">
        <v>1110</v>
      </c>
      <c r="H418" s="40" t="s">
        <v>1110</v>
      </c>
      <c r="I418" s="40" t="s">
        <v>1110</v>
      </c>
      <c r="J418" s="23">
        <f>SUM(J419:J423)</f>
        <v>0</v>
      </c>
      <c r="K418" s="23">
        <f>SUM(K419:K423)</f>
        <v>0</v>
      </c>
      <c r="L418" s="23">
        <f>SUM(L419:L423)</f>
        <v>0</v>
      </c>
      <c r="M418" s="37" t="s">
        <v>844</v>
      </c>
      <c r="AI418" s="19" t="s">
        <v>255</v>
      </c>
      <c r="AS418" s="23">
        <f>SUM(AJ419:AJ423)</f>
        <v>0</v>
      </c>
      <c r="AT418" s="23">
        <f>SUM(AK419:AK423)</f>
        <v>0</v>
      </c>
      <c r="AU418" s="23">
        <f>SUM(AL419:AL423)</f>
        <v>0</v>
      </c>
    </row>
    <row r="419" spans="1:64" ht="15" customHeight="1">
      <c r="A419" s="15" t="s">
        <v>1168</v>
      </c>
      <c r="B419" s="14" t="s">
        <v>507</v>
      </c>
      <c r="C419" s="58" t="s">
        <v>16</v>
      </c>
      <c r="D419" s="58"/>
      <c r="E419" s="58"/>
      <c r="F419" s="58"/>
      <c r="G419" s="14" t="s">
        <v>1130</v>
      </c>
      <c r="H419" s="2">
        <v>616.8</v>
      </c>
      <c r="I419" s="2">
        <v>0</v>
      </c>
      <c r="J419" s="2">
        <f>H419*AO419</f>
        <v>0</v>
      </c>
      <c r="K419" s="2">
        <f>H419*AP419</f>
        <v>0</v>
      </c>
      <c r="L419" s="2">
        <f>H419*I419</f>
        <v>0</v>
      </c>
      <c r="M419" s="7" t="s">
        <v>831</v>
      </c>
      <c r="Z419" s="2">
        <f>IF(AQ419="5",BJ419,0)</f>
        <v>0</v>
      </c>
      <c r="AB419" s="2">
        <f>IF(AQ419="1",BH419,0)</f>
        <v>0</v>
      </c>
      <c r="AC419" s="2">
        <f>IF(AQ419="1",BI419,0)</f>
        <v>0</v>
      </c>
      <c r="AD419" s="2">
        <f>IF(AQ419="7",BH419,0)</f>
        <v>0</v>
      </c>
      <c r="AE419" s="2">
        <f>IF(AQ419="7",BI419,0)</f>
        <v>0</v>
      </c>
      <c r="AF419" s="2">
        <f>IF(AQ419="2",BH419,0)</f>
        <v>0</v>
      </c>
      <c r="AG419" s="2">
        <f>IF(AQ419="2",BI419,0)</f>
        <v>0</v>
      </c>
      <c r="AH419" s="2">
        <f>IF(AQ419="0",BJ419,0)</f>
        <v>0</v>
      </c>
      <c r="AI419" s="19" t="s">
        <v>255</v>
      </c>
      <c r="AJ419" s="2">
        <f>IF(AN419=0,L419,0)</f>
        <v>0</v>
      </c>
      <c r="AK419" s="2">
        <f>IF(AN419=15,L419,0)</f>
        <v>0</v>
      </c>
      <c r="AL419" s="2">
        <f>IF(AN419=21,L419,0)</f>
        <v>0</v>
      </c>
      <c r="AN419" s="2">
        <v>15</v>
      </c>
      <c r="AO419" s="2">
        <f>I419*0.649738326686747</f>
        <v>0</v>
      </c>
      <c r="AP419" s="2">
        <f>I419*(1-0.649738326686747)</f>
        <v>0</v>
      </c>
      <c r="AQ419" s="43" t="s">
        <v>1215</v>
      </c>
      <c r="AV419" s="2">
        <f>AW419+AX419</f>
        <v>0</v>
      </c>
      <c r="AW419" s="2">
        <f>H419*AO419</f>
        <v>0</v>
      </c>
      <c r="AX419" s="2">
        <f>H419*AP419</f>
        <v>0</v>
      </c>
      <c r="AY419" s="43" t="s">
        <v>377</v>
      </c>
      <c r="AZ419" s="43" t="s">
        <v>205</v>
      </c>
      <c r="BA419" s="19" t="s">
        <v>1155</v>
      </c>
      <c r="BC419" s="2">
        <f>AW419+AX419</f>
        <v>0</v>
      </c>
      <c r="BD419" s="2">
        <f>I419/(100-BE419)*100</f>
        <v>0</v>
      </c>
      <c r="BE419" s="2">
        <v>0</v>
      </c>
      <c r="BF419" s="2">
        <f>419</f>
        <v>419</v>
      </c>
      <c r="BH419" s="2">
        <f>H419*AO419</f>
        <v>0</v>
      </c>
      <c r="BI419" s="2">
        <f>H419*AP419</f>
        <v>0</v>
      </c>
      <c r="BJ419" s="2">
        <f>H419*I419</f>
        <v>0</v>
      </c>
      <c r="BK419" s="2"/>
      <c r="BL419" s="2">
        <v>767</v>
      </c>
    </row>
    <row r="420" spans="1:13" ht="13.5" customHeight="1">
      <c r="A420" s="51"/>
      <c r="B420" s="32" t="s">
        <v>639</v>
      </c>
      <c r="C420" s="75" t="s">
        <v>660</v>
      </c>
      <c r="D420" s="76"/>
      <c r="E420" s="76"/>
      <c r="F420" s="76"/>
      <c r="G420" s="76"/>
      <c r="H420" s="76"/>
      <c r="I420" s="76"/>
      <c r="J420" s="76"/>
      <c r="K420" s="76"/>
      <c r="L420" s="76"/>
      <c r="M420" s="77"/>
    </row>
    <row r="421" spans="1:64" ht="15" customHeight="1">
      <c r="A421" s="15" t="s">
        <v>962</v>
      </c>
      <c r="B421" s="14" t="s">
        <v>1226</v>
      </c>
      <c r="C421" s="58" t="s">
        <v>268</v>
      </c>
      <c r="D421" s="58"/>
      <c r="E421" s="58"/>
      <c r="F421" s="58"/>
      <c r="G421" s="14" t="s">
        <v>999</v>
      </c>
      <c r="H421" s="2">
        <v>16.26</v>
      </c>
      <c r="I421" s="2">
        <v>0</v>
      </c>
      <c r="J421" s="2">
        <f>H421*AO421</f>
        <v>0</v>
      </c>
      <c r="K421" s="2">
        <f>H421*AP421</f>
        <v>0</v>
      </c>
      <c r="L421" s="2">
        <f>H421*I421</f>
        <v>0</v>
      </c>
      <c r="M421" s="7" t="s">
        <v>831</v>
      </c>
      <c r="Z421" s="2">
        <f>IF(AQ421="5",BJ421,0)</f>
        <v>0</v>
      </c>
      <c r="AB421" s="2">
        <f>IF(AQ421="1",BH421,0)</f>
        <v>0</v>
      </c>
      <c r="AC421" s="2">
        <f>IF(AQ421="1",BI421,0)</f>
        <v>0</v>
      </c>
      <c r="AD421" s="2">
        <f>IF(AQ421="7",BH421,0)</f>
        <v>0</v>
      </c>
      <c r="AE421" s="2">
        <f>IF(AQ421="7",BI421,0)</f>
        <v>0</v>
      </c>
      <c r="AF421" s="2">
        <f>IF(AQ421="2",BH421,0)</f>
        <v>0</v>
      </c>
      <c r="AG421" s="2">
        <f>IF(AQ421="2",BI421,0)</f>
        <v>0</v>
      </c>
      <c r="AH421" s="2">
        <f>IF(AQ421="0",BJ421,0)</f>
        <v>0</v>
      </c>
      <c r="AI421" s="19" t="s">
        <v>255</v>
      </c>
      <c r="AJ421" s="2">
        <f>IF(AN421=0,L421,0)</f>
        <v>0</v>
      </c>
      <c r="AK421" s="2">
        <f>IF(AN421=15,L421,0)</f>
        <v>0</v>
      </c>
      <c r="AL421" s="2">
        <f>IF(AN421=21,L421,0)</f>
        <v>0</v>
      </c>
      <c r="AN421" s="2">
        <v>15</v>
      </c>
      <c r="AO421" s="2">
        <f>I421*0.736369338572178</f>
        <v>0</v>
      </c>
      <c r="AP421" s="2">
        <f>I421*(1-0.736369338572178)</f>
        <v>0</v>
      </c>
      <c r="AQ421" s="43" t="s">
        <v>1215</v>
      </c>
      <c r="AV421" s="2">
        <f>AW421+AX421</f>
        <v>0</v>
      </c>
      <c r="AW421" s="2">
        <f>H421*AO421</f>
        <v>0</v>
      </c>
      <c r="AX421" s="2">
        <f>H421*AP421</f>
        <v>0</v>
      </c>
      <c r="AY421" s="43" t="s">
        <v>377</v>
      </c>
      <c r="AZ421" s="43" t="s">
        <v>205</v>
      </c>
      <c r="BA421" s="19" t="s">
        <v>1155</v>
      </c>
      <c r="BC421" s="2">
        <f>AW421+AX421</f>
        <v>0</v>
      </c>
      <c r="BD421" s="2">
        <f>I421/(100-BE421)*100</f>
        <v>0</v>
      </c>
      <c r="BE421" s="2">
        <v>0</v>
      </c>
      <c r="BF421" s="2">
        <f>421</f>
        <v>421</v>
      </c>
      <c r="BH421" s="2">
        <f>H421*AO421</f>
        <v>0</v>
      </c>
      <c r="BI421" s="2">
        <f>H421*AP421</f>
        <v>0</v>
      </c>
      <c r="BJ421" s="2">
        <f>H421*I421</f>
        <v>0</v>
      </c>
      <c r="BK421" s="2"/>
      <c r="BL421" s="2">
        <v>767</v>
      </c>
    </row>
    <row r="422" spans="1:64" ht="15" customHeight="1">
      <c r="A422" s="15" t="s">
        <v>950</v>
      </c>
      <c r="B422" s="14" t="s">
        <v>215</v>
      </c>
      <c r="C422" s="58" t="s">
        <v>70</v>
      </c>
      <c r="D422" s="58"/>
      <c r="E422" s="58"/>
      <c r="F422" s="58"/>
      <c r="G422" s="14" t="s">
        <v>999</v>
      </c>
      <c r="H422" s="2">
        <v>22.5</v>
      </c>
      <c r="I422" s="2">
        <v>0</v>
      </c>
      <c r="J422" s="2">
        <f>H422*AO422</f>
        <v>0</v>
      </c>
      <c r="K422" s="2">
        <f>H422*AP422</f>
        <v>0</v>
      </c>
      <c r="L422" s="2">
        <f>H422*I422</f>
        <v>0</v>
      </c>
      <c r="M422" s="7" t="s">
        <v>831</v>
      </c>
      <c r="Z422" s="2">
        <f>IF(AQ422="5",BJ422,0)</f>
        <v>0</v>
      </c>
      <c r="AB422" s="2">
        <f>IF(AQ422="1",BH422,0)</f>
        <v>0</v>
      </c>
      <c r="AC422" s="2">
        <f>IF(AQ422="1",BI422,0)</f>
        <v>0</v>
      </c>
      <c r="AD422" s="2">
        <f>IF(AQ422="7",BH422,0)</f>
        <v>0</v>
      </c>
      <c r="AE422" s="2">
        <f>IF(AQ422="7",BI422,0)</f>
        <v>0</v>
      </c>
      <c r="AF422" s="2">
        <f>IF(AQ422="2",BH422,0)</f>
        <v>0</v>
      </c>
      <c r="AG422" s="2">
        <f>IF(AQ422="2",BI422,0)</f>
        <v>0</v>
      </c>
      <c r="AH422" s="2">
        <f>IF(AQ422="0",BJ422,0)</f>
        <v>0</v>
      </c>
      <c r="AI422" s="19" t="s">
        <v>255</v>
      </c>
      <c r="AJ422" s="2">
        <f>IF(AN422=0,L422,0)</f>
        <v>0</v>
      </c>
      <c r="AK422" s="2">
        <f>IF(AN422=15,L422,0)</f>
        <v>0</v>
      </c>
      <c r="AL422" s="2">
        <f>IF(AN422=21,L422,0)</f>
        <v>0</v>
      </c>
      <c r="AN422" s="2">
        <v>15</v>
      </c>
      <c r="AO422" s="2">
        <f>I422*0.783959552445773</f>
        <v>0</v>
      </c>
      <c r="AP422" s="2">
        <f>I422*(1-0.783959552445773)</f>
        <v>0</v>
      </c>
      <c r="AQ422" s="43" t="s">
        <v>1215</v>
      </c>
      <c r="AV422" s="2">
        <f>AW422+AX422</f>
        <v>0</v>
      </c>
      <c r="AW422" s="2">
        <f>H422*AO422</f>
        <v>0</v>
      </c>
      <c r="AX422" s="2">
        <f>H422*AP422</f>
        <v>0</v>
      </c>
      <c r="AY422" s="43" t="s">
        <v>377</v>
      </c>
      <c r="AZ422" s="43" t="s">
        <v>205</v>
      </c>
      <c r="BA422" s="19" t="s">
        <v>1155</v>
      </c>
      <c r="BC422" s="2">
        <f>AW422+AX422</f>
        <v>0</v>
      </c>
      <c r="BD422" s="2">
        <f>I422/(100-BE422)*100</f>
        <v>0</v>
      </c>
      <c r="BE422" s="2">
        <v>0</v>
      </c>
      <c r="BF422" s="2">
        <f>422</f>
        <v>422</v>
      </c>
      <c r="BH422" s="2">
        <f>H422*AO422</f>
        <v>0</v>
      </c>
      <c r="BI422" s="2">
        <f>H422*AP422</f>
        <v>0</v>
      </c>
      <c r="BJ422" s="2">
        <f>H422*I422</f>
        <v>0</v>
      </c>
      <c r="BK422" s="2"/>
      <c r="BL422" s="2">
        <v>767</v>
      </c>
    </row>
    <row r="423" spans="1:64" ht="15" customHeight="1">
      <c r="A423" s="15" t="s">
        <v>194</v>
      </c>
      <c r="B423" s="14" t="s">
        <v>351</v>
      </c>
      <c r="C423" s="58" t="s">
        <v>569</v>
      </c>
      <c r="D423" s="58"/>
      <c r="E423" s="58"/>
      <c r="F423" s="58"/>
      <c r="G423" s="14" t="s">
        <v>584</v>
      </c>
      <c r="H423" s="2">
        <v>1.463</v>
      </c>
      <c r="I423" s="2">
        <v>0</v>
      </c>
      <c r="J423" s="2">
        <f>H423*AO423</f>
        <v>0</v>
      </c>
      <c r="K423" s="2">
        <f>H423*AP423</f>
        <v>0</v>
      </c>
      <c r="L423" s="2">
        <f>H423*I423</f>
        <v>0</v>
      </c>
      <c r="M423" s="7" t="s">
        <v>831</v>
      </c>
      <c r="Z423" s="2">
        <f>IF(AQ423="5",BJ423,0)</f>
        <v>0</v>
      </c>
      <c r="AB423" s="2">
        <f>IF(AQ423="1",BH423,0)</f>
        <v>0</v>
      </c>
      <c r="AC423" s="2">
        <f>IF(AQ423="1",BI423,0)</f>
        <v>0</v>
      </c>
      <c r="AD423" s="2">
        <f>IF(AQ423="7",BH423,0)</f>
        <v>0</v>
      </c>
      <c r="AE423" s="2">
        <f>IF(AQ423="7",BI423,0)</f>
        <v>0</v>
      </c>
      <c r="AF423" s="2">
        <f>IF(AQ423="2",BH423,0)</f>
        <v>0</v>
      </c>
      <c r="AG423" s="2">
        <f>IF(AQ423="2",BI423,0)</f>
        <v>0</v>
      </c>
      <c r="AH423" s="2">
        <f>IF(AQ423="0",BJ423,0)</f>
        <v>0</v>
      </c>
      <c r="AI423" s="19" t="s">
        <v>255</v>
      </c>
      <c r="AJ423" s="2">
        <f>IF(AN423=0,L423,0)</f>
        <v>0</v>
      </c>
      <c r="AK423" s="2">
        <f>IF(AN423=15,L423,0)</f>
        <v>0</v>
      </c>
      <c r="AL423" s="2">
        <f>IF(AN423=21,L423,0)</f>
        <v>0</v>
      </c>
      <c r="AN423" s="2">
        <v>15</v>
      </c>
      <c r="AO423" s="2">
        <f>I423*0</f>
        <v>0</v>
      </c>
      <c r="AP423" s="2">
        <f>I423*(1-0)</f>
        <v>0</v>
      </c>
      <c r="AQ423" s="43" t="s">
        <v>655</v>
      </c>
      <c r="AV423" s="2">
        <f>AW423+AX423</f>
        <v>0</v>
      </c>
      <c r="AW423" s="2">
        <f>H423*AO423</f>
        <v>0</v>
      </c>
      <c r="AX423" s="2">
        <f>H423*AP423</f>
        <v>0</v>
      </c>
      <c r="AY423" s="43" t="s">
        <v>377</v>
      </c>
      <c r="AZ423" s="43" t="s">
        <v>205</v>
      </c>
      <c r="BA423" s="19" t="s">
        <v>1155</v>
      </c>
      <c r="BC423" s="2">
        <f>AW423+AX423</f>
        <v>0</v>
      </c>
      <c r="BD423" s="2">
        <f>I423/(100-BE423)*100</f>
        <v>0</v>
      </c>
      <c r="BE423" s="2">
        <v>0</v>
      </c>
      <c r="BF423" s="2">
        <f>423</f>
        <v>423</v>
      </c>
      <c r="BH423" s="2">
        <f>H423*AO423</f>
        <v>0</v>
      </c>
      <c r="BI423" s="2">
        <f>H423*AP423</f>
        <v>0</v>
      </c>
      <c r="BJ423" s="2">
        <f>H423*I423</f>
        <v>0</v>
      </c>
      <c r="BK423" s="2"/>
      <c r="BL423" s="2">
        <v>767</v>
      </c>
    </row>
    <row r="424" spans="1:47" ht="15" customHeight="1">
      <c r="A424" s="48" t="s">
        <v>844</v>
      </c>
      <c r="B424" s="17" t="s">
        <v>1324</v>
      </c>
      <c r="C424" s="74" t="s">
        <v>1060</v>
      </c>
      <c r="D424" s="74"/>
      <c r="E424" s="74"/>
      <c r="F424" s="74"/>
      <c r="G424" s="40" t="s">
        <v>1110</v>
      </c>
      <c r="H424" s="40" t="s">
        <v>1110</v>
      </c>
      <c r="I424" s="40" t="s">
        <v>1110</v>
      </c>
      <c r="J424" s="23">
        <f>SUM(J425:J434)</f>
        <v>0</v>
      </c>
      <c r="K424" s="23">
        <f>SUM(K425:K434)</f>
        <v>0</v>
      </c>
      <c r="L424" s="23">
        <f>SUM(L425:L434)</f>
        <v>0</v>
      </c>
      <c r="M424" s="37" t="s">
        <v>844</v>
      </c>
      <c r="AI424" s="19" t="s">
        <v>255</v>
      </c>
      <c r="AS424" s="23">
        <f>SUM(AJ425:AJ434)</f>
        <v>0</v>
      </c>
      <c r="AT424" s="23">
        <f>SUM(AK425:AK434)</f>
        <v>0</v>
      </c>
      <c r="AU424" s="23">
        <f>SUM(AL425:AL434)</f>
        <v>0</v>
      </c>
    </row>
    <row r="425" spans="1:64" ht="15" customHeight="1">
      <c r="A425" s="15" t="s">
        <v>543</v>
      </c>
      <c r="B425" s="14" t="s">
        <v>886</v>
      </c>
      <c r="C425" s="58" t="s">
        <v>37</v>
      </c>
      <c r="D425" s="58"/>
      <c r="E425" s="58"/>
      <c r="F425" s="58"/>
      <c r="G425" s="14" t="s">
        <v>1189</v>
      </c>
      <c r="H425" s="2">
        <v>54.39</v>
      </c>
      <c r="I425" s="2">
        <v>0</v>
      </c>
      <c r="J425" s="2">
        <f>H425*AO425</f>
        <v>0</v>
      </c>
      <c r="K425" s="2">
        <f>H425*AP425</f>
        <v>0</v>
      </c>
      <c r="L425" s="2">
        <f>H425*I425</f>
        <v>0</v>
      </c>
      <c r="M425" s="7" t="s">
        <v>831</v>
      </c>
      <c r="Z425" s="2">
        <f>IF(AQ425="5",BJ425,0)</f>
        <v>0</v>
      </c>
      <c r="AB425" s="2">
        <f>IF(AQ425="1",BH425,0)</f>
        <v>0</v>
      </c>
      <c r="AC425" s="2">
        <f>IF(AQ425="1",BI425,0)</f>
        <v>0</v>
      </c>
      <c r="AD425" s="2">
        <f>IF(AQ425="7",BH425,0)</f>
        <v>0</v>
      </c>
      <c r="AE425" s="2">
        <f>IF(AQ425="7",BI425,0)</f>
        <v>0</v>
      </c>
      <c r="AF425" s="2">
        <f>IF(AQ425="2",BH425,0)</f>
        <v>0</v>
      </c>
      <c r="AG425" s="2">
        <f>IF(AQ425="2",BI425,0)</f>
        <v>0</v>
      </c>
      <c r="AH425" s="2">
        <f>IF(AQ425="0",BJ425,0)</f>
        <v>0</v>
      </c>
      <c r="AI425" s="19" t="s">
        <v>255</v>
      </c>
      <c r="AJ425" s="2">
        <f>IF(AN425=0,L425,0)</f>
        <v>0</v>
      </c>
      <c r="AK425" s="2">
        <f>IF(AN425=15,L425,0)</f>
        <v>0</v>
      </c>
      <c r="AL425" s="2">
        <f>IF(AN425=21,L425,0)</f>
        <v>0</v>
      </c>
      <c r="AN425" s="2">
        <v>15</v>
      </c>
      <c r="AO425" s="2">
        <f>I425*0.479624907703667</f>
        <v>0</v>
      </c>
      <c r="AP425" s="2">
        <f>I425*(1-0.479624907703667)</f>
        <v>0</v>
      </c>
      <c r="AQ425" s="43" t="s">
        <v>1215</v>
      </c>
      <c r="AV425" s="2">
        <f>AW425+AX425</f>
        <v>0</v>
      </c>
      <c r="AW425" s="2">
        <f>H425*AO425</f>
        <v>0</v>
      </c>
      <c r="AX425" s="2">
        <f>H425*AP425</f>
        <v>0</v>
      </c>
      <c r="AY425" s="43" t="s">
        <v>1240</v>
      </c>
      <c r="AZ425" s="43" t="s">
        <v>668</v>
      </c>
      <c r="BA425" s="19" t="s">
        <v>1155</v>
      </c>
      <c r="BC425" s="2">
        <f>AW425+AX425</f>
        <v>0</v>
      </c>
      <c r="BD425" s="2">
        <f>I425/(100-BE425)*100</f>
        <v>0</v>
      </c>
      <c r="BE425" s="2">
        <v>0</v>
      </c>
      <c r="BF425" s="2">
        <f>425</f>
        <v>425</v>
      </c>
      <c r="BH425" s="2">
        <f>H425*AO425</f>
        <v>0</v>
      </c>
      <c r="BI425" s="2">
        <f>H425*AP425</f>
        <v>0</v>
      </c>
      <c r="BJ425" s="2">
        <f>H425*I425</f>
        <v>0</v>
      </c>
      <c r="BK425" s="2"/>
      <c r="BL425" s="2">
        <v>771</v>
      </c>
    </row>
    <row r="426" spans="1:13" ht="13.5" customHeight="1">
      <c r="A426" s="51"/>
      <c r="B426" s="32" t="s">
        <v>639</v>
      </c>
      <c r="C426" s="75" t="s">
        <v>532</v>
      </c>
      <c r="D426" s="76"/>
      <c r="E426" s="76"/>
      <c r="F426" s="76"/>
      <c r="G426" s="76"/>
      <c r="H426" s="76"/>
      <c r="I426" s="76"/>
      <c r="J426" s="76"/>
      <c r="K426" s="76"/>
      <c r="L426" s="76"/>
      <c r="M426" s="77"/>
    </row>
    <row r="427" spans="1:64" ht="15" customHeight="1">
      <c r="A427" s="15" t="s">
        <v>279</v>
      </c>
      <c r="B427" s="14" t="s">
        <v>1271</v>
      </c>
      <c r="C427" s="58" t="s">
        <v>1151</v>
      </c>
      <c r="D427" s="58"/>
      <c r="E427" s="58"/>
      <c r="F427" s="58"/>
      <c r="G427" s="14" t="s">
        <v>999</v>
      </c>
      <c r="H427" s="2">
        <v>84.12</v>
      </c>
      <c r="I427" s="2">
        <v>0</v>
      </c>
      <c r="J427" s="2">
        <f aca="true" t="shared" si="110" ref="J427:J434">H427*AO427</f>
        <v>0</v>
      </c>
      <c r="K427" s="2">
        <f aca="true" t="shared" si="111" ref="K427:K434">H427*AP427</f>
        <v>0</v>
      </c>
      <c r="L427" s="2">
        <f aca="true" t="shared" si="112" ref="L427:L434">H427*I427</f>
        <v>0</v>
      </c>
      <c r="M427" s="7" t="s">
        <v>831</v>
      </c>
      <c r="Z427" s="2">
        <f aca="true" t="shared" si="113" ref="Z427:Z434">IF(AQ427="5",BJ427,0)</f>
        <v>0</v>
      </c>
      <c r="AB427" s="2">
        <f aca="true" t="shared" si="114" ref="AB427:AB434">IF(AQ427="1",BH427,0)</f>
        <v>0</v>
      </c>
      <c r="AC427" s="2">
        <f aca="true" t="shared" si="115" ref="AC427:AC434">IF(AQ427="1",BI427,0)</f>
        <v>0</v>
      </c>
      <c r="AD427" s="2">
        <f aca="true" t="shared" si="116" ref="AD427:AD434">IF(AQ427="7",BH427,0)</f>
        <v>0</v>
      </c>
      <c r="AE427" s="2">
        <f aca="true" t="shared" si="117" ref="AE427:AE434">IF(AQ427="7",BI427,0)</f>
        <v>0</v>
      </c>
      <c r="AF427" s="2">
        <f aca="true" t="shared" si="118" ref="AF427:AF434">IF(AQ427="2",BH427,0)</f>
        <v>0</v>
      </c>
      <c r="AG427" s="2">
        <f aca="true" t="shared" si="119" ref="AG427:AG434">IF(AQ427="2",BI427,0)</f>
        <v>0</v>
      </c>
      <c r="AH427" s="2">
        <f aca="true" t="shared" si="120" ref="AH427:AH434">IF(AQ427="0",BJ427,0)</f>
        <v>0</v>
      </c>
      <c r="AI427" s="19" t="s">
        <v>255</v>
      </c>
      <c r="AJ427" s="2">
        <f aca="true" t="shared" si="121" ref="AJ427:AJ434">IF(AN427=0,L427,0)</f>
        <v>0</v>
      </c>
      <c r="AK427" s="2">
        <f aca="true" t="shared" si="122" ref="AK427:AK434">IF(AN427=15,L427,0)</f>
        <v>0</v>
      </c>
      <c r="AL427" s="2">
        <f aca="true" t="shared" si="123" ref="AL427:AL434">IF(AN427=21,L427,0)</f>
        <v>0</v>
      </c>
      <c r="AN427" s="2">
        <v>15</v>
      </c>
      <c r="AO427" s="2">
        <f>I427*0.102648253694745</f>
        <v>0</v>
      </c>
      <c r="AP427" s="2">
        <f>I427*(1-0.102648253694745)</f>
        <v>0</v>
      </c>
      <c r="AQ427" s="43" t="s">
        <v>1215</v>
      </c>
      <c r="AV427" s="2">
        <f aca="true" t="shared" si="124" ref="AV427:AV434">AW427+AX427</f>
        <v>0</v>
      </c>
      <c r="AW427" s="2">
        <f aca="true" t="shared" si="125" ref="AW427:AW434">H427*AO427</f>
        <v>0</v>
      </c>
      <c r="AX427" s="2">
        <f aca="true" t="shared" si="126" ref="AX427:AX434">H427*AP427</f>
        <v>0</v>
      </c>
      <c r="AY427" s="43" t="s">
        <v>1240</v>
      </c>
      <c r="AZ427" s="43" t="s">
        <v>668</v>
      </c>
      <c r="BA427" s="19" t="s">
        <v>1155</v>
      </c>
      <c r="BC427" s="2">
        <f aca="true" t="shared" si="127" ref="BC427:BC434">AW427+AX427</f>
        <v>0</v>
      </c>
      <c r="BD427" s="2">
        <f aca="true" t="shared" si="128" ref="BD427:BD434">I427/(100-BE427)*100</f>
        <v>0</v>
      </c>
      <c r="BE427" s="2">
        <v>0</v>
      </c>
      <c r="BF427" s="2">
        <f>427</f>
        <v>427</v>
      </c>
      <c r="BH427" s="2">
        <f aca="true" t="shared" si="129" ref="BH427:BH434">H427*AO427</f>
        <v>0</v>
      </c>
      <c r="BI427" s="2">
        <f aca="true" t="shared" si="130" ref="BI427:BI434">H427*AP427</f>
        <v>0</v>
      </c>
      <c r="BJ427" s="2">
        <f aca="true" t="shared" si="131" ref="BJ427:BJ434">H427*I427</f>
        <v>0</v>
      </c>
      <c r="BK427" s="2"/>
      <c r="BL427" s="2">
        <v>771</v>
      </c>
    </row>
    <row r="428" spans="1:64" ht="15" customHeight="1">
      <c r="A428" s="15" t="s">
        <v>531</v>
      </c>
      <c r="B428" s="14" t="s">
        <v>1220</v>
      </c>
      <c r="C428" s="58" t="s">
        <v>430</v>
      </c>
      <c r="D428" s="58"/>
      <c r="E428" s="58"/>
      <c r="F428" s="58"/>
      <c r="G428" s="14" t="s">
        <v>1189</v>
      </c>
      <c r="H428" s="2">
        <v>92.226</v>
      </c>
      <c r="I428" s="2">
        <v>0</v>
      </c>
      <c r="J428" s="2">
        <f t="shared" si="110"/>
        <v>0</v>
      </c>
      <c r="K428" s="2">
        <f t="shared" si="111"/>
        <v>0</v>
      </c>
      <c r="L428" s="2">
        <f t="shared" si="112"/>
        <v>0</v>
      </c>
      <c r="M428" s="7" t="s">
        <v>831</v>
      </c>
      <c r="Z428" s="2">
        <f t="shared" si="113"/>
        <v>0</v>
      </c>
      <c r="AB428" s="2">
        <f t="shared" si="114"/>
        <v>0</v>
      </c>
      <c r="AC428" s="2">
        <f t="shared" si="115"/>
        <v>0</v>
      </c>
      <c r="AD428" s="2">
        <f t="shared" si="116"/>
        <v>0</v>
      </c>
      <c r="AE428" s="2">
        <f t="shared" si="117"/>
        <v>0</v>
      </c>
      <c r="AF428" s="2">
        <f t="shared" si="118"/>
        <v>0</v>
      </c>
      <c r="AG428" s="2">
        <f t="shared" si="119"/>
        <v>0</v>
      </c>
      <c r="AH428" s="2">
        <f t="shared" si="120"/>
        <v>0</v>
      </c>
      <c r="AI428" s="19" t="s">
        <v>255</v>
      </c>
      <c r="AJ428" s="2">
        <f t="shared" si="121"/>
        <v>0</v>
      </c>
      <c r="AK428" s="2">
        <f t="shared" si="122"/>
        <v>0</v>
      </c>
      <c r="AL428" s="2">
        <f t="shared" si="123"/>
        <v>0</v>
      </c>
      <c r="AN428" s="2">
        <v>15</v>
      </c>
      <c r="AO428" s="2">
        <f>I428*0.228943437912886</f>
        <v>0</v>
      </c>
      <c r="AP428" s="2">
        <f>I428*(1-0.228943437912886)</f>
        <v>0</v>
      </c>
      <c r="AQ428" s="43" t="s">
        <v>1215</v>
      </c>
      <c r="AV428" s="2">
        <f t="shared" si="124"/>
        <v>0</v>
      </c>
      <c r="AW428" s="2">
        <f t="shared" si="125"/>
        <v>0</v>
      </c>
      <c r="AX428" s="2">
        <f t="shared" si="126"/>
        <v>0</v>
      </c>
      <c r="AY428" s="43" t="s">
        <v>1240</v>
      </c>
      <c r="AZ428" s="43" t="s">
        <v>668</v>
      </c>
      <c r="BA428" s="19" t="s">
        <v>1155</v>
      </c>
      <c r="BC428" s="2">
        <f t="shared" si="127"/>
        <v>0</v>
      </c>
      <c r="BD428" s="2">
        <f t="shared" si="128"/>
        <v>0</v>
      </c>
      <c r="BE428" s="2">
        <v>0</v>
      </c>
      <c r="BF428" s="2">
        <f>428</f>
        <v>428</v>
      </c>
      <c r="BH428" s="2">
        <f t="shared" si="129"/>
        <v>0</v>
      </c>
      <c r="BI428" s="2">
        <f t="shared" si="130"/>
        <v>0</v>
      </c>
      <c r="BJ428" s="2">
        <f t="shared" si="131"/>
        <v>0</v>
      </c>
      <c r="BK428" s="2"/>
      <c r="BL428" s="2">
        <v>771</v>
      </c>
    </row>
    <row r="429" spans="1:64" ht="15" customHeight="1">
      <c r="A429" s="15" t="s">
        <v>23</v>
      </c>
      <c r="B429" s="14" t="s">
        <v>71</v>
      </c>
      <c r="C429" s="58" t="s">
        <v>432</v>
      </c>
      <c r="D429" s="58"/>
      <c r="E429" s="58"/>
      <c r="F429" s="58"/>
      <c r="G429" s="14" t="s">
        <v>1189</v>
      </c>
      <c r="H429" s="2">
        <v>111.343</v>
      </c>
      <c r="I429" s="2">
        <v>0</v>
      </c>
      <c r="J429" s="2">
        <f t="shared" si="110"/>
        <v>0</v>
      </c>
      <c r="K429" s="2">
        <f t="shared" si="111"/>
        <v>0</v>
      </c>
      <c r="L429" s="2">
        <f t="shared" si="112"/>
        <v>0</v>
      </c>
      <c r="M429" s="7" t="s">
        <v>831</v>
      </c>
      <c r="Z429" s="2">
        <f t="shared" si="113"/>
        <v>0</v>
      </c>
      <c r="AB429" s="2">
        <f t="shared" si="114"/>
        <v>0</v>
      </c>
      <c r="AC429" s="2">
        <f t="shared" si="115"/>
        <v>0</v>
      </c>
      <c r="AD429" s="2">
        <f t="shared" si="116"/>
        <v>0</v>
      </c>
      <c r="AE429" s="2">
        <f t="shared" si="117"/>
        <v>0</v>
      </c>
      <c r="AF429" s="2">
        <f t="shared" si="118"/>
        <v>0</v>
      </c>
      <c r="AG429" s="2">
        <f t="shared" si="119"/>
        <v>0</v>
      </c>
      <c r="AH429" s="2">
        <f t="shared" si="120"/>
        <v>0</v>
      </c>
      <c r="AI429" s="19" t="s">
        <v>255</v>
      </c>
      <c r="AJ429" s="2">
        <f t="shared" si="121"/>
        <v>0</v>
      </c>
      <c r="AK429" s="2">
        <f t="shared" si="122"/>
        <v>0</v>
      </c>
      <c r="AL429" s="2">
        <f t="shared" si="123"/>
        <v>0</v>
      </c>
      <c r="AN429" s="2">
        <v>15</v>
      </c>
      <c r="AO429" s="2">
        <f>I429*1</f>
        <v>0</v>
      </c>
      <c r="AP429" s="2">
        <f>I429*(1-1)</f>
        <v>0</v>
      </c>
      <c r="AQ429" s="43" t="s">
        <v>1215</v>
      </c>
      <c r="AV429" s="2">
        <f t="shared" si="124"/>
        <v>0</v>
      </c>
      <c r="AW429" s="2">
        <f t="shared" si="125"/>
        <v>0</v>
      </c>
      <c r="AX429" s="2">
        <f t="shared" si="126"/>
        <v>0</v>
      </c>
      <c r="AY429" s="43" t="s">
        <v>1240</v>
      </c>
      <c r="AZ429" s="43" t="s">
        <v>668</v>
      </c>
      <c r="BA429" s="19" t="s">
        <v>1155</v>
      </c>
      <c r="BC429" s="2">
        <f t="shared" si="127"/>
        <v>0</v>
      </c>
      <c r="BD429" s="2">
        <f t="shared" si="128"/>
        <v>0</v>
      </c>
      <c r="BE429" s="2">
        <v>0</v>
      </c>
      <c r="BF429" s="2">
        <f>429</f>
        <v>429</v>
      </c>
      <c r="BH429" s="2">
        <f t="shared" si="129"/>
        <v>0</v>
      </c>
      <c r="BI429" s="2">
        <f t="shared" si="130"/>
        <v>0</v>
      </c>
      <c r="BJ429" s="2">
        <f t="shared" si="131"/>
        <v>0</v>
      </c>
      <c r="BK429" s="2"/>
      <c r="BL429" s="2">
        <v>771</v>
      </c>
    </row>
    <row r="430" spans="1:64" ht="15" customHeight="1">
      <c r="A430" s="15" t="s">
        <v>1041</v>
      </c>
      <c r="B430" s="14" t="s">
        <v>542</v>
      </c>
      <c r="C430" s="58" t="s">
        <v>476</v>
      </c>
      <c r="D430" s="58"/>
      <c r="E430" s="58"/>
      <c r="F430" s="58"/>
      <c r="G430" s="14" t="s">
        <v>999</v>
      </c>
      <c r="H430" s="2">
        <v>84.12</v>
      </c>
      <c r="I430" s="2">
        <v>0</v>
      </c>
      <c r="J430" s="2">
        <f t="shared" si="110"/>
        <v>0</v>
      </c>
      <c r="K430" s="2">
        <f t="shared" si="111"/>
        <v>0</v>
      </c>
      <c r="L430" s="2">
        <f t="shared" si="112"/>
        <v>0</v>
      </c>
      <c r="M430" s="7" t="s">
        <v>831</v>
      </c>
      <c r="Z430" s="2">
        <f t="shared" si="113"/>
        <v>0</v>
      </c>
      <c r="AB430" s="2">
        <f t="shared" si="114"/>
        <v>0</v>
      </c>
      <c r="AC430" s="2">
        <f t="shared" si="115"/>
        <v>0</v>
      </c>
      <c r="AD430" s="2">
        <f t="shared" si="116"/>
        <v>0</v>
      </c>
      <c r="AE430" s="2">
        <f t="shared" si="117"/>
        <v>0</v>
      </c>
      <c r="AF430" s="2">
        <f t="shared" si="118"/>
        <v>0</v>
      </c>
      <c r="AG430" s="2">
        <f t="shared" si="119"/>
        <v>0</v>
      </c>
      <c r="AH430" s="2">
        <f t="shared" si="120"/>
        <v>0</v>
      </c>
      <c r="AI430" s="19" t="s">
        <v>255</v>
      </c>
      <c r="AJ430" s="2">
        <f t="shared" si="121"/>
        <v>0</v>
      </c>
      <c r="AK430" s="2">
        <f t="shared" si="122"/>
        <v>0</v>
      </c>
      <c r="AL430" s="2">
        <f t="shared" si="123"/>
        <v>0</v>
      </c>
      <c r="AN430" s="2">
        <v>15</v>
      </c>
      <c r="AO430" s="2">
        <f>I430*0.0531375026223165</f>
        <v>0</v>
      </c>
      <c r="AP430" s="2">
        <f>I430*(1-0.0531375026223165)</f>
        <v>0</v>
      </c>
      <c r="AQ430" s="43" t="s">
        <v>1215</v>
      </c>
      <c r="AV430" s="2">
        <f t="shared" si="124"/>
        <v>0</v>
      </c>
      <c r="AW430" s="2">
        <f t="shared" si="125"/>
        <v>0</v>
      </c>
      <c r="AX430" s="2">
        <f t="shared" si="126"/>
        <v>0</v>
      </c>
      <c r="AY430" s="43" t="s">
        <v>1240</v>
      </c>
      <c r="AZ430" s="43" t="s">
        <v>668</v>
      </c>
      <c r="BA430" s="19" t="s">
        <v>1155</v>
      </c>
      <c r="BC430" s="2">
        <f t="shared" si="127"/>
        <v>0</v>
      </c>
      <c r="BD430" s="2">
        <f t="shared" si="128"/>
        <v>0</v>
      </c>
      <c r="BE430" s="2">
        <v>0</v>
      </c>
      <c r="BF430" s="2">
        <f>430</f>
        <v>430</v>
      </c>
      <c r="BH430" s="2">
        <f t="shared" si="129"/>
        <v>0</v>
      </c>
      <c r="BI430" s="2">
        <f t="shared" si="130"/>
        <v>0</v>
      </c>
      <c r="BJ430" s="2">
        <f t="shared" si="131"/>
        <v>0</v>
      </c>
      <c r="BK430" s="2"/>
      <c r="BL430" s="2">
        <v>771</v>
      </c>
    </row>
    <row r="431" spans="1:64" ht="15" customHeight="1">
      <c r="A431" s="15" t="s">
        <v>1091</v>
      </c>
      <c r="B431" s="14" t="s">
        <v>293</v>
      </c>
      <c r="C431" s="58" t="s">
        <v>1158</v>
      </c>
      <c r="D431" s="58"/>
      <c r="E431" s="58"/>
      <c r="F431" s="58"/>
      <c r="G431" s="14" t="s">
        <v>999</v>
      </c>
      <c r="H431" s="2">
        <v>53.22</v>
      </c>
      <c r="I431" s="2">
        <v>0</v>
      </c>
      <c r="J431" s="2">
        <f t="shared" si="110"/>
        <v>0</v>
      </c>
      <c r="K431" s="2">
        <f t="shared" si="111"/>
        <v>0</v>
      </c>
      <c r="L431" s="2">
        <f t="shared" si="112"/>
        <v>0</v>
      </c>
      <c r="M431" s="7" t="s">
        <v>831</v>
      </c>
      <c r="Z431" s="2">
        <f t="shared" si="113"/>
        <v>0</v>
      </c>
      <c r="AB431" s="2">
        <f t="shared" si="114"/>
        <v>0</v>
      </c>
      <c r="AC431" s="2">
        <f t="shared" si="115"/>
        <v>0</v>
      </c>
      <c r="AD431" s="2">
        <f t="shared" si="116"/>
        <v>0</v>
      </c>
      <c r="AE431" s="2">
        <f t="shared" si="117"/>
        <v>0</v>
      </c>
      <c r="AF431" s="2">
        <f t="shared" si="118"/>
        <v>0</v>
      </c>
      <c r="AG431" s="2">
        <f t="shared" si="119"/>
        <v>0</v>
      </c>
      <c r="AH431" s="2">
        <f t="shared" si="120"/>
        <v>0</v>
      </c>
      <c r="AI431" s="19" t="s">
        <v>255</v>
      </c>
      <c r="AJ431" s="2">
        <f t="shared" si="121"/>
        <v>0</v>
      </c>
      <c r="AK431" s="2">
        <f t="shared" si="122"/>
        <v>0</v>
      </c>
      <c r="AL431" s="2">
        <f t="shared" si="123"/>
        <v>0</v>
      </c>
      <c r="AN431" s="2">
        <v>15</v>
      </c>
      <c r="AO431" s="2">
        <f>I431*0.551764705882353</f>
        <v>0</v>
      </c>
      <c r="AP431" s="2">
        <f>I431*(1-0.551764705882353)</f>
        <v>0</v>
      </c>
      <c r="AQ431" s="43" t="s">
        <v>1215</v>
      </c>
      <c r="AV431" s="2">
        <f t="shared" si="124"/>
        <v>0</v>
      </c>
      <c r="AW431" s="2">
        <f t="shared" si="125"/>
        <v>0</v>
      </c>
      <c r="AX431" s="2">
        <f t="shared" si="126"/>
        <v>0</v>
      </c>
      <c r="AY431" s="43" t="s">
        <v>1240</v>
      </c>
      <c r="AZ431" s="43" t="s">
        <v>668</v>
      </c>
      <c r="BA431" s="19" t="s">
        <v>1155</v>
      </c>
      <c r="BC431" s="2">
        <f t="shared" si="127"/>
        <v>0</v>
      </c>
      <c r="BD431" s="2">
        <f t="shared" si="128"/>
        <v>0</v>
      </c>
      <c r="BE431" s="2">
        <v>0</v>
      </c>
      <c r="BF431" s="2">
        <f>431</f>
        <v>431</v>
      </c>
      <c r="BH431" s="2">
        <f t="shared" si="129"/>
        <v>0</v>
      </c>
      <c r="BI431" s="2">
        <f t="shared" si="130"/>
        <v>0</v>
      </c>
      <c r="BJ431" s="2">
        <f t="shared" si="131"/>
        <v>0</v>
      </c>
      <c r="BK431" s="2"/>
      <c r="BL431" s="2">
        <v>771</v>
      </c>
    </row>
    <row r="432" spans="1:64" ht="15" customHeight="1">
      <c r="A432" s="15" t="s">
        <v>944</v>
      </c>
      <c r="B432" s="14" t="s">
        <v>391</v>
      </c>
      <c r="C432" s="58" t="s">
        <v>814</v>
      </c>
      <c r="D432" s="58"/>
      <c r="E432" s="58"/>
      <c r="F432" s="58"/>
      <c r="G432" s="14" t="s">
        <v>1189</v>
      </c>
      <c r="H432" s="2">
        <v>54.39</v>
      </c>
      <c r="I432" s="2">
        <v>0</v>
      </c>
      <c r="J432" s="2">
        <f t="shared" si="110"/>
        <v>0</v>
      </c>
      <c r="K432" s="2">
        <f t="shared" si="111"/>
        <v>0</v>
      </c>
      <c r="L432" s="2">
        <f t="shared" si="112"/>
        <v>0</v>
      </c>
      <c r="M432" s="7" t="s">
        <v>831</v>
      </c>
      <c r="Z432" s="2">
        <f t="shared" si="113"/>
        <v>0</v>
      </c>
      <c r="AB432" s="2">
        <f t="shared" si="114"/>
        <v>0</v>
      </c>
      <c r="AC432" s="2">
        <f t="shared" si="115"/>
        <v>0</v>
      </c>
      <c r="AD432" s="2">
        <f t="shared" si="116"/>
        <v>0</v>
      </c>
      <c r="AE432" s="2">
        <f t="shared" si="117"/>
        <v>0</v>
      </c>
      <c r="AF432" s="2">
        <f t="shared" si="118"/>
        <v>0</v>
      </c>
      <c r="AG432" s="2">
        <f t="shared" si="119"/>
        <v>0</v>
      </c>
      <c r="AH432" s="2">
        <f t="shared" si="120"/>
        <v>0</v>
      </c>
      <c r="AI432" s="19" t="s">
        <v>255</v>
      </c>
      <c r="AJ432" s="2">
        <f t="shared" si="121"/>
        <v>0</v>
      </c>
      <c r="AK432" s="2">
        <f t="shared" si="122"/>
        <v>0</v>
      </c>
      <c r="AL432" s="2">
        <f t="shared" si="123"/>
        <v>0</v>
      </c>
      <c r="AN432" s="2">
        <v>15</v>
      </c>
      <c r="AO432" s="2">
        <f>I432*0</f>
        <v>0</v>
      </c>
      <c r="AP432" s="2">
        <f>I432*(1-0)</f>
        <v>0</v>
      </c>
      <c r="AQ432" s="43" t="s">
        <v>1215</v>
      </c>
      <c r="AV432" s="2">
        <f t="shared" si="124"/>
        <v>0</v>
      </c>
      <c r="AW432" s="2">
        <f t="shared" si="125"/>
        <v>0</v>
      </c>
      <c r="AX432" s="2">
        <f t="shared" si="126"/>
        <v>0</v>
      </c>
      <c r="AY432" s="43" t="s">
        <v>1240</v>
      </c>
      <c r="AZ432" s="43" t="s">
        <v>668</v>
      </c>
      <c r="BA432" s="19" t="s">
        <v>1155</v>
      </c>
      <c r="BC432" s="2">
        <f t="shared" si="127"/>
        <v>0</v>
      </c>
      <c r="BD432" s="2">
        <f t="shared" si="128"/>
        <v>0</v>
      </c>
      <c r="BE432" s="2">
        <v>0</v>
      </c>
      <c r="BF432" s="2">
        <f>432</f>
        <v>432</v>
      </c>
      <c r="BH432" s="2">
        <f t="shared" si="129"/>
        <v>0</v>
      </c>
      <c r="BI432" s="2">
        <f t="shared" si="130"/>
        <v>0</v>
      </c>
      <c r="BJ432" s="2">
        <f t="shared" si="131"/>
        <v>0</v>
      </c>
      <c r="BK432" s="2"/>
      <c r="BL432" s="2">
        <v>771</v>
      </c>
    </row>
    <row r="433" spans="1:64" ht="15" customHeight="1">
      <c r="A433" s="15" t="s">
        <v>439</v>
      </c>
      <c r="B433" s="14" t="s">
        <v>397</v>
      </c>
      <c r="C433" s="58" t="s">
        <v>1125</v>
      </c>
      <c r="D433" s="58"/>
      <c r="E433" s="58"/>
      <c r="F433" s="58"/>
      <c r="G433" s="14" t="s">
        <v>1189</v>
      </c>
      <c r="H433" s="2">
        <v>100.636</v>
      </c>
      <c r="I433" s="2">
        <v>0</v>
      </c>
      <c r="J433" s="2">
        <f t="shared" si="110"/>
        <v>0</v>
      </c>
      <c r="K433" s="2">
        <f t="shared" si="111"/>
        <v>0</v>
      </c>
      <c r="L433" s="2">
        <f t="shared" si="112"/>
        <v>0</v>
      </c>
      <c r="M433" s="7" t="s">
        <v>831</v>
      </c>
      <c r="Z433" s="2">
        <f t="shared" si="113"/>
        <v>0</v>
      </c>
      <c r="AB433" s="2">
        <f t="shared" si="114"/>
        <v>0</v>
      </c>
      <c r="AC433" s="2">
        <f t="shared" si="115"/>
        <v>0</v>
      </c>
      <c r="AD433" s="2">
        <f t="shared" si="116"/>
        <v>0</v>
      </c>
      <c r="AE433" s="2">
        <f t="shared" si="117"/>
        <v>0</v>
      </c>
      <c r="AF433" s="2">
        <f t="shared" si="118"/>
        <v>0</v>
      </c>
      <c r="AG433" s="2">
        <f t="shared" si="119"/>
        <v>0</v>
      </c>
      <c r="AH433" s="2">
        <f t="shared" si="120"/>
        <v>0</v>
      </c>
      <c r="AI433" s="19" t="s">
        <v>255</v>
      </c>
      <c r="AJ433" s="2">
        <f t="shared" si="121"/>
        <v>0</v>
      </c>
      <c r="AK433" s="2">
        <f t="shared" si="122"/>
        <v>0</v>
      </c>
      <c r="AL433" s="2">
        <f t="shared" si="123"/>
        <v>0</v>
      </c>
      <c r="AN433" s="2">
        <v>15</v>
      </c>
      <c r="AO433" s="2">
        <f>I433*1.00000774951566</f>
        <v>0</v>
      </c>
      <c r="AP433" s="2">
        <f>I433*(1-1.00000774951566)</f>
        <v>0</v>
      </c>
      <c r="AQ433" s="43" t="s">
        <v>1215</v>
      </c>
      <c r="AV433" s="2">
        <f t="shared" si="124"/>
        <v>0</v>
      </c>
      <c r="AW433" s="2">
        <f t="shared" si="125"/>
        <v>0</v>
      </c>
      <c r="AX433" s="2">
        <f t="shared" si="126"/>
        <v>0</v>
      </c>
      <c r="AY433" s="43" t="s">
        <v>1240</v>
      </c>
      <c r="AZ433" s="43" t="s">
        <v>668</v>
      </c>
      <c r="BA433" s="19" t="s">
        <v>1155</v>
      </c>
      <c r="BC433" s="2">
        <f t="shared" si="127"/>
        <v>0</v>
      </c>
      <c r="BD433" s="2">
        <f t="shared" si="128"/>
        <v>0</v>
      </c>
      <c r="BE433" s="2">
        <v>0</v>
      </c>
      <c r="BF433" s="2">
        <f>433</f>
        <v>433</v>
      </c>
      <c r="BH433" s="2">
        <f t="shared" si="129"/>
        <v>0</v>
      </c>
      <c r="BI433" s="2">
        <f t="shared" si="130"/>
        <v>0</v>
      </c>
      <c r="BJ433" s="2">
        <f t="shared" si="131"/>
        <v>0</v>
      </c>
      <c r="BK433" s="2"/>
      <c r="BL433" s="2">
        <v>771</v>
      </c>
    </row>
    <row r="434" spans="1:64" ht="15" customHeight="1">
      <c r="A434" s="15" t="s">
        <v>955</v>
      </c>
      <c r="B434" s="14" t="s">
        <v>155</v>
      </c>
      <c r="C434" s="58" t="s">
        <v>710</v>
      </c>
      <c r="D434" s="58"/>
      <c r="E434" s="58"/>
      <c r="F434" s="58"/>
      <c r="G434" s="14" t="s">
        <v>584</v>
      </c>
      <c r="H434" s="2">
        <v>2.63</v>
      </c>
      <c r="I434" s="2">
        <v>0</v>
      </c>
      <c r="J434" s="2">
        <f t="shared" si="110"/>
        <v>0</v>
      </c>
      <c r="K434" s="2">
        <f t="shared" si="111"/>
        <v>0</v>
      </c>
      <c r="L434" s="2">
        <f t="shared" si="112"/>
        <v>0</v>
      </c>
      <c r="M434" s="7" t="s">
        <v>831</v>
      </c>
      <c r="Z434" s="2">
        <f t="shared" si="113"/>
        <v>0</v>
      </c>
      <c r="AB434" s="2">
        <f t="shared" si="114"/>
        <v>0</v>
      </c>
      <c r="AC434" s="2">
        <f t="shared" si="115"/>
        <v>0</v>
      </c>
      <c r="AD434" s="2">
        <f t="shared" si="116"/>
        <v>0</v>
      </c>
      <c r="AE434" s="2">
        <f t="shared" si="117"/>
        <v>0</v>
      </c>
      <c r="AF434" s="2">
        <f t="shared" si="118"/>
        <v>0</v>
      </c>
      <c r="AG434" s="2">
        <f t="shared" si="119"/>
        <v>0</v>
      </c>
      <c r="AH434" s="2">
        <f t="shared" si="120"/>
        <v>0</v>
      </c>
      <c r="AI434" s="19" t="s">
        <v>255</v>
      </c>
      <c r="AJ434" s="2">
        <f t="shared" si="121"/>
        <v>0</v>
      </c>
      <c r="AK434" s="2">
        <f t="shared" si="122"/>
        <v>0</v>
      </c>
      <c r="AL434" s="2">
        <f t="shared" si="123"/>
        <v>0</v>
      </c>
      <c r="AN434" s="2">
        <v>15</v>
      </c>
      <c r="AO434" s="2">
        <f>I434*0</f>
        <v>0</v>
      </c>
      <c r="AP434" s="2">
        <f>I434*(1-0)</f>
        <v>0</v>
      </c>
      <c r="AQ434" s="43" t="s">
        <v>655</v>
      </c>
      <c r="AV434" s="2">
        <f t="shared" si="124"/>
        <v>0</v>
      </c>
      <c r="AW434" s="2">
        <f t="shared" si="125"/>
        <v>0</v>
      </c>
      <c r="AX434" s="2">
        <f t="shared" si="126"/>
        <v>0</v>
      </c>
      <c r="AY434" s="43" t="s">
        <v>1240</v>
      </c>
      <c r="AZ434" s="43" t="s">
        <v>668</v>
      </c>
      <c r="BA434" s="19" t="s">
        <v>1155</v>
      </c>
      <c r="BC434" s="2">
        <f t="shared" si="127"/>
        <v>0</v>
      </c>
      <c r="BD434" s="2">
        <f t="shared" si="128"/>
        <v>0</v>
      </c>
      <c r="BE434" s="2">
        <v>0</v>
      </c>
      <c r="BF434" s="2">
        <f>434</f>
        <v>434</v>
      </c>
      <c r="BH434" s="2">
        <f t="shared" si="129"/>
        <v>0</v>
      </c>
      <c r="BI434" s="2">
        <f t="shared" si="130"/>
        <v>0</v>
      </c>
      <c r="BJ434" s="2">
        <f t="shared" si="131"/>
        <v>0</v>
      </c>
      <c r="BK434" s="2"/>
      <c r="BL434" s="2">
        <v>771</v>
      </c>
    </row>
    <row r="435" spans="1:47" ht="15" customHeight="1">
      <c r="A435" s="48" t="s">
        <v>844</v>
      </c>
      <c r="B435" s="17" t="s">
        <v>471</v>
      </c>
      <c r="C435" s="74" t="s">
        <v>164</v>
      </c>
      <c r="D435" s="74"/>
      <c r="E435" s="74"/>
      <c r="F435" s="74"/>
      <c r="G435" s="40" t="s">
        <v>1110</v>
      </c>
      <c r="H435" s="40" t="s">
        <v>1110</v>
      </c>
      <c r="I435" s="40" t="s">
        <v>1110</v>
      </c>
      <c r="J435" s="23">
        <f>SUM(J436:J439)</f>
        <v>0</v>
      </c>
      <c r="K435" s="23">
        <f>SUM(K436:K439)</f>
        <v>0</v>
      </c>
      <c r="L435" s="23">
        <f>SUM(L436:L439)</f>
        <v>0</v>
      </c>
      <c r="M435" s="37" t="s">
        <v>844</v>
      </c>
      <c r="AI435" s="19" t="s">
        <v>255</v>
      </c>
      <c r="AS435" s="23">
        <f>SUM(AJ436:AJ439)</f>
        <v>0</v>
      </c>
      <c r="AT435" s="23">
        <f>SUM(AK436:AK439)</f>
        <v>0</v>
      </c>
      <c r="AU435" s="23">
        <f>SUM(AL436:AL439)</f>
        <v>0</v>
      </c>
    </row>
    <row r="436" spans="1:64" ht="15" customHeight="1">
      <c r="A436" s="15" t="s">
        <v>798</v>
      </c>
      <c r="B436" s="14" t="s">
        <v>187</v>
      </c>
      <c r="C436" s="58" t="s">
        <v>499</v>
      </c>
      <c r="D436" s="58"/>
      <c r="E436" s="58"/>
      <c r="F436" s="58"/>
      <c r="G436" s="14" t="s">
        <v>1189</v>
      </c>
      <c r="H436" s="2">
        <v>280.47</v>
      </c>
      <c r="I436" s="2">
        <v>0</v>
      </c>
      <c r="J436" s="2">
        <f>H436*AO436</f>
        <v>0</v>
      </c>
      <c r="K436" s="2">
        <f>H436*AP436</f>
        <v>0</v>
      </c>
      <c r="L436" s="2">
        <f>H436*I436</f>
        <v>0</v>
      </c>
      <c r="M436" s="7" t="s">
        <v>831</v>
      </c>
      <c r="Z436" s="2">
        <f>IF(AQ436="5",BJ436,0)</f>
        <v>0</v>
      </c>
      <c r="AB436" s="2">
        <f>IF(AQ436="1",BH436,0)</f>
        <v>0</v>
      </c>
      <c r="AC436" s="2">
        <f>IF(AQ436="1",BI436,0)</f>
        <v>0</v>
      </c>
      <c r="AD436" s="2">
        <f>IF(AQ436="7",BH436,0)</f>
        <v>0</v>
      </c>
      <c r="AE436" s="2">
        <f>IF(AQ436="7",BI436,0)</f>
        <v>0</v>
      </c>
      <c r="AF436" s="2">
        <f>IF(AQ436="2",BH436,0)</f>
        <v>0</v>
      </c>
      <c r="AG436" s="2">
        <f>IF(AQ436="2",BI436,0)</f>
        <v>0</v>
      </c>
      <c r="AH436" s="2">
        <f>IF(AQ436="0",BJ436,0)</f>
        <v>0</v>
      </c>
      <c r="AI436" s="19" t="s">
        <v>255</v>
      </c>
      <c r="AJ436" s="2">
        <f>IF(AN436=0,L436,0)</f>
        <v>0</v>
      </c>
      <c r="AK436" s="2">
        <f>IF(AN436=15,L436,0)</f>
        <v>0</v>
      </c>
      <c r="AL436" s="2">
        <f>IF(AN436=21,L436,0)</f>
        <v>0</v>
      </c>
      <c r="AN436" s="2">
        <v>15</v>
      </c>
      <c r="AO436" s="2">
        <f>I436*0.633384277453754</f>
        <v>0</v>
      </c>
      <c r="AP436" s="2">
        <f>I436*(1-0.633384277453754)</f>
        <v>0</v>
      </c>
      <c r="AQ436" s="43" t="s">
        <v>1215</v>
      </c>
      <c r="AV436" s="2">
        <f>AW436+AX436</f>
        <v>0</v>
      </c>
      <c r="AW436" s="2">
        <f>H436*AO436</f>
        <v>0</v>
      </c>
      <c r="AX436" s="2">
        <f>H436*AP436</f>
        <v>0</v>
      </c>
      <c r="AY436" s="43" t="s">
        <v>949</v>
      </c>
      <c r="AZ436" s="43" t="s">
        <v>668</v>
      </c>
      <c r="BA436" s="19" t="s">
        <v>1155</v>
      </c>
      <c r="BC436" s="2">
        <f>AW436+AX436</f>
        <v>0</v>
      </c>
      <c r="BD436" s="2">
        <f>I436/(100-BE436)*100</f>
        <v>0</v>
      </c>
      <c r="BE436" s="2">
        <v>0</v>
      </c>
      <c r="BF436" s="2">
        <f>436</f>
        <v>436</v>
      </c>
      <c r="BH436" s="2">
        <f>H436*AO436</f>
        <v>0</v>
      </c>
      <c r="BI436" s="2">
        <f>H436*AP436</f>
        <v>0</v>
      </c>
      <c r="BJ436" s="2">
        <f>H436*I436</f>
        <v>0</v>
      </c>
      <c r="BK436" s="2"/>
      <c r="BL436" s="2">
        <v>775</v>
      </c>
    </row>
    <row r="437" spans="1:13" ht="13.5" customHeight="1">
      <c r="A437" s="51"/>
      <c r="B437" s="32" t="s">
        <v>639</v>
      </c>
      <c r="C437" s="75" t="s">
        <v>808</v>
      </c>
      <c r="D437" s="76"/>
      <c r="E437" s="76"/>
      <c r="F437" s="76"/>
      <c r="G437" s="76"/>
      <c r="H437" s="76"/>
      <c r="I437" s="76"/>
      <c r="J437" s="76"/>
      <c r="K437" s="76"/>
      <c r="L437" s="76"/>
      <c r="M437" s="77"/>
    </row>
    <row r="438" spans="1:64" ht="15" customHeight="1">
      <c r="A438" s="15" t="s">
        <v>1096</v>
      </c>
      <c r="B438" s="14" t="s">
        <v>1185</v>
      </c>
      <c r="C438" s="58" t="s">
        <v>1079</v>
      </c>
      <c r="D438" s="58"/>
      <c r="E438" s="58"/>
      <c r="F438" s="58"/>
      <c r="G438" s="14" t="s">
        <v>1189</v>
      </c>
      <c r="H438" s="2">
        <v>280.47</v>
      </c>
      <c r="I438" s="2">
        <v>0</v>
      </c>
      <c r="J438" s="2">
        <f>H438*AO438</f>
        <v>0</v>
      </c>
      <c r="K438" s="2">
        <f>H438*AP438</f>
        <v>0</v>
      </c>
      <c r="L438" s="2">
        <f>H438*I438</f>
        <v>0</v>
      </c>
      <c r="M438" s="7" t="s">
        <v>831</v>
      </c>
      <c r="Z438" s="2">
        <f>IF(AQ438="5",BJ438,0)</f>
        <v>0</v>
      </c>
      <c r="AB438" s="2">
        <f>IF(AQ438="1",BH438,0)</f>
        <v>0</v>
      </c>
      <c r="AC438" s="2">
        <f>IF(AQ438="1",BI438,0)</f>
        <v>0</v>
      </c>
      <c r="AD438" s="2">
        <f>IF(AQ438="7",BH438,0)</f>
        <v>0</v>
      </c>
      <c r="AE438" s="2">
        <f>IF(AQ438="7",BI438,0)</f>
        <v>0</v>
      </c>
      <c r="AF438" s="2">
        <f>IF(AQ438="2",BH438,0)</f>
        <v>0</v>
      </c>
      <c r="AG438" s="2">
        <f>IF(AQ438="2",BI438,0)</f>
        <v>0</v>
      </c>
      <c r="AH438" s="2">
        <f>IF(AQ438="0",BJ438,0)</f>
        <v>0</v>
      </c>
      <c r="AI438" s="19" t="s">
        <v>255</v>
      </c>
      <c r="AJ438" s="2">
        <f>IF(AN438=0,L438,0)</f>
        <v>0</v>
      </c>
      <c r="AK438" s="2">
        <f>IF(AN438=15,L438,0)</f>
        <v>0</v>
      </c>
      <c r="AL438" s="2">
        <f>IF(AN438=21,L438,0)</f>
        <v>0</v>
      </c>
      <c r="AN438" s="2">
        <v>15</v>
      </c>
      <c r="AO438" s="2">
        <f>I438*0</f>
        <v>0</v>
      </c>
      <c r="AP438" s="2">
        <f>I438*(1-0)</f>
        <v>0</v>
      </c>
      <c r="AQ438" s="43" t="s">
        <v>1215</v>
      </c>
      <c r="AV438" s="2">
        <f>AW438+AX438</f>
        <v>0</v>
      </c>
      <c r="AW438" s="2">
        <f>H438*AO438</f>
        <v>0</v>
      </c>
      <c r="AX438" s="2">
        <f>H438*AP438</f>
        <v>0</v>
      </c>
      <c r="AY438" s="43" t="s">
        <v>949</v>
      </c>
      <c r="AZ438" s="43" t="s">
        <v>668</v>
      </c>
      <c r="BA438" s="19" t="s">
        <v>1155</v>
      </c>
      <c r="BC438" s="2">
        <f>AW438+AX438</f>
        <v>0</v>
      </c>
      <c r="BD438" s="2">
        <f>I438/(100-BE438)*100</f>
        <v>0</v>
      </c>
      <c r="BE438" s="2">
        <v>0</v>
      </c>
      <c r="BF438" s="2">
        <f>438</f>
        <v>438</v>
      </c>
      <c r="BH438" s="2">
        <f>H438*AO438</f>
        <v>0</v>
      </c>
      <c r="BI438" s="2">
        <f>H438*AP438</f>
        <v>0</v>
      </c>
      <c r="BJ438" s="2">
        <f>H438*I438</f>
        <v>0</v>
      </c>
      <c r="BK438" s="2"/>
      <c r="BL438" s="2">
        <v>775</v>
      </c>
    </row>
    <row r="439" spans="1:64" ht="15" customHeight="1">
      <c r="A439" s="15" t="s">
        <v>1034</v>
      </c>
      <c r="B439" s="14" t="s">
        <v>155</v>
      </c>
      <c r="C439" s="58" t="s">
        <v>710</v>
      </c>
      <c r="D439" s="58"/>
      <c r="E439" s="58"/>
      <c r="F439" s="58"/>
      <c r="G439" s="14" t="s">
        <v>584</v>
      </c>
      <c r="H439" s="2">
        <v>2.143</v>
      </c>
      <c r="I439" s="2">
        <v>0</v>
      </c>
      <c r="J439" s="2">
        <f>H439*AO439</f>
        <v>0</v>
      </c>
      <c r="K439" s="2">
        <f>H439*AP439</f>
        <v>0</v>
      </c>
      <c r="L439" s="2">
        <f>H439*I439</f>
        <v>0</v>
      </c>
      <c r="M439" s="7" t="s">
        <v>831</v>
      </c>
      <c r="Z439" s="2">
        <f>IF(AQ439="5",BJ439,0)</f>
        <v>0</v>
      </c>
      <c r="AB439" s="2">
        <f>IF(AQ439="1",BH439,0)</f>
        <v>0</v>
      </c>
      <c r="AC439" s="2">
        <f>IF(AQ439="1",BI439,0)</f>
        <v>0</v>
      </c>
      <c r="AD439" s="2">
        <f>IF(AQ439="7",BH439,0)</f>
        <v>0</v>
      </c>
      <c r="AE439" s="2">
        <f>IF(AQ439="7",BI439,0)</f>
        <v>0</v>
      </c>
      <c r="AF439" s="2">
        <f>IF(AQ439="2",BH439,0)</f>
        <v>0</v>
      </c>
      <c r="AG439" s="2">
        <f>IF(AQ439="2",BI439,0)</f>
        <v>0</v>
      </c>
      <c r="AH439" s="2">
        <f>IF(AQ439="0",BJ439,0)</f>
        <v>0</v>
      </c>
      <c r="AI439" s="19" t="s">
        <v>255</v>
      </c>
      <c r="AJ439" s="2">
        <f>IF(AN439=0,L439,0)</f>
        <v>0</v>
      </c>
      <c r="AK439" s="2">
        <f>IF(AN439=15,L439,0)</f>
        <v>0</v>
      </c>
      <c r="AL439" s="2">
        <f>IF(AN439=21,L439,0)</f>
        <v>0</v>
      </c>
      <c r="AN439" s="2">
        <v>15</v>
      </c>
      <c r="AO439" s="2">
        <f>I439*0</f>
        <v>0</v>
      </c>
      <c r="AP439" s="2">
        <f>I439*(1-0)</f>
        <v>0</v>
      </c>
      <c r="AQ439" s="43" t="s">
        <v>655</v>
      </c>
      <c r="AV439" s="2">
        <f>AW439+AX439</f>
        <v>0</v>
      </c>
      <c r="AW439" s="2">
        <f>H439*AO439</f>
        <v>0</v>
      </c>
      <c r="AX439" s="2">
        <f>H439*AP439</f>
        <v>0</v>
      </c>
      <c r="AY439" s="43" t="s">
        <v>949</v>
      </c>
      <c r="AZ439" s="43" t="s">
        <v>668</v>
      </c>
      <c r="BA439" s="19" t="s">
        <v>1155</v>
      </c>
      <c r="BC439" s="2">
        <f>AW439+AX439</f>
        <v>0</v>
      </c>
      <c r="BD439" s="2">
        <f>I439/(100-BE439)*100</f>
        <v>0</v>
      </c>
      <c r="BE439" s="2">
        <v>0</v>
      </c>
      <c r="BF439" s="2">
        <f>439</f>
        <v>439</v>
      </c>
      <c r="BH439" s="2">
        <f>H439*AO439</f>
        <v>0</v>
      </c>
      <c r="BI439" s="2">
        <f>H439*AP439</f>
        <v>0</v>
      </c>
      <c r="BJ439" s="2">
        <f>H439*I439</f>
        <v>0</v>
      </c>
      <c r="BK439" s="2"/>
      <c r="BL439" s="2">
        <v>775</v>
      </c>
    </row>
    <row r="440" spans="1:47" ht="15" customHeight="1">
      <c r="A440" s="48" t="s">
        <v>844</v>
      </c>
      <c r="B440" s="17" t="s">
        <v>971</v>
      </c>
      <c r="C440" s="74" t="s">
        <v>548</v>
      </c>
      <c r="D440" s="74"/>
      <c r="E440" s="74"/>
      <c r="F440" s="74"/>
      <c r="G440" s="40" t="s">
        <v>1110</v>
      </c>
      <c r="H440" s="40" t="s">
        <v>1110</v>
      </c>
      <c r="I440" s="40" t="s">
        <v>1110</v>
      </c>
      <c r="J440" s="23">
        <f>SUM(J441:J454)</f>
        <v>0</v>
      </c>
      <c r="K440" s="23">
        <f>SUM(K441:K454)</f>
        <v>0</v>
      </c>
      <c r="L440" s="23">
        <f>SUM(L441:L454)</f>
        <v>0</v>
      </c>
      <c r="M440" s="37" t="s">
        <v>844</v>
      </c>
      <c r="AI440" s="19" t="s">
        <v>255</v>
      </c>
      <c r="AS440" s="23">
        <f>SUM(AJ441:AJ454)</f>
        <v>0</v>
      </c>
      <c r="AT440" s="23">
        <f>SUM(AK441:AK454)</f>
        <v>0</v>
      </c>
      <c r="AU440" s="23">
        <f>SUM(AL441:AL454)</f>
        <v>0</v>
      </c>
    </row>
    <row r="441" spans="1:64" ht="15" customHeight="1">
      <c r="A441" s="15" t="s">
        <v>358</v>
      </c>
      <c r="B441" s="14" t="s">
        <v>349</v>
      </c>
      <c r="C441" s="58" t="s">
        <v>672</v>
      </c>
      <c r="D441" s="58"/>
      <c r="E441" s="58"/>
      <c r="F441" s="58"/>
      <c r="G441" s="14" t="s">
        <v>1189</v>
      </c>
      <c r="H441" s="2">
        <v>118.013</v>
      </c>
      <c r="I441" s="2">
        <v>0</v>
      </c>
      <c r="J441" s="2">
        <f>H441*AO441</f>
        <v>0</v>
      </c>
      <c r="K441" s="2">
        <f>H441*AP441</f>
        <v>0</v>
      </c>
      <c r="L441" s="2">
        <f>H441*I441</f>
        <v>0</v>
      </c>
      <c r="M441" s="7" t="s">
        <v>831</v>
      </c>
      <c r="Z441" s="2">
        <f>IF(AQ441="5",BJ441,0)</f>
        <v>0</v>
      </c>
      <c r="AB441" s="2">
        <f>IF(AQ441="1",BH441,0)</f>
        <v>0</v>
      </c>
      <c r="AC441" s="2">
        <f>IF(AQ441="1",BI441,0)</f>
        <v>0</v>
      </c>
      <c r="AD441" s="2">
        <f>IF(AQ441="7",BH441,0)</f>
        <v>0</v>
      </c>
      <c r="AE441" s="2">
        <f>IF(AQ441="7",BI441,0)</f>
        <v>0</v>
      </c>
      <c r="AF441" s="2">
        <f>IF(AQ441="2",BH441,0)</f>
        <v>0</v>
      </c>
      <c r="AG441" s="2">
        <f>IF(AQ441="2",BI441,0)</f>
        <v>0</v>
      </c>
      <c r="AH441" s="2">
        <f>IF(AQ441="0",BJ441,0)</f>
        <v>0</v>
      </c>
      <c r="AI441" s="19" t="s">
        <v>255</v>
      </c>
      <c r="AJ441" s="2">
        <f>IF(AN441=0,L441,0)</f>
        <v>0</v>
      </c>
      <c r="AK441" s="2">
        <f>IF(AN441=15,L441,0)</f>
        <v>0</v>
      </c>
      <c r="AL441" s="2">
        <f>IF(AN441=21,L441,0)</f>
        <v>0</v>
      </c>
      <c r="AN441" s="2">
        <v>15</v>
      </c>
      <c r="AO441" s="2">
        <f>I441*0.408350985739028</f>
        <v>0</v>
      </c>
      <c r="AP441" s="2">
        <f>I441*(1-0.408350985739028)</f>
        <v>0</v>
      </c>
      <c r="AQ441" s="43" t="s">
        <v>1215</v>
      </c>
      <c r="AV441" s="2">
        <f>AW441+AX441</f>
        <v>0</v>
      </c>
      <c r="AW441" s="2">
        <f>H441*AO441</f>
        <v>0</v>
      </c>
      <c r="AX441" s="2">
        <f>H441*AP441</f>
        <v>0</v>
      </c>
      <c r="AY441" s="43" t="s">
        <v>567</v>
      </c>
      <c r="AZ441" s="43" t="s">
        <v>864</v>
      </c>
      <c r="BA441" s="19" t="s">
        <v>1155</v>
      </c>
      <c r="BC441" s="2">
        <f>AW441+AX441</f>
        <v>0</v>
      </c>
      <c r="BD441" s="2">
        <f>I441/(100-BE441)*100</f>
        <v>0</v>
      </c>
      <c r="BE441" s="2">
        <v>0</v>
      </c>
      <c r="BF441" s="2">
        <f>441</f>
        <v>441</v>
      </c>
      <c r="BH441" s="2">
        <f>H441*AO441</f>
        <v>0</v>
      </c>
      <c r="BI441" s="2">
        <f>H441*AP441</f>
        <v>0</v>
      </c>
      <c r="BJ441" s="2">
        <f>H441*I441</f>
        <v>0</v>
      </c>
      <c r="BK441" s="2"/>
      <c r="BL441" s="2">
        <v>781</v>
      </c>
    </row>
    <row r="442" spans="1:13" ht="13.5" customHeight="1">
      <c r="A442" s="51"/>
      <c r="B442" s="32" t="s">
        <v>639</v>
      </c>
      <c r="C442" s="75" t="s">
        <v>532</v>
      </c>
      <c r="D442" s="76"/>
      <c r="E442" s="76"/>
      <c r="F442" s="76"/>
      <c r="G442" s="76"/>
      <c r="H442" s="76"/>
      <c r="I442" s="76"/>
      <c r="J442" s="76"/>
      <c r="K442" s="76"/>
      <c r="L442" s="76"/>
      <c r="M442" s="77"/>
    </row>
    <row r="443" spans="1:64" ht="15" customHeight="1">
      <c r="A443" s="15" t="s">
        <v>579</v>
      </c>
      <c r="B443" s="14" t="s">
        <v>1076</v>
      </c>
      <c r="C443" s="58" t="s">
        <v>330</v>
      </c>
      <c r="D443" s="58"/>
      <c r="E443" s="58"/>
      <c r="F443" s="58"/>
      <c r="G443" s="14" t="s">
        <v>319</v>
      </c>
      <c r="H443" s="2">
        <v>33</v>
      </c>
      <c r="I443" s="2">
        <v>0</v>
      </c>
      <c r="J443" s="2">
        <f>H443*AO443</f>
        <v>0</v>
      </c>
      <c r="K443" s="2">
        <f>H443*AP443</f>
        <v>0</v>
      </c>
      <c r="L443" s="2">
        <f>H443*I443</f>
        <v>0</v>
      </c>
      <c r="M443" s="7" t="s">
        <v>831</v>
      </c>
      <c r="Z443" s="2">
        <f>IF(AQ443="5",BJ443,0)</f>
        <v>0</v>
      </c>
      <c r="AB443" s="2">
        <f>IF(AQ443="1",BH443,0)</f>
        <v>0</v>
      </c>
      <c r="AC443" s="2">
        <f>IF(AQ443="1",BI443,0)</f>
        <v>0</v>
      </c>
      <c r="AD443" s="2">
        <f>IF(AQ443="7",BH443,0)</f>
        <v>0</v>
      </c>
      <c r="AE443" s="2">
        <f>IF(AQ443="7",BI443,0)</f>
        <v>0</v>
      </c>
      <c r="AF443" s="2">
        <f>IF(AQ443="2",BH443,0)</f>
        <v>0</v>
      </c>
      <c r="AG443" s="2">
        <f>IF(AQ443="2",BI443,0)</f>
        <v>0</v>
      </c>
      <c r="AH443" s="2">
        <f>IF(AQ443="0",BJ443,0)</f>
        <v>0</v>
      </c>
      <c r="AI443" s="19" t="s">
        <v>255</v>
      </c>
      <c r="AJ443" s="2">
        <f>IF(AN443=0,L443,0)</f>
        <v>0</v>
      </c>
      <c r="AK443" s="2">
        <f>IF(AN443=15,L443,0)</f>
        <v>0</v>
      </c>
      <c r="AL443" s="2">
        <f>IF(AN443=21,L443,0)</f>
        <v>0</v>
      </c>
      <c r="AN443" s="2">
        <v>15</v>
      </c>
      <c r="AO443" s="2">
        <f>I443*0.0599686028257457</f>
        <v>0</v>
      </c>
      <c r="AP443" s="2">
        <f>I443*(1-0.0599686028257457)</f>
        <v>0</v>
      </c>
      <c r="AQ443" s="43" t="s">
        <v>1215</v>
      </c>
      <c r="AV443" s="2">
        <f>AW443+AX443</f>
        <v>0</v>
      </c>
      <c r="AW443" s="2">
        <f>H443*AO443</f>
        <v>0</v>
      </c>
      <c r="AX443" s="2">
        <f>H443*AP443</f>
        <v>0</v>
      </c>
      <c r="AY443" s="43" t="s">
        <v>567</v>
      </c>
      <c r="AZ443" s="43" t="s">
        <v>864</v>
      </c>
      <c r="BA443" s="19" t="s">
        <v>1155</v>
      </c>
      <c r="BC443" s="2">
        <f>AW443+AX443</f>
        <v>0</v>
      </c>
      <c r="BD443" s="2">
        <f>I443/(100-BE443)*100</f>
        <v>0</v>
      </c>
      <c r="BE443" s="2">
        <v>0</v>
      </c>
      <c r="BF443" s="2">
        <f>443</f>
        <v>443</v>
      </c>
      <c r="BH443" s="2">
        <f>H443*AO443</f>
        <v>0</v>
      </c>
      <c r="BI443" s="2">
        <f>H443*AP443</f>
        <v>0</v>
      </c>
      <c r="BJ443" s="2">
        <f>H443*I443</f>
        <v>0</v>
      </c>
      <c r="BK443" s="2"/>
      <c r="BL443" s="2">
        <v>781</v>
      </c>
    </row>
    <row r="444" spans="1:64" ht="15" customHeight="1">
      <c r="A444" s="15" t="s">
        <v>25</v>
      </c>
      <c r="B444" s="14" t="s">
        <v>1181</v>
      </c>
      <c r="C444" s="58" t="s">
        <v>290</v>
      </c>
      <c r="D444" s="58"/>
      <c r="E444" s="58"/>
      <c r="F444" s="58"/>
      <c r="G444" s="14" t="s">
        <v>1189</v>
      </c>
      <c r="H444" s="2">
        <v>118.013</v>
      </c>
      <c r="I444" s="2">
        <v>0</v>
      </c>
      <c r="J444" s="2">
        <f>H444*AO444</f>
        <v>0</v>
      </c>
      <c r="K444" s="2">
        <f>H444*AP444</f>
        <v>0</v>
      </c>
      <c r="L444" s="2">
        <f>H444*I444</f>
        <v>0</v>
      </c>
      <c r="M444" s="7" t="s">
        <v>831</v>
      </c>
      <c r="Z444" s="2">
        <f>IF(AQ444="5",BJ444,0)</f>
        <v>0</v>
      </c>
      <c r="AB444" s="2">
        <f>IF(AQ444="1",BH444,0)</f>
        <v>0</v>
      </c>
      <c r="AC444" s="2">
        <f>IF(AQ444="1",BI444,0)</f>
        <v>0</v>
      </c>
      <c r="AD444" s="2">
        <f>IF(AQ444="7",BH444,0)</f>
        <v>0</v>
      </c>
      <c r="AE444" s="2">
        <f>IF(AQ444="7",BI444,0)</f>
        <v>0</v>
      </c>
      <c r="AF444" s="2">
        <f>IF(AQ444="2",BH444,0)</f>
        <v>0</v>
      </c>
      <c r="AG444" s="2">
        <f>IF(AQ444="2",BI444,0)</f>
        <v>0</v>
      </c>
      <c r="AH444" s="2">
        <f>IF(AQ444="0",BJ444,0)</f>
        <v>0</v>
      </c>
      <c r="AI444" s="19" t="s">
        <v>255</v>
      </c>
      <c r="AJ444" s="2">
        <f>IF(AN444=0,L444,0)</f>
        <v>0</v>
      </c>
      <c r="AK444" s="2">
        <f>IF(AN444=15,L444,0)</f>
        <v>0</v>
      </c>
      <c r="AL444" s="2">
        <f>IF(AN444=21,L444,0)</f>
        <v>0</v>
      </c>
      <c r="AN444" s="2">
        <v>15</v>
      </c>
      <c r="AO444" s="2">
        <f>I444*0.158201429094949</f>
        <v>0</v>
      </c>
      <c r="AP444" s="2">
        <f>I444*(1-0.158201429094949)</f>
        <v>0</v>
      </c>
      <c r="AQ444" s="43" t="s">
        <v>1215</v>
      </c>
      <c r="AV444" s="2">
        <f>AW444+AX444</f>
        <v>0</v>
      </c>
      <c r="AW444" s="2">
        <f>H444*AO444</f>
        <v>0</v>
      </c>
      <c r="AX444" s="2">
        <f>H444*AP444</f>
        <v>0</v>
      </c>
      <c r="AY444" s="43" t="s">
        <v>567</v>
      </c>
      <c r="AZ444" s="43" t="s">
        <v>864</v>
      </c>
      <c r="BA444" s="19" t="s">
        <v>1155</v>
      </c>
      <c r="BC444" s="2">
        <f>AW444+AX444</f>
        <v>0</v>
      </c>
      <c r="BD444" s="2">
        <f>I444/(100-BE444)*100</f>
        <v>0</v>
      </c>
      <c r="BE444" s="2">
        <v>0</v>
      </c>
      <c r="BF444" s="2">
        <f>444</f>
        <v>444</v>
      </c>
      <c r="BH444" s="2">
        <f>H444*AO444</f>
        <v>0</v>
      </c>
      <c r="BI444" s="2">
        <f>H444*AP444</f>
        <v>0</v>
      </c>
      <c r="BJ444" s="2">
        <f>H444*I444</f>
        <v>0</v>
      </c>
      <c r="BK444" s="2"/>
      <c r="BL444" s="2">
        <v>781</v>
      </c>
    </row>
    <row r="445" spans="1:64" ht="15" customHeight="1">
      <c r="A445" s="15" t="s">
        <v>718</v>
      </c>
      <c r="B445" s="14" t="s">
        <v>306</v>
      </c>
      <c r="C445" s="58" t="s">
        <v>1086</v>
      </c>
      <c r="D445" s="58"/>
      <c r="E445" s="58"/>
      <c r="F445" s="58"/>
      <c r="G445" s="14" t="s">
        <v>1189</v>
      </c>
      <c r="H445" s="2">
        <v>129.814</v>
      </c>
      <c r="I445" s="2">
        <v>0</v>
      </c>
      <c r="J445" s="2">
        <f>H445*AO445</f>
        <v>0</v>
      </c>
      <c r="K445" s="2">
        <f>H445*AP445</f>
        <v>0</v>
      </c>
      <c r="L445" s="2">
        <f>H445*I445</f>
        <v>0</v>
      </c>
      <c r="M445" s="7" t="s">
        <v>831</v>
      </c>
      <c r="Z445" s="2">
        <f>IF(AQ445="5",BJ445,0)</f>
        <v>0</v>
      </c>
      <c r="AB445" s="2">
        <f>IF(AQ445="1",BH445,0)</f>
        <v>0</v>
      </c>
      <c r="AC445" s="2">
        <f>IF(AQ445="1",BI445,0)</f>
        <v>0</v>
      </c>
      <c r="AD445" s="2">
        <f>IF(AQ445="7",BH445,0)</f>
        <v>0</v>
      </c>
      <c r="AE445" s="2">
        <f>IF(AQ445="7",BI445,0)</f>
        <v>0</v>
      </c>
      <c r="AF445" s="2">
        <f>IF(AQ445="2",BH445,0)</f>
        <v>0</v>
      </c>
      <c r="AG445" s="2">
        <f>IF(AQ445="2",BI445,0)</f>
        <v>0</v>
      </c>
      <c r="AH445" s="2">
        <f>IF(AQ445="0",BJ445,0)</f>
        <v>0</v>
      </c>
      <c r="AI445" s="19" t="s">
        <v>255</v>
      </c>
      <c r="AJ445" s="2">
        <f>IF(AN445=0,L445,0)</f>
        <v>0</v>
      </c>
      <c r="AK445" s="2">
        <f>IF(AN445=15,L445,0)</f>
        <v>0</v>
      </c>
      <c r="AL445" s="2">
        <f>IF(AN445=21,L445,0)</f>
        <v>0</v>
      </c>
      <c r="AN445" s="2">
        <v>15</v>
      </c>
      <c r="AO445" s="2">
        <f>I445*1</f>
        <v>0</v>
      </c>
      <c r="AP445" s="2">
        <f>I445*(1-1)</f>
        <v>0</v>
      </c>
      <c r="AQ445" s="43" t="s">
        <v>1215</v>
      </c>
      <c r="AV445" s="2">
        <f>AW445+AX445</f>
        <v>0</v>
      </c>
      <c r="AW445" s="2">
        <f>H445*AO445</f>
        <v>0</v>
      </c>
      <c r="AX445" s="2">
        <f>H445*AP445</f>
        <v>0</v>
      </c>
      <c r="AY445" s="43" t="s">
        <v>567</v>
      </c>
      <c r="AZ445" s="43" t="s">
        <v>864</v>
      </c>
      <c r="BA445" s="19" t="s">
        <v>1155</v>
      </c>
      <c r="BC445" s="2">
        <f>AW445+AX445</f>
        <v>0</v>
      </c>
      <c r="BD445" s="2">
        <f>I445/(100-BE445)*100</f>
        <v>0</v>
      </c>
      <c r="BE445" s="2">
        <v>0</v>
      </c>
      <c r="BF445" s="2">
        <f>445</f>
        <v>445</v>
      </c>
      <c r="BH445" s="2">
        <f>H445*AO445</f>
        <v>0</v>
      </c>
      <c r="BI445" s="2">
        <f>H445*AP445</f>
        <v>0</v>
      </c>
      <c r="BJ445" s="2">
        <f>H445*I445</f>
        <v>0</v>
      </c>
      <c r="BK445" s="2"/>
      <c r="BL445" s="2">
        <v>781</v>
      </c>
    </row>
    <row r="446" spans="1:64" ht="15" customHeight="1">
      <c r="A446" s="15" t="s">
        <v>1095</v>
      </c>
      <c r="B446" s="14" t="s">
        <v>1183</v>
      </c>
      <c r="C446" s="58" t="s">
        <v>733</v>
      </c>
      <c r="D446" s="58"/>
      <c r="E446" s="58"/>
      <c r="F446" s="58"/>
      <c r="G446" s="14" t="s">
        <v>1189</v>
      </c>
      <c r="H446" s="2">
        <v>118.013</v>
      </c>
      <c r="I446" s="2">
        <v>0</v>
      </c>
      <c r="J446" s="2">
        <f>H446*AO446</f>
        <v>0</v>
      </c>
      <c r="K446" s="2">
        <f>H446*AP446</f>
        <v>0</v>
      </c>
      <c r="L446" s="2">
        <f>H446*I446</f>
        <v>0</v>
      </c>
      <c r="M446" s="7" t="s">
        <v>831</v>
      </c>
      <c r="Z446" s="2">
        <f>IF(AQ446="5",BJ446,0)</f>
        <v>0</v>
      </c>
      <c r="AB446" s="2">
        <f>IF(AQ446="1",BH446,0)</f>
        <v>0</v>
      </c>
      <c r="AC446" s="2">
        <f>IF(AQ446="1",BI446,0)</f>
        <v>0</v>
      </c>
      <c r="AD446" s="2">
        <f>IF(AQ446="7",BH446,0)</f>
        <v>0</v>
      </c>
      <c r="AE446" s="2">
        <f>IF(AQ446="7",BI446,0)</f>
        <v>0</v>
      </c>
      <c r="AF446" s="2">
        <f>IF(AQ446="2",BH446,0)</f>
        <v>0</v>
      </c>
      <c r="AG446" s="2">
        <f>IF(AQ446="2",BI446,0)</f>
        <v>0</v>
      </c>
      <c r="AH446" s="2">
        <f>IF(AQ446="0",BJ446,0)</f>
        <v>0</v>
      </c>
      <c r="AI446" s="19" t="s">
        <v>255</v>
      </c>
      <c r="AJ446" s="2">
        <f>IF(AN446=0,L446,0)</f>
        <v>0</v>
      </c>
      <c r="AK446" s="2">
        <f>IF(AN446=15,L446,0)</f>
        <v>0</v>
      </c>
      <c r="AL446" s="2">
        <f>IF(AN446=21,L446,0)</f>
        <v>0</v>
      </c>
      <c r="AN446" s="2">
        <v>15</v>
      </c>
      <c r="AO446" s="2">
        <f>I446*0.999994869725617</f>
        <v>0</v>
      </c>
      <c r="AP446" s="2">
        <f>I446*(1-0.999994869725617)</f>
        <v>0</v>
      </c>
      <c r="AQ446" s="43" t="s">
        <v>1215</v>
      </c>
      <c r="AV446" s="2">
        <f>AW446+AX446</f>
        <v>0</v>
      </c>
      <c r="AW446" s="2">
        <f>H446*AO446</f>
        <v>0</v>
      </c>
      <c r="AX446" s="2">
        <f>H446*AP446</f>
        <v>0</v>
      </c>
      <c r="AY446" s="43" t="s">
        <v>567</v>
      </c>
      <c r="AZ446" s="43" t="s">
        <v>864</v>
      </c>
      <c r="BA446" s="19" t="s">
        <v>1155</v>
      </c>
      <c r="BC446" s="2">
        <f>AW446+AX446</f>
        <v>0</v>
      </c>
      <c r="BD446" s="2">
        <f>I446/(100-BE446)*100</f>
        <v>0</v>
      </c>
      <c r="BE446" s="2">
        <v>0</v>
      </c>
      <c r="BF446" s="2">
        <f>446</f>
        <v>446</v>
      </c>
      <c r="BH446" s="2">
        <f>H446*AO446</f>
        <v>0</v>
      </c>
      <c r="BI446" s="2">
        <f>H446*AP446</f>
        <v>0</v>
      </c>
      <c r="BJ446" s="2">
        <f>H446*I446</f>
        <v>0</v>
      </c>
      <c r="BK446" s="2"/>
      <c r="BL446" s="2">
        <v>781</v>
      </c>
    </row>
    <row r="447" spans="1:13" ht="13.5" customHeight="1">
      <c r="A447" s="51"/>
      <c r="B447" s="32" t="s">
        <v>639</v>
      </c>
      <c r="C447" s="75" t="s">
        <v>98</v>
      </c>
      <c r="D447" s="76"/>
      <c r="E447" s="76"/>
      <c r="F447" s="76"/>
      <c r="G447" s="76"/>
      <c r="H447" s="76"/>
      <c r="I447" s="76"/>
      <c r="J447" s="76"/>
      <c r="K447" s="76"/>
      <c r="L447" s="76"/>
      <c r="M447" s="77"/>
    </row>
    <row r="448" spans="1:64" ht="15" customHeight="1">
      <c r="A448" s="15" t="s">
        <v>645</v>
      </c>
      <c r="B448" s="14" t="s">
        <v>267</v>
      </c>
      <c r="C448" s="58" t="s">
        <v>1072</v>
      </c>
      <c r="D448" s="58"/>
      <c r="E448" s="58"/>
      <c r="F448" s="58"/>
      <c r="G448" s="14" t="s">
        <v>1189</v>
      </c>
      <c r="H448" s="2">
        <v>6.24</v>
      </c>
      <c r="I448" s="2">
        <v>0</v>
      </c>
      <c r="J448" s="2">
        <f>H448*AO448</f>
        <v>0</v>
      </c>
      <c r="K448" s="2">
        <f>H448*AP448</f>
        <v>0</v>
      </c>
      <c r="L448" s="2">
        <f>H448*I448</f>
        <v>0</v>
      </c>
      <c r="M448" s="7" t="s">
        <v>831</v>
      </c>
      <c r="Z448" s="2">
        <f>IF(AQ448="5",BJ448,0)</f>
        <v>0</v>
      </c>
      <c r="AB448" s="2">
        <f>IF(AQ448="1",BH448,0)</f>
        <v>0</v>
      </c>
      <c r="AC448" s="2">
        <f>IF(AQ448="1",BI448,0)</f>
        <v>0</v>
      </c>
      <c r="AD448" s="2">
        <f>IF(AQ448="7",BH448,0)</f>
        <v>0</v>
      </c>
      <c r="AE448" s="2">
        <f>IF(AQ448="7",BI448,0)</f>
        <v>0</v>
      </c>
      <c r="AF448" s="2">
        <f>IF(AQ448="2",BH448,0)</f>
        <v>0</v>
      </c>
      <c r="AG448" s="2">
        <f>IF(AQ448="2",BI448,0)</f>
        <v>0</v>
      </c>
      <c r="AH448" s="2">
        <f>IF(AQ448="0",BJ448,0)</f>
        <v>0</v>
      </c>
      <c r="AI448" s="19" t="s">
        <v>255</v>
      </c>
      <c r="AJ448" s="2">
        <f>IF(AN448=0,L448,0)</f>
        <v>0</v>
      </c>
      <c r="AK448" s="2">
        <f>IF(AN448=15,L448,0)</f>
        <v>0</v>
      </c>
      <c r="AL448" s="2">
        <f>IF(AN448=21,L448,0)</f>
        <v>0</v>
      </c>
      <c r="AN448" s="2">
        <v>15</v>
      </c>
      <c r="AO448" s="2">
        <f>I448*0</f>
        <v>0</v>
      </c>
      <c r="AP448" s="2">
        <f>I448*(1-0)</f>
        <v>0</v>
      </c>
      <c r="AQ448" s="43" t="s">
        <v>1215</v>
      </c>
      <c r="AV448" s="2">
        <f>AW448+AX448</f>
        <v>0</v>
      </c>
      <c r="AW448" s="2">
        <f>H448*AO448</f>
        <v>0</v>
      </c>
      <c r="AX448" s="2">
        <f>H448*AP448</f>
        <v>0</v>
      </c>
      <c r="AY448" s="43" t="s">
        <v>567</v>
      </c>
      <c r="AZ448" s="43" t="s">
        <v>864</v>
      </c>
      <c r="BA448" s="19" t="s">
        <v>1155</v>
      </c>
      <c r="BC448" s="2">
        <f>AW448+AX448</f>
        <v>0</v>
      </c>
      <c r="BD448" s="2">
        <f>I448/(100-BE448)*100</f>
        <v>0</v>
      </c>
      <c r="BE448" s="2">
        <v>0</v>
      </c>
      <c r="BF448" s="2">
        <f>448</f>
        <v>448</v>
      </c>
      <c r="BH448" s="2">
        <f>H448*AO448</f>
        <v>0</v>
      </c>
      <c r="BI448" s="2">
        <f>H448*AP448</f>
        <v>0</v>
      </c>
      <c r="BJ448" s="2">
        <f>H448*I448</f>
        <v>0</v>
      </c>
      <c r="BK448" s="2"/>
      <c r="BL448" s="2">
        <v>781</v>
      </c>
    </row>
    <row r="449" spans="1:64" ht="15" customHeight="1">
      <c r="A449" s="15" t="s">
        <v>1080</v>
      </c>
      <c r="B449" s="14" t="s">
        <v>233</v>
      </c>
      <c r="C449" s="58" t="s">
        <v>616</v>
      </c>
      <c r="D449" s="58"/>
      <c r="E449" s="58"/>
      <c r="F449" s="58"/>
      <c r="G449" s="14" t="s">
        <v>999</v>
      </c>
      <c r="H449" s="2">
        <v>53.119</v>
      </c>
      <c r="I449" s="2">
        <v>0</v>
      </c>
      <c r="J449" s="2">
        <f>H449*AO449</f>
        <v>0</v>
      </c>
      <c r="K449" s="2">
        <f>H449*AP449</f>
        <v>0</v>
      </c>
      <c r="L449" s="2">
        <f>H449*I449</f>
        <v>0</v>
      </c>
      <c r="M449" s="7" t="s">
        <v>831</v>
      </c>
      <c r="Z449" s="2">
        <f>IF(AQ449="5",BJ449,0)</f>
        <v>0</v>
      </c>
      <c r="AB449" s="2">
        <f>IF(AQ449="1",BH449,0)</f>
        <v>0</v>
      </c>
      <c r="AC449" s="2">
        <f>IF(AQ449="1",BI449,0)</f>
        <v>0</v>
      </c>
      <c r="AD449" s="2">
        <f>IF(AQ449="7",BH449,0)</f>
        <v>0</v>
      </c>
      <c r="AE449" s="2">
        <f>IF(AQ449="7",BI449,0)</f>
        <v>0</v>
      </c>
      <c r="AF449" s="2">
        <f>IF(AQ449="2",BH449,0)</f>
        <v>0</v>
      </c>
      <c r="AG449" s="2">
        <f>IF(AQ449="2",BI449,0)</f>
        <v>0</v>
      </c>
      <c r="AH449" s="2">
        <f>IF(AQ449="0",BJ449,0)</f>
        <v>0</v>
      </c>
      <c r="AI449" s="19" t="s">
        <v>255</v>
      </c>
      <c r="AJ449" s="2">
        <f>IF(AN449=0,L449,0)</f>
        <v>0</v>
      </c>
      <c r="AK449" s="2">
        <f>IF(AN449=15,L449,0)</f>
        <v>0</v>
      </c>
      <c r="AL449" s="2">
        <f>IF(AN449=21,L449,0)</f>
        <v>0</v>
      </c>
      <c r="AN449" s="2">
        <v>15</v>
      </c>
      <c r="AO449" s="2">
        <f>I449*0.793615970545199</f>
        <v>0</v>
      </c>
      <c r="AP449" s="2">
        <f>I449*(1-0.793615970545199)</f>
        <v>0</v>
      </c>
      <c r="AQ449" s="43" t="s">
        <v>1215</v>
      </c>
      <c r="AV449" s="2">
        <f>AW449+AX449</f>
        <v>0</v>
      </c>
      <c r="AW449" s="2">
        <f>H449*AO449</f>
        <v>0</v>
      </c>
      <c r="AX449" s="2">
        <f>H449*AP449</f>
        <v>0</v>
      </c>
      <c r="AY449" s="43" t="s">
        <v>567</v>
      </c>
      <c r="AZ449" s="43" t="s">
        <v>864</v>
      </c>
      <c r="BA449" s="19" t="s">
        <v>1155</v>
      </c>
      <c r="BC449" s="2">
        <f>AW449+AX449</f>
        <v>0</v>
      </c>
      <c r="BD449" s="2">
        <f>I449/(100-BE449)*100</f>
        <v>0</v>
      </c>
      <c r="BE449" s="2">
        <v>0</v>
      </c>
      <c r="BF449" s="2">
        <f>449</f>
        <v>449</v>
      </c>
      <c r="BH449" s="2">
        <f>H449*AO449</f>
        <v>0</v>
      </c>
      <c r="BI449" s="2">
        <f>H449*AP449</f>
        <v>0</v>
      </c>
      <c r="BJ449" s="2">
        <f>H449*I449</f>
        <v>0</v>
      </c>
      <c r="BK449" s="2"/>
      <c r="BL449" s="2">
        <v>781</v>
      </c>
    </row>
    <row r="450" spans="1:13" ht="13.5" customHeight="1">
      <c r="A450" s="51"/>
      <c r="B450" s="32" t="s">
        <v>639</v>
      </c>
      <c r="C450" s="75" t="s">
        <v>64</v>
      </c>
      <c r="D450" s="76"/>
      <c r="E450" s="76"/>
      <c r="F450" s="76"/>
      <c r="G450" s="76"/>
      <c r="H450" s="76"/>
      <c r="I450" s="76"/>
      <c r="J450" s="76"/>
      <c r="K450" s="76"/>
      <c r="L450" s="76"/>
      <c r="M450" s="77"/>
    </row>
    <row r="451" spans="1:64" ht="15" customHeight="1">
      <c r="A451" s="15" t="s">
        <v>1275</v>
      </c>
      <c r="B451" s="14" t="s">
        <v>493</v>
      </c>
      <c r="C451" s="58" t="s">
        <v>1137</v>
      </c>
      <c r="D451" s="58"/>
      <c r="E451" s="58"/>
      <c r="F451" s="58"/>
      <c r="G451" s="14" t="s">
        <v>1189</v>
      </c>
      <c r="H451" s="2">
        <v>20.991</v>
      </c>
      <c r="I451" s="2">
        <v>0</v>
      </c>
      <c r="J451" s="2">
        <f>H451*AO451</f>
        <v>0</v>
      </c>
      <c r="K451" s="2">
        <f>H451*AP451</f>
        <v>0</v>
      </c>
      <c r="L451" s="2">
        <f>H451*I451</f>
        <v>0</v>
      </c>
      <c r="M451" s="7" t="s">
        <v>831</v>
      </c>
      <c r="Z451" s="2">
        <f>IF(AQ451="5",BJ451,0)</f>
        <v>0</v>
      </c>
      <c r="AB451" s="2">
        <f>IF(AQ451="1",BH451,0)</f>
        <v>0</v>
      </c>
      <c r="AC451" s="2">
        <f>IF(AQ451="1",BI451,0)</f>
        <v>0</v>
      </c>
      <c r="AD451" s="2">
        <f>IF(AQ451="7",BH451,0)</f>
        <v>0</v>
      </c>
      <c r="AE451" s="2">
        <f>IF(AQ451="7",BI451,0)</f>
        <v>0</v>
      </c>
      <c r="AF451" s="2">
        <f>IF(AQ451="2",BH451,0)</f>
        <v>0</v>
      </c>
      <c r="AG451" s="2">
        <f>IF(AQ451="2",BI451,0)</f>
        <v>0</v>
      </c>
      <c r="AH451" s="2">
        <f>IF(AQ451="0",BJ451,0)</f>
        <v>0</v>
      </c>
      <c r="AI451" s="19" t="s">
        <v>255</v>
      </c>
      <c r="AJ451" s="2">
        <f>IF(AN451=0,L451,0)</f>
        <v>0</v>
      </c>
      <c r="AK451" s="2">
        <f>IF(AN451=15,L451,0)</f>
        <v>0</v>
      </c>
      <c r="AL451" s="2">
        <f>IF(AN451=21,L451,0)</f>
        <v>0</v>
      </c>
      <c r="AN451" s="2">
        <v>15</v>
      </c>
      <c r="AO451" s="2">
        <f>I451*0.232176031064517</f>
        <v>0</v>
      </c>
      <c r="AP451" s="2">
        <f>I451*(1-0.232176031064517)</f>
        <v>0</v>
      </c>
      <c r="AQ451" s="43" t="s">
        <v>1215</v>
      </c>
      <c r="AV451" s="2">
        <f>AW451+AX451</f>
        <v>0</v>
      </c>
      <c r="AW451" s="2">
        <f>H451*AO451</f>
        <v>0</v>
      </c>
      <c r="AX451" s="2">
        <f>H451*AP451</f>
        <v>0</v>
      </c>
      <c r="AY451" s="43" t="s">
        <v>567</v>
      </c>
      <c r="AZ451" s="43" t="s">
        <v>864</v>
      </c>
      <c r="BA451" s="19" t="s">
        <v>1155</v>
      </c>
      <c r="BC451" s="2">
        <f>AW451+AX451</f>
        <v>0</v>
      </c>
      <c r="BD451" s="2">
        <f>I451/(100-BE451)*100</f>
        <v>0</v>
      </c>
      <c r="BE451" s="2">
        <v>0</v>
      </c>
      <c r="BF451" s="2">
        <f>451</f>
        <v>451</v>
      </c>
      <c r="BH451" s="2">
        <f>H451*AO451</f>
        <v>0</v>
      </c>
      <c r="BI451" s="2">
        <f>H451*AP451</f>
        <v>0</v>
      </c>
      <c r="BJ451" s="2">
        <f>H451*I451</f>
        <v>0</v>
      </c>
      <c r="BK451" s="2"/>
      <c r="BL451" s="2">
        <v>781</v>
      </c>
    </row>
    <row r="452" spans="1:13" ht="13.5" customHeight="1">
      <c r="A452" s="51"/>
      <c r="B452" s="32" t="s">
        <v>639</v>
      </c>
      <c r="C452" s="75" t="s">
        <v>883</v>
      </c>
      <c r="D452" s="76"/>
      <c r="E452" s="76"/>
      <c r="F452" s="76"/>
      <c r="G452" s="76"/>
      <c r="H452" s="76"/>
      <c r="I452" s="76"/>
      <c r="J452" s="76"/>
      <c r="K452" s="76"/>
      <c r="L452" s="76"/>
      <c r="M452" s="77"/>
    </row>
    <row r="453" spans="1:64" ht="15" customHeight="1">
      <c r="A453" s="15" t="s">
        <v>393</v>
      </c>
      <c r="B453" s="14" t="s">
        <v>490</v>
      </c>
      <c r="C453" s="58" t="s">
        <v>208</v>
      </c>
      <c r="D453" s="58"/>
      <c r="E453" s="58"/>
      <c r="F453" s="58"/>
      <c r="G453" s="14" t="s">
        <v>319</v>
      </c>
      <c r="H453" s="2">
        <v>1230</v>
      </c>
      <c r="I453" s="2">
        <v>0</v>
      </c>
      <c r="J453" s="2">
        <f>H453*AO453</f>
        <v>0</v>
      </c>
      <c r="K453" s="2">
        <f>H453*AP453</f>
        <v>0</v>
      </c>
      <c r="L453" s="2">
        <f>H453*I453</f>
        <v>0</v>
      </c>
      <c r="M453" s="7" t="s">
        <v>831</v>
      </c>
      <c r="Z453" s="2">
        <f>IF(AQ453="5",BJ453,0)</f>
        <v>0</v>
      </c>
      <c r="AB453" s="2">
        <f>IF(AQ453="1",BH453,0)</f>
        <v>0</v>
      </c>
      <c r="AC453" s="2">
        <f>IF(AQ453="1",BI453,0)</f>
        <v>0</v>
      </c>
      <c r="AD453" s="2">
        <f>IF(AQ453="7",BH453,0)</f>
        <v>0</v>
      </c>
      <c r="AE453" s="2">
        <f>IF(AQ453="7",BI453,0)</f>
        <v>0</v>
      </c>
      <c r="AF453" s="2">
        <f>IF(AQ453="2",BH453,0)</f>
        <v>0</v>
      </c>
      <c r="AG453" s="2">
        <f>IF(AQ453="2",BI453,0)</f>
        <v>0</v>
      </c>
      <c r="AH453" s="2">
        <f>IF(AQ453="0",BJ453,0)</f>
        <v>0</v>
      </c>
      <c r="AI453" s="19" t="s">
        <v>255</v>
      </c>
      <c r="AJ453" s="2">
        <f>IF(AN453=0,L453,0)</f>
        <v>0</v>
      </c>
      <c r="AK453" s="2">
        <f>IF(AN453=15,L453,0)</f>
        <v>0</v>
      </c>
      <c r="AL453" s="2">
        <f>IF(AN453=21,L453,0)</f>
        <v>0</v>
      </c>
      <c r="AN453" s="2">
        <v>15</v>
      </c>
      <c r="AO453" s="2">
        <f>I453*1</f>
        <v>0</v>
      </c>
      <c r="AP453" s="2">
        <f>I453*(1-1)</f>
        <v>0</v>
      </c>
      <c r="AQ453" s="43" t="s">
        <v>1215</v>
      </c>
      <c r="AV453" s="2">
        <f>AW453+AX453</f>
        <v>0</v>
      </c>
      <c r="AW453" s="2">
        <f>H453*AO453</f>
        <v>0</v>
      </c>
      <c r="AX453" s="2">
        <f>H453*AP453</f>
        <v>0</v>
      </c>
      <c r="AY453" s="43" t="s">
        <v>567</v>
      </c>
      <c r="AZ453" s="43" t="s">
        <v>864</v>
      </c>
      <c r="BA453" s="19" t="s">
        <v>1155</v>
      </c>
      <c r="BC453" s="2">
        <f>AW453+AX453</f>
        <v>0</v>
      </c>
      <c r="BD453" s="2">
        <f>I453/(100-BE453)*100</f>
        <v>0</v>
      </c>
      <c r="BE453" s="2">
        <v>0</v>
      </c>
      <c r="BF453" s="2">
        <f>453</f>
        <v>453</v>
      </c>
      <c r="BH453" s="2">
        <f>H453*AO453</f>
        <v>0</v>
      </c>
      <c r="BI453" s="2">
        <f>H453*AP453</f>
        <v>0</v>
      </c>
      <c r="BJ453" s="2">
        <f>H453*I453</f>
        <v>0</v>
      </c>
      <c r="BK453" s="2"/>
      <c r="BL453" s="2">
        <v>781</v>
      </c>
    </row>
    <row r="454" spans="1:64" ht="15" customHeight="1">
      <c r="A454" s="15" t="s">
        <v>813</v>
      </c>
      <c r="B454" s="14" t="s">
        <v>820</v>
      </c>
      <c r="C454" s="58" t="s">
        <v>101</v>
      </c>
      <c r="D454" s="58"/>
      <c r="E454" s="58"/>
      <c r="F454" s="58"/>
      <c r="G454" s="14" t="s">
        <v>584</v>
      </c>
      <c r="H454" s="2">
        <v>3.373</v>
      </c>
      <c r="I454" s="2">
        <v>0</v>
      </c>
      <c r="J454" s="2">
        <f>H454*AO454</f>
        <v>0</v>
      </c>
      <c r="K454" s="2">
        <f>H454*AP454</f>
        <v>0</v>
      </c>
      <c r="L454" s="2">
        <f>H454*I454</f>
        <v>0</v>
      </c>
      <c r="M454" s="7" t="s">
        <v>831</v>
      </c>
      <c r="Z454" s="2">
        <f>IF(AQ454="5",BJ454,0)</f>
        <v>0</v>
      </c>
      <c r="AB454" s="2">
        <f>IF(AQ454="1",BH454,0)</f>
        <v>0</v>
      </c>
      <c r="AC454" s="2">
        <f>IF(AQ454="1",BI454,0)</f>
        <v>0</v>
      </c>
      <c r="AD454" s="2">
        <f>IF(AQ454="7",BH454,0)</f>
        <v>0</v>
      </c>
      <c r="AE454" s="2">
        <f>IF(AQ454="7",BI454,0)</f>
        <v>0</v>
      </c>
      <c r="AF454" s="2">
        <f>IF(AQ454="2",BH454,0)</f>
        <v>0</v>
      </c>
      <c r="AG454" s="2">
        <f>IF(AQ454="2",BI454,0)</f>
        <v>0</v>
      </c>
      <c r="AH454" s="2">
        <f>IF(AQ454="0",BJ454,0)</f>
        <v>0</v>
      </c>
      <c r="AI454" s="19" t="s">
        <v>255</v>
      </c>
      <c r="AJ454" s="2">
        <f>IF(AN454=0,L454,0)</f>
        <v>0</v>
      </c>
      <c r="AK454" s="2">
        <f>IF(AN454=15,L454,0)</f>
        <v>0</v>
      </c>
      <c r="AL454" s="2">
        <f>IF(AN454=21,L454,0)</f>
        <v>0</v>
      </c>
      <c r="AN454" s="2">
        <v>15</v>
      </c>
      <c r="AO454" s="2">
        <f>I454*0</f>
        <v>0</v>
      </c>
      <c r="AP454" s="2">
        <f>I454*(1-0)</f>
        <v>0</v>
      </c>
      <c r="AQ454" s="43" t="s">
        <v>655</v>
      </c>
      <c r="AV454" s="2">
        <f>AW454+AX454</f>
        <v>0</v>
      </c>
      <c r="AW454" s="2">
        <f>H454*AO454</f>
        <v>0</v>
      </c>
      <c r="AX454" s="2">
        <f>H454*AP454</f>
        <v>0</v>
      </c>
      <c r="AY454" s="43" t="s">
        <v>567</v>
      </c>
      <c r="AZ454" s="43" t="s">
        <v>864</v>
      </c>
      <c r="BA454" s="19" t="s">
        <v>1155</v>
      </c>
      <c r="BC454" s="2">
        <f>AW454+AX454</f>
        <v>0</v>
      </c>
      <c r="BD454" s="2">
        <f>I454/(100-BE454)*100</f>
        <v>0</v>
      </c>
      <c r="BE454" s="2">
        <v>0</v>
      </c>
      <c r="BF454" s="2">
        <f>454</f>
        <v>454</v>
      </c>
      <c r="BH454" s="2">
        <f>H454*AO454</f>
        <v>0</v>
      </c>
      <c r="BI454" s="2">
        <f>H454*AP454</f>
        <v>0</v>
      </c>
      <c r="BJ454" s="2">
        <f>H454*I454</f>
        <v>0</v>
      </c>
      <c r="BK454" s="2"/>
      <c r="BL454" s="2">
        <v>781</v>
      </c>
    </row>
    <row r="455" spans="1:47" ht="15" customHeight="1">
      <c r="A455" s="48" t="s">
        <v>844</v>
      </c>
      <c r="B455" s="17" t="s">
        <v>704</v>
      </c>
      <c r="C455" s="74" t="s">
        <v>961</v>
      </c>
      <c r="D455" s="74"/>
      <c r="E455" s="74"/>
      <c r="F455" s="74"/>
      <c r="G455" s="40" t="s">
        <v>1110</v>
      </c>
      <c r="H455" s="40" t="s">
        <v>1110</v>
      </c>
      <c r="I455" s="40" t="s">
        <v>1110</v>
      </c>
      <c r="J455" s="23">
        <f>SUM(J456:J458)</f>
        <v>0</v>
      </c>
      <c r="K455" s="23">
        <f>SUM(K456:K458)</f>
        <v>0</v>
      </c>
      <c r="L455" s="23">
        <f>SUM(L456:L458)</f>
        <v>0</v>
      </c>
      <c r="M455" s="37" t="s">
        <v>844</v>
      </c>
      <c r="AI455" s="19" t="s">
        <v>255</v>
      </c>
      <c r="AS455" s="23">
        <f>SUM(AJ456:AJ458)</f>
        <v>0</v>
      </c>
      <c r="AT455" s="23">
        <f>SUM(AK456:AK458)</f>
        <v>0</v>
      </c>
      <c r="AU455" s="23">
        <f>SUM(AL456:AL458)</f>
        <v>0</v>
      </c>
    </row>
    <row r="456" spans="1:64" ht="15" customHeight="1">
      <c r="A456" s="15" t="s">
        <v>196</v>
      </c>
      <c r="B456" s="14" t="s">
        <v>778</v>
      </c>
      <c r="C456" s="58" t="s">
        <v>88</v>
      </c>
      <c r="D456" s="58"/>
      <c r="E456" s="58"/>
      <c r="F456" s="58"/>
      <c r="G456" s="14" t="s">
        <v>1189</v>
      </c>
      <c r="H456" s="2">
        <v>19.71</v>
      </c>
      <c r="I456" s="2">
        <v>0</v>
      </c>
      <c r="J456" s="2">
        <f>H456*AO456</f>
        <v>0</v>
      </c>
      <c r="K456" s="2">
        <f>H456*AP456</f>
        <v>0</v>
      </c>
      <c r="L456" s="2">
        <f>H456*I456</f>
        <v>0</v>
      </c>
      <c r="M456" s="7" t="s">
        <v>831</v>
      </c>
      <c r="Z456" s="2">
        <f>IF(AQ456="5",BJ456,0)</f>
        <v>0</v>
      </c>
      <c r="AB456" s="2">
        <f>IF(AQ456="1",BH456,0)</f>
        <v>0</v>
      </c>
      <c r="AC456" s="2">
        <f>IF(AQ456="1",BI456,0)</f>
        <v>0</v>
      </c>
      <c r="AD456" s="2">
        <f>IF(AQ456="7",BH456,0)</f>
        <v>0</v>
      </c>
      <c r="AE456" s="2">
        <f>IF(AQ456="7",BI456,0)</f>
        <v>0</v>
      </c>
      <c r="AF456" s="2">
        <f>IF(AQ456="2",BH456,0)</f>
        <v>0</v>
      </c>
      <c r="AG456" s="2">
        <f>IF(AQ456="2",BI456,0)</f>
        <v>0</v>
      </c>
      <c r="AH456" s="2">
        <f>IF(AQ456="0",BJ456,0)</f>
        <v>0</v>
      </c>
      <c r="AI456" s="19" t="s">
        <v>255</v>
      </c>
      <c r="AJ456" s="2">
        <f>IF(AN456=0,L456,0)</f>
        <v>0</v>
      </c>
      <c r="AK456" s="2">
        <f>IF(AN456=15,L456,0)</f>
        <v>0</v>
      </c>
      <c r="AL456" s="2">
        <f>IF(AN456=21,L456,0)</f>
        <v>0</v>
      </c>
      <c r="AN456" s="2">
        <v>15</v>
      </c>
      <c r="AO456" s="2">
        <f>I456*0.155636817131038</f>
        <v>0</v>
      </c>
      <c r="AP456" s="2">
        <f>I456*(1-0.155636817131038)</f>
        <v>0</v>
      </c>
      <c r="AQ456" s="43" t="s">
        <v>1215</v>
      </c>
      <c r="AV456" s="2">
        <f>AW456+AX456</f>
        <v>0</v>
      </c>
      <c r="AW456" s="2">
        <f>H456*AO456</f>
        <v>0</v>
      </c>
      <c r="AX456" s="2">
        <f>H456*AP456</f>
        <v>0</v>
      </c>
      <c r="AY456" s="43" t="s">
        <v>301</v>
      </c>
      <c r="AZ456" s="43" t="s">
        <v>864</v>
      </c>
      <c r="BA456" s="19" t="s">
        <v>1155</v>
      </c>
      <c r="BC456" s="2">
        <f>AW456+AX456</f>
        <v>0</v>
      </c>
      <c r="BD456" s="2">
        <f>I456/(100-BE456)*100</f>
        <v>0</v>
      </c>
      <c r="BE456" s="2">
        <v>0</v>
      </c>
      <c r="BF456" s="2">
        <f>456</f>
        <v>456</v>
      </c>
      <c r="BH456" s="2">
        <f>H456*AO456</f>
        <v>0</v>
      </c>
      <c r="BI456" s="2">
        <f>H456*AP456</f>
        <v>0</v>
      </c>
      <c r="BJ456" s="2">
        <f>H456*I456</f>
        <v>0</v>
      </c>
      <c r="BK456" s="2"/>
      <c r="BL456" s="2">
        <v>783</v>
      </c>
    </row>
    <row r="457" spans="1:13" ht="13.5" customHeight="1">
      <c r="A457" s="51"/>
      <c r="B457" s="32" t="s">
        <v>639</v>
      </c>
      <c r="C457" s="75" t="s">
        <v>920</v>
      </c>
      <c r="D457" s="76"/>
      <c r="E457" s="76"/>
      <c r="F457" s="76"/>
      <c r="G457" s="76"/>
      <c r="H457" s="76"/>
      <c r="I457" s="76"/>
      <c r="J457" s="76"/>
      <c r="K457" s="76"/>
      <c r="L457" s="76"/>
      <c r="M457" s="77"/>
    </row>
    <row r="458" spans="1:64" ht="15" customHeight="1">
      <c r="A458" s="15" t="s">
        <v>338</v>
      </c>
      <c r="B458" s="14" t="s">
        <v>1221</v>
      </c>
      <c r="C458" s="58" t="s">
        <v>635</v>
      </c>
      <c r="D458" s="58"/>
      <c r="E458" s="58"/>
      <c r="F458" s="58"/>
      <c r="G458" s="14" t="s">
        <v>1189</v>
      </c>
      <c r="H458" s="2">
        <v>244</v>
      </c>
      <c r="I458" s="2">
        <v>0</v>
      </c>
      <c r="J458" s="2">
        <f>H458*AO458</f>
        <v>0</v>
      </c>
      <c r="K458" s="2">
        <f>H458*AP458</f>
        <v>0</v>
      </c>
      <c r="L458" s="2">
        <f>H458*I458</f>
        <v>0</v>
      </c>
      <c r="M458" s="7" t="s">
        <v>831</v>
      </c>
      <c r="Z458" s="2">
        <f>IF(AQ458="5",BJ458,0)</f>
        <v>0</v>
      </c>
      <c r="AB458" s="2">
        <f>IF(AQ458="1",BH458,0)</f>
        <v>0</v>
      </c>
      <c r="AC458" s="2">
        <f>IF(AQ458="1",BI458,0)</f>
        <v>0</v>
      </c>
      <c r="AD458" s="2">
        <f>IF(AQ458="7",BH458,0)</f>
        <v>0</v>
      </c>
      <c r="AE458" s="2">
        <f>IF(AQ458="7",BI458,0)</f>
        <v>0</v>
      </c>
      <c r="AF458" s="2">
        <f>IF(AQ458="2",BH458,0)</f>
        <v>0</v>
      </c>
      <c r="AG458" s="2">
        <f>IF(AQ458="2",BI458,0)</f>
        <v>0</v>
      </c>
      <c r="AH458" s="2">
        <f>IF(AQ458="0",BJ458,0)</f>
        <v>0</v>
      </c>
      <c r="AI458" s="19" t="s">
        <v>255</v>
      </c>
      <c r="AJ458" s="2">
        <f>IF(AN458=0,L458,0)</f>
        <v>0</v>
      </c>
      <c r="AK458" s="2">
        <f>IF(AN458=15,L458,0)</f>
        <v>0</v>
      </c>
      <c r="AL458" s="2">
        <f>IF(AN458=21,L458,0)</f>
        <v>0</v>
      </c>
      <c r="AN458" s="2">
        <v>15</v>
      </c>
      <c r="AO458" s="2">
        <f>I458*0.114970969182671</f>
        <v>0</v>
      </c>
      <c r="AP458" s="2">
        <f>I458*(1-0.114970969182671)</f>
        <v>0</v>
      </c>
      <c r="AQ458" s="43" t="s">
        <v>1215</v>
      </c>
      <c r="AV458" s="2">
        <f>AW458+AX458</f>
        <v>0</v>
      </c>
      <c r="AW458" s="2">
        <f>H458*AO458</f>
        <v>0</v>
      </c>
      <c r="AX458" s="2">
        <f>H458*AP458</f>
        <v>0</v>
      </c>
      <c r="AY458" s="43" t="s">
        <v>301</v>
      </c>
      <c r="AZ458" s="43" t="s">
        <v>864</v>
      </c>
      <c r="BA458" s="19" t="s">
        <v>1155</v>
      </c>
      <c r="BC458" s="2">
        <f>AW458+AX458</f>
        <v>0</v>
      </c>
      <c r="BD458" s="2">
        <f>I458/(100-BE458)*100</f>
        <v>0</v>
      </c>
      <c r="BE458" s="2">
        <v>0</v>
      </c>
      <c r="BF458" s="2">
        <f>458</f>
        <v>458</v>
      </c>
      <c r="BH458" s="2">
        <f>H458*AO458</f>
        <v>0</v>
      </c>
      <c r="BI458" s="2">
        <f>H458*AP458</f>
        <v>0</v>
      </c>
      <c r="BJ458" s="2">
        <f>H458*I458</f>
        <v>0</v>
      </c>
      <c r="BK458" s="2"/>
      <c r="BL458" s="2">
        <v>783</v>
      </c>
    </row>
    <row r="459" spans="1:13" ht="13.5" customHeight="1">
      <c r="A459" s="51"/>
      <c r="B459" s="32" t="s">
        <v>639</v>
      </c>
      <c r="C459" s="75" t="s">
        <v>415</v>
      </c>
      <c r="D459" s="76"/>
      <c r="E459" s="76"/>
      <c r="F459" s="76"/>
      <c r="G459" s="76"/>
      <c r="H459" s="76"/>
      <c r="I459" s="76"/>
      <c r="J459" s="76"/>
      <c r="K459" s="76"/>
      <c r="L459" s="76"/>
      <c r="M459" s="77"/>
    </row>
    <row r="460" spans="1:47" ht="15" customHeight="1">
      <c r="A460" s="48" t="s">
        <v>844</v>
      </c>
      <c r="B460" s="17" t="s">
        <v>680</v>
      </c>
      <c r="C460" s="74" t="s">
        <v>27</v>
      </c>
      <c r="D460" s="74"/>
      <c r="E460" s="74"/>
      <c r="F460" s="74"/>
      <c r="G460" s="40" t="s">
        <v>1110</v>
      </c>
      <c r="H460" s="40" t="s">
        <v>1110</v>
      </c>
      <c r="I460" s="40" t="s">
        <v>1110</v>
      </c>
      <c r="J460" s="23">
        <f>SUM(J461:J466)</f>
        <v>0</v>
      </c>
      <c r="K460" s="23">
        <f>SUM(K461:K466)</f>
        <v>0</v>
      </c>
      <c r="L460" s="23">
        <f>SUM(L461:L466)</f>
        <v>0</v>
      </c>
      <c r="M460" s="37" t="s">
        <v>844</v>
      </c>
      <c r="AI460" s="19" t="s">
        <v>255</v>
      </c>
      <c r="AS460" s="23">
        <f>SUM(AJ461:AJ466)</f>
        <v>0</v>
      </c>
      <c r="AT460" s="23">
        <f>SUM(AK461:AK466)</f>
        <v>0</v>
      </c>
      <c r="AU460" s="23">
        <f>SUM(AL461:AL466)</f>
        <v>0</v>
      </c>
    </row>
    <row r="461" spans="1:64" ht="15" customHeight="1">
      <c r="A461" s="15" t="s">
        <v>1365</v>
      </c>
      <c r="B461" s="14" t="s">
        <v>423</v>
      </c>
      <c r="C461" s="58" t="s">
        <v>1198</v>
      </c>
      <c r="D461" s="58"/>
      <c r="E461" s="58"/>
      <c r="F461" s="58"/>
      <c r="G461" s="14" t="s">
        <v>1189</v>
      </c>
      <c r="H461" s="2">
        <v>2009.887</v>
      </c>
      <c r="I461" s="2">
        <v>0</v>
      </c>
      <c r="J461" s="2">
        <f>H461*AO461</f>
        <v>0</v>
      </c>
      <c r="K461" s="2">
        <f>H461*AP461</f>
        <v>0</v>
      </c>
      <c r="L461" s="2">
        <f>H461*I461</f>
        <v>0</v>
      </c>
      <c r="M461" s="7" t="s">
        <v>831</v>
      </c>
      <c r="Z461" s="2">
        <f>IF(AQ461="5",BJ461,0)</f>
        <v>0</v>
      </c>
      <c r="AB461" s="2">
        <f>IF(AQ461="1",BH461,0)</f>
        <v>0</v>
      </c>
      <c r="AC461" s="2">
        <f>IF(AQ461="1",BI461,0)</f>
        <v>0</v>
      </c>
      <c r="AD461" s="2">
        <f>IF(AQ461="7",BH461,0)</f>
        <v>0</v>
      </c>
      <c r="AE461" s="2">
        <f>IF(AQ461="7",BI461,0)</f>
        <v>0</v>
      </c>
      <c r="AF461" s="2">
        <f>IF(AQ461="2",BH461,0)</f>
        <v>0</v>
      </c>
      <c r="AG461" s="2">
        <f>IF(AQ461="2",BI461,0)</f>
        <v>0</v>
      </c>
      <c r="AH461" s="2">
        <f>IF(AQ461="0",BJ461,0)</f>
        <v>0</v>
      </c>
      <c r="AI461" s="19" t="s">
        <v>255</v>
      </c>
      <c r="AJ461" s="2">
        <f>IF(AN461=0,L461,0)</f>
        <v>0</v>
      </c>
      <c r="AK461" s="2">
        <f>IF(AN461=15,L461,0)</f>
        <v>0</v>
      </c>
      <c r="AL461" s="2">
        <f>IF(AN461=21,L461,0)</f>
        <v>0</v>
      </c>
      <c r="AN461" s="2">
        <v>15</v>
      </c>
      <c r="AO461" s="2">
        <f>I461*0.240343178789846</f>
        <v>0</v>
      </c>
      <c r="AP461" s="2">
        <f>I461*(1-0.240343178789846)</f>
        <v>0</v>
      </c>
      <c r="AQ461" s="43" t="s">
        <v>1215</v>
      </c>
      <c r="AV461" s="2">
        <f>AW461+AX461</f>
        <v>0</v>
      </c>
      <c r="AW461" s="2">
        <f>H461*AO461</f>
        <v>0</v>
      </c>
      <c r="AX461" s="2">
        <f>H461*AP461</f>
        <v>0</v>
      </c>
      <c r="AY461" s="43" t="s">
        <v>1065</v>
      </c>
      <c r="AZ461" s="43" t="s">
        <v>864</v>
      </c>
      <c r="BA461" s="19" t="s">
        <v>1155</v>
      </c>
      <c r="BC461" s="2">
        <f>AW461+AX461</f>
        <v>0</v>
      </c>
      <c r="BD461" s="2">
        <f>I461/(100-BE461)*100</f>
        <v>0</v>
      </c>
      <c r="BE461" s="2">
        <v>0</v>
      </c>
      <c r="BF461" s="2">
        <f>461</f>
        <v>461</v>
      </c>
      <c r="BH461" s="2">
        <f>H461*AO461</f>
        <v>0</v>
      </c>
      <c r="BI461" s="2">
        <f>H461*AP461</f>
        <v>0</v>
      </c>
      <c r="BJ461" s="2">
        <f>H461*I461</f>
        <v>0</v>
      </c>
      <c r="BK461" s="2"/>
      <c r="BL461" s="2">
        <v>784</v>
      </c>
    </row>
    <row r="462" spans="1:64" ht="15" customHeight="1">
      <c r="A462" s="15" t="s">
        <v>1256</v>
      </c>
      <c r="B462" s="14" t="s">
        <v>1330</v>
      </c>
      <c r="C462" s="58" t="s">
        <v>730</v>
      </c>
      <c r="D462" s="58"/>
      <c r="E462" s="58"/>
      <c r="F462" s="58"/>
      <c r="G462" s="14" t="s">
        <v>1189</v>
      </c>
      <c r="H462" s="2">
        <v>173.82</v>
      </c>
      <c r="I462" s="2">
        <v>0</v>
      </c>
      <c r="J462" s="2">
        <f>H462*AO462</f>
        <v>0</v>
      </c>
      <c r="K462" s="2">
        <f>H462*AP462</f>
        <v>0</v>
      </c>
      <c r="L462" s="2">
        <f>H462*I462</f>
        <v>0</v>
      </c>
      <c r="M462" s="7" t="s">
        <v>831</v>
      </c>
      <c r="Z462" s="2">
        <f>IF(AQ462="5",BJ462,0)</f>
        <v>0</v>
      </c>
      <c r="AB462" s="2">
        <f>IF(AQ462="1",BH462,0)</f>
        <v>0</v>
      </c>
      <c r="AC462" s="2">
        <f>IF(AQ462="1",BI462,0)</f>
        <v>0</v>
      </c>
      <c r="AD462" s="2">
        <f>IF(AQ462="7",BH462,0)</f>
        <v>0</v>
      </c>
      <c r="AE462" s="2">
        <f>IF(AQ462="7",BI462,0)</f>
        <v>0</v>
      </c>
      <c r="AF462" s="2">
        <f>IF(AQ462="2",BH462,0)</f>
        <v>0</v>
      </c>
      <c r="AG462" s="2">
        <f>IF(AQ462="2",BI462,0)</f>
        <v>0</v>
      </c>
      <c r="AH462" s="2">
        <f>IF(AQ462="0",BJ462,0)</f>
        <v>0</v>
      </c>
      <c r="AI462" s="19" t="s">
        <v>255</v>
      </c>
      <c r="AJ462" s="2">
        <f>IF(AN462=0,L462,0)</f>
        <v>0</v>
      </c>
      <c r="AK462" s="2">
        <f>IF(AN462=15,L462,0)</f>
        <v>0</v>
      </c>
      <c r="AL462" s="2">
        <f>IF(AN462=21,L462,0)</f>
        <v>0</v>
      </c>
      <c r="AN462" s="2">
        <v>15</v>
      </c>
      <c r="AO462" s="2">
        <f>I462*0.107877853416701</f>
        <v>0</v>
      </c>
      <c r="AP462" s="2">
        <f>I462*(1-0.107877853416701)</f>
        <v>0</v>
      </c>
      <c r="AQ462" s="43" t="s">
        <v>1215</v>
      </c>
      <c r="AV462" s="2">
        <f>AW462+AX462</f>
        <v>0</v>
      </c>
      <c r="AW462" s="2">
        <f>H462*AO462</f>
        <v>0</v>
      </c>
      <c r="AX462" s="2">
        <f>H462*AP462</f>
        <v>0</v>
      </c>
      <c r="AY462" s="43" t="s">
        <v>1065</v>
      </c>
      <c r="AZ462" s="43" t="s">
        <v>864</v>
      </c>
      <c r="BA462" s="19" t="s">
        <v>1155</v>
      </c>
      <c r="BC462" s="2">
        <f>AW462+AX462</f>
        <v>0</v>
      </c>
      <c r="BD462" s="2">
        <f>I462/(100-BE462)*100</f>
        <v>0</v>
      </c>
      <c r="BE462" s="2">
        <v>0</v>
      </c>
      <c r="BF462" s="2">
        <f>462</f>
        <v>462</v>
      </c>
      <c r="BH462" s="2">
        <f>H462*AO462</f>
        <v>0</v>
      </c>
      <c r="BI462" s="2">
        <f>H462*AP462</f>
        <v>0</v>
      </c>
      <c r="BJ462" s="2">
        <f>H462*I462</f>
        <v>0</v>
      </c>
      <c r="BK462" s="2"/>
      <c r="BL462" s="2">
        <v>784</v>
      </c>
    </row>
    <row r="463" spans="1:13" ht="13.5" customHeight="1">
      <c r="A463" s="51"/>
      <c r="B463" s="32" t="s">
        <v>639</v>
      </c>
      <c r="C463" s="75" t="s">
        <v>259</v>
      </c>
      <c r="D463" s="76"/>
      <c r="E463" s="76"/>
      <c r="F463" s="76"/>
      <c r="G463" s="76"/>
      <c r="H463" s="76"/>
      <c r="I463" s="76"/>
      <c r="J463" s="76"/>
      <c r="K463" s="76"/>
      <c r="L463" s="76"/>
      <c r="M463" s="77"/>
    </row>
    <row r="464" spans="1:64" ht="15" customHeight="1">
      <c r="A464" s="15" t="s">
        <v>596</v>
      </c>
      <c r="B464" s="14" t="s">
        <v>443</v>
      </c>
      <c r="C464" s="58" t="s">
        <v>42</v>
      </c>
      <c r="D464" s="58"/>
      <c r="E464" s="58"/>
      <c r="F464" s="58"/>
      <c r="G464" s="14" t="s">
        <v>1189</v>
      </c>
      <c r="H464" s="2">
        <v>1685.077</v>
      </c>
      <c r="I464" s="2">
        <v>0</v>
      </c>
      <c r="J464" s="2">
        <f>H464*AO464</f>
        <v>0</v>
      </c>
      <c r="K464" s="2">
        <f>H464*AP464</f>
        <v>0</v>
      </c>
      <c r="L464" s="2">
        <f>H464*I464</f>
        <v>0</v>
      </c>
      <c r="M464" s="7" t="s">
        <v>831</v>
      </c>
      <c r="Z464" s="2">
        <f>IF(AQ464="5",BJ464,0)</f>
        <v>0</v>
      </c>
      <c r="AB464" s="2">
        <f>IF(AQ464="1",BH464,0)</f>
        <v>0</v>
      </c>
      <c r="AC464" s="2">
        <f>IF(AQ464="1",BI464,0)</f>
        <v>0</v>
      </c>
      <c r="AD464" s="2">
        <f>IF(AQ464="7",BH464,0)</f>
        <v>0</v>
      </c>
      <c r="AE464" s="2">
        <f>IF(AQ464="7",BI464,0)</f>
        <v>0</v>
      </c>
      <c r="AF464" s="2">
        <f>IF(AQ464="2",BH464,0)</f>
        <v>0</v>
      </c>
      <c r="AG464" s="2">
        <f>IF(AQ464="2",BI464,0)</f>
        <v>0</v>
      </c>
      <c r="AH464" s="2">
        <f>IF(AQ464="0",BJ464,0)</f>
        <v>0</v>
      </c>
      <c r="AI464" s="19" t="s">
        <v>255</v>
      </c>
      <c r="AJ464" s="2">
        <f>IF(AN464=0,L464,0)</f>
        <v>0</v>
      </c>
      <c r="AK464" s="2">
        <f>IF(AN464=15,L464,0)</f>
        <v>0</v>
      </c>
      <c r="AL464" s="2">
        <f>IF(AN464=21,L464,0)</f>
        <v>0</v>
      </c>
      <c r="AN464" s="2">
        <v>15</v>
      </c>
      <c r="AO464" s="2">
        <f>I464*0.130600246414136</f>
        <v>0</v>
      </c>
      <c r="AP464" s="2">
        <f>I464*(1-0.130600246414136)</f>
        <v>0</v>
      </c>
      <c r="AQ464" s="43" t="s">
        <v>1215</v>
      </c>
      <c r="AV464" s="2">
        <f>AW464+AX464</f>
        <v>0</v>
      </c>
      <c r="AW464" s="2">
        <f>H464*AO464</f>
        <v>0</v>
      </c>
      <c r="AX464" s="2">
        <f>H464*AP464</f>
        <v>0</v>
      </c>
      <c r="AY464" s="43" t="s">
        <v>1065</v>
      </c>
      <c r="AZ464" s="43" t="s">
        <v>864</v>
      </c>
      <c r="BA464" s="19" t="s">
        <v>1155</v>
      </c>
      <c r="BC464" s="2">
        <f>AW464+AX464</f>
        <v>0</v>
      </c>
      <c r="BD464" s="2">
        <f>I464/(100-BE464)*100</f>
        <v>0</v>
      </c>
      <c r="BE464" s="2">
        <v>0</v>
      </c>
      <c r="BF464" s="2">
        <f>464</f>
        <v>464</v>
      </c>
      <c r="BH464" s="2">
        <f>H464*AO464</f>
        <v>0</v>
      </c>
      <c r="BI464" s="2">
        <f>H464*AP464</f>
        <v>0</v>
      </c>
      <c r="BJ464" s="2">
        <f>H464*I464</f>
        <v>0</v>
      </c>
      <c r="BK464" s="2"/>
      <c r="BL464" s="2">
        <v>784</v>
      </c>
    </row>
    <row r="465" spans="1:13" ht="13.5" customHeight="1">
      <c r="A465" s="51"/>
      <c r="B465" s="32" t="s">
        <v>639</v>
      </c>
      <c r="C465" s="75" t="s">
        <v>628</v>
      </c>
      <c r="D465" s="76"/>
      <c r="E465" s="76"/>
      <c r="F465" s="76"/>
      <c r="G465" s="76"/>
      <c r="H465" s="76"/>
      <c r="I465" s="76"/>
      <c r="J465" s="76"/>
      <c r="K465" s="76"/>
      <c r="L465" s="76"/>
      <c r="M465" s="77"/>
    </row>
    <row r="466" spans="1:64" ht="15" customHeight="1">
      <c r="A466" s="15" t="s">
        <v>1066</v>
      </c>
      <c r="B466" s="14" t="s">
        <v>664</v>
      </c>
      <c r="C466" s="58" t="s">
        <v>964</v>
      </c>
      <c r="D466" s="58"/>
      <c r="E466" s="58"/>
      <c r="F466" s="58"/>
      <c r="G466" s="14" t="s">
        <v>1189</v>
      </c>
      <c r="H466" s="2">
        <v>324.81</v>
      </c>
      <c r="I466" s="2">
        <v>0</v>
      </c>
      <c r="J466" s="2">
        <f>H466*AO466</f>
        <v>0</v>
      </c>
      <c r="K466" s="2">
        <f>H466*AP466</f>
        <v>0</v>
      </c>
      <c r="L466" s="2">
        <f>H466*I466</f>
        <v>0</v>
      </c>
      <c r="M466" s="7" t="s">
        <v>831</v>
      </c>
      <c r="Z466" s="2">
        <f>IF(AQ466="5",BJ466,0)</f>
        <v>0</v>
      </c>
      <c r="AB466" s="2">
        <f>IF(AQ466="1",BH466,0)</f>
        <v>0</v>
      </c>
      <c r="AC466" s="2">
        <f>IF(AQ466="1",BI466,0)</f>
        <v>0</v>
      </c>
      <c r="AD466" s="2">
        <f>IF(AQ466="7",BH466,0)</f>
        <v>0</v>
      </c>
      <c r="AE466" s="2">
        <f>IF(AQ466="7",BI466,0)</f>
        <v>0</v>
      </c>
      <c r="AF466" s="2">
        <f>IF(AQ466="2",BH466,0)</f>
        <v>0</v>
      </c>
      <c r="AG466" s="2">
        <f>IF(AQ466="2",BI466,0)</f>
        <v>0</v>
      </c>
      <c r="AH466" s="2">
        <f>IF(AQ466="0",BJ466,0)</f>
        <v>0</v>
      </c>
      <c r="AI466" s="19" t="s">
        <v>255</v>
      </c>
      <c r="AJ466" s="2">
        <f>IF(AN466=0,L466,0)</f>
        <v>0</v>
      </c>
      <c r="AK466" s="2">
        <f>IF(AN466=15,L466,0)</f>
        <v>0</v>
      </c>
      <c r="AL466" s="2">
        <f>IF(AN466=21,L466,0)</f>
        <v>0</v>
      </c>
      <c r="AN466" s="2">
        <v>15</v>
      </c>
      <c r="AO466" s="2">
        <f>I466*0.25422866069104</f>
        <v>0</v>
      </c>
      <c r="AP466" s="2">
        <f>I466*(1-0.25422866069104)</f>
        <v>0</v>
      </c>
      <c r="AQ466" s="43" t="s">
        <v>1215</v>
      </c>
      <c r="AV466" s="2">
        <f>AW466+AX466</f>
        <v>0</v>
      </c>
      <c r="AW466" s="2">
        <f>H466*AO466</f>
        <v>0</v>
      </c>
      <c r="AX466" s="2">
        <f>H466*AP466</f>
        <v>0</v>
      </c>
      <c r="AY466" s="43" t="s">
        <v>1065</v>
      </c>
      <c r="AZ466" s="43" t="s">
        <v>864</v>
      </c>
      <c r="BA466" s="19" t="s">
        <v>1155</v>
      </c>
      <c r="BC466" s="2">
        <f>AW466+AX466</f>
        <v>0</v>
      </c>
      <c r="BD466" s="2">
        <f>I466/(100-BE466)*100</f>
        <v>0</v>
      </c>
      <c r="BE466" s="2">
        <v>0</v>
      </c>
      <c r="BF466" s="2">
        <f>466</f>
        <v>466</v>
      </c>
      <c r="BH466" s="2">
        <f>H466*AO466</f>
        <v>0</v>
      </c>
      <c r="BI466" s="2">
        <f>H466*AP466</f>
        <v>0</v>
      </c>
      <c r="BJ466" s="2">
        <f>H466*I466</f>
        <v>0</v>
      </c>
      <c r="BK466" s="2"/>
      <c r="BL466" s="2">
        <v>784</v>
      </c>
    </row>
    <row r="467" spans="1:13" ht="13.5" customHeight="1">
      <c r="A467" s="51"/>
      <c r="B467" s="32" t="s">
        <v>639</v>
      </c>
      <c r="C467" s="75" t="s">
        <v>1075</v>
      </c>
      <c r="D467" s="76"/>
      <c r="E467" s="76"/>
      <c r="F467" s="76"/>
      <c r="G467" s="76"/>
      <c r="H467" s="76"/>
      <c r="I467" s="76"/>
      <c r="J467" s="76"/>
      <c r="K467" s="76"/>
      <c r="L467" s="76"/>
      <c r="M467" s="77"/>
    </row>
    <row r="468" spans="1:47" ht="15" customHeight="1">
      <c r="A468" s="48" t="s">
        <v>844</v>
      </c>
      <c r="B468" s="17" t="s">
        <v>1288</v>
      </c>
      <c r="C468" s="74" t="s">
        <v>418</v>
      </c>
      <c r="D468" s="74"/>
      <c r="E468" s="74"/>
      <c r="F468" s="74"/>
      <c r="G468" s="40" t="s">
        <v>1110</v>
      </c>
      <c r="H468" s="40" t="s">
        <v>1110</v>
      </c>
      <c r="I468" s="40" t="s">
        <v>1110</v>
      </c>
      <c r="J468" s="23">
        <f>SUM(J469:J469)</f>
        <v>0</v>
      </c>
      <c r="K468" s="23">
        <f>SUM(K469:K469)</f>
        <v>0</v>
      </c>
      <c r="L468" s="23">
        <f>SUM(L469:L469)</f>
        <v>0</v>
      </c>
      <c r="M468" s="37" t="s">
        <v>844</v>
      </c>
      <c r="AI468" s="19" t="s">
        <v>255</v>
      </c>
      <c r="AS468" s="23">
        <f>SUM(AJ469:AJ469)</f>
        <v>0</v>
      </c>
      <c r="AT468" s="23">
        <f>SUM(AK469:AK469)</f>
        <v>0</v>
      </c>
      <c r="AU468" s="23">
        <f>SUM(AL469:AL469)</f>
        <v>0</v>
      </c>
    </row>
    <row r="469" spans="1:64" ht="15" customHeight="1">
      <c r="A469" s="15" t="s">
        <v>11</v>
      </c>
      <c r="B469" s="14" t="s">
        <v>151</v>
      </c>
      <c r="C469" s="58" t="s">
        <v>696</v>
      </c>
      <c r="D469" s="58"/>
      <c r="E469" s="58"/>
      <c r="F469" s="58"/>
      <c r="G469" s="14" t="s">
        <v>555</v>
      </c>
      <c r="H469" s="2">
        <v>150</v>
      </c>
      <c r="I469" s="2">
        <v>0</v>
      </c>
      <c r="J469" s="2">
        <f>H469*AO469</f>
        <v>0</v>
      </c>
      <c r="K469" s="2">
        <f>H469*AP469</f>
        <v>0</v>
      </c>
      <c r="L469" s="2">
        <f>H469*I469</f>
        <v>0</v>
      </c>
      <c r="M469" s="7" t="s">
        <v>831</v>
      </c>
      <c r="Z469" s="2">
        <f>IF(AQ469="5",BJ469,0)</f>
        <v>0</v>
      </c>
      <c r="AB469" s="2">
        <f>IF(AQ469="1",BH469,0)</f>
        <v>0</v>
      </c>
      <c r="AC469" s="2">
        <f>IF(AQ469="1",BI469,0)</f>
        <v>0</v>
      </c>
      <c r="AD469" s="2">
        <f>IF(AQ469="7",BH469,0)</f>
        <v>0</v>
      </c>
      <c r="AE469" s="2">
        <f>IF(AQ469="7",BI469,0)</f>
        <v>0</v>
      </c>
      <c r="AF469" s="2">
        <f>IF(AQ469="2",BH469,0)</f>
        <v>0</v>
      </c>
      <c r="AG469" s="2">
        <f>IF(AQ469="2",BI469,0)</f>
        <v>0</v>
      </c>
      <c r="AH469" s="2">
        <f>IF(AQ469="0",BJ469,0)</f>
        <v>0</v>
      </c>
      <c r="AI469" s="19" t="s">
        <v>255</v>
      </c>
      <c r="AJ469" s="2">
        <f>IF(AN469=0,L469,0)</f>
        <v>0</v>
      </c>
      <c r="AK469" s="2">
        <f>IF(AN469=15,L469,0)</f>
        <v>0</v>
      </c>
      <c r="AL469" s="2">
        <f>IF(AN469=21,L469,0)</f>
        <v>0</v>
      </c>
      <c r="AN469" s="2">
        <v>15</v>
      </c>
      <c r="AO469" s="2">
        <f>I469*0</f>
        <v>0</v>
      </c>
      <c r="AP469" s="2">
        <f>I469*(1-0)</f>
        <v>0</v>
      </c>
      <c r="AQ469" s="43" t="s">
        <v>1205</v>
      </c>
      <c r="AV469" s="2">
        <f>AW469+AX469</f>
        <v>0</v>
      </c>
      <c r="AW469" s="2">
        <f>H469*AO469</f>
        <v>0</v>
      </c>
      <c r="AX469" s="2">
        <f>H469*AP469</f>
        <v>0</v>
      </c>
      <c r="AY469" s="43" t="s">
        <v>376</v>
      </c>
      <c r="AZ469" s="43" t="s">
        <v>1138</v>
      </c>
      <c r="BA469" s="19" t="s">
        <v>1155</v>
      </c>
      <c r="BC469" s="2">
        <f>AW469+AX469</f>
        <v>0</v>
      </c>
      <c r="BD469" s="2">
        <f>I469/(100-BE469)*100</f>
        <v>0</v>
      </c>
      <c r="BE469" s="2">
        <v>0</v>
      </c>
      <c r="BF469" s="2">
        <f>469</f>
        <v>469</v>
      </c>
      <c r="BH469" s="2">
        <f>H469*AO469</f>
        <v>0</v>
      </c>
      <c r="BI469" s="2">
        <f>H469*AP469</f>
        <v>0</v>
      </c>
      <c r="BJ469" s="2">
        <f>H469*I469</f>
        <v>0</v>
      </c>
      <c r="BK469" s="2"/>
      <c r="BL469" s="2">
        <v>90</v>
      </c>
    </row>
    <row r="470" spans="1:47" ht="15" customHeight="1">
      <c r="A470" s="48" t="s">
        <v>844</v>
      </c>
      <c r="B470" s="17" t="s">
        <v>200</v>
      </c>
      <c r="C470" s="74" t="s">
        <v>921</v>
      </c>
      <c r="D470" s="74"/>
      <c r="E470" s="74"/>
      <c r="F470" s="74"/>
      <c r="G470" s="40" t="s">
        <v>1110</v>
      </c>
      <c r="H470" s="40" t="s">
        <v>1110</v>
      </c>
      <c r="I470" s="40" t="s">
        <v>1110</v>
      </c>
      <c r="J470" s="23">
        <f>SUM(J471:J476)</f>
        <v>0</v>
      </c>
      <c r="K470" s="23">
        <f>SUM(K471:K476)</f>
        <v>0</v>
      </c>
      <c r="L470" s="23">
        <f>SUM(L471:L476)</f>
        <v>0</v>
      </c>
      <c r="M470" s="37" t="s">
        <v>844</v>
      </c>
      <c r="AI470" s="19" t="s">
        <v>255</v>
      </c>
      <c r="AS470" s="23">
        <f>SUM(AJ471:AJ476)</f>
        <v>0</v>
      </c>
      <c r="AT470" s="23">
        <f>SUM(AK471:AK476)</f>
        <v>0</v>
      </c>
      <c r="AU470" s="23">
        <f>SUM(AL471:AL476)</f>
        <v>0</v>
      </c>
    </row>
    <row r="471" spans="1:64" ht="15" customHeight="1">
      <c r="A471" s="15" t="s">
        <v>909</v>
      </c>
      <c r="B471" s="14" t="s">
        <v>1071</v>
      </c>
      <c r="C471" s="58" t="s">
        <v>686</v>
      </c>
      <c r="D471" s="58"/>
      <c r="E471" s="58"/>
      <c r="F471" s="58"/>
      <c r="G471" s="14" t="s">
        <v>901</v>
      </c>
      <c r="H471" s="2">
        <v>3</v>
      </c>
      <c r="I471" s="2">
        <v>0</v>
      </c>
      <c r="J471" s="2">
        <f>H471*AO471</f>
        <v>0</v>
      </c>
      <c r="K471" s="2">
        <f>H471*AP471</f>
        <v>0</v>
      </c>
      <c r="L471" s="2">
        <f>H471*I471</f>
        <v>0</v>
      </c>
      <c r="M471" s="7" t="s">
        <v>831</v>
      </c>
      <c r="Z471" s="2">
        <f>IF(AQ471="5",BJ471,0)</f>
        <v>0</v>
      </c>
      <c r="AB471" s="2">
        <f>IF(AQ471="1",BH471,0)</f>
        <v>0</v>
      </c>
      <c r="AC471" s="2">
        <f>IF(AQ471="1",BI471,0)</f>
        <v>0</v>
      </c>
      <c r="AD471" s="2">
        <f>IF(AQ471="7",BH471,0)</f>
        <v>0</v>
      </c>
      <c r="AE471" s="2">
        <f>IF(AQ471="7",BI471,0)</f>
        <v>0</v>
      </c>
      <c r="AF471" s="2">
        <f>IF(AQ471="2",BH471,0)</f>
        <v>0</v>
      </c>
      <c r="AG471" s="2">
        <f>IF(AQ471="2",BI471,0)</f>
        <v>0</v>
      </c>
      <c r="AH471" s="2">
        <f>IF(AQ471="0",BJ471,0)</f>
        <v>0</v>
      </c>
      <c r="AI471" s="19" t="s">
        <v>255</v>
      </c>
      <c r="AJ471" s="2">
        <f>IF(AN471=0,L471,0)</f>
        <v>0</v>
      </c>
      <c r="AK471" s="2">
        <f>IF(AN471=15,L471,0)</f>
        <v>0</v>
      </c>
      <c r="AL471" s="2">
        <f>IF(AN471=21,L471,0)</f>
        <v>0</v>
      </c>
      <c r="AN471" s="2">
        <v>15</v>
      </c>
      <c r="AO471" s="2">
        <f>I471*0.201475629085322</f>
        <v>0</v>
      </c>
      <c r="AP471" s="2">
        <f>I471*(1-0.201475629085322)</f>
        <v>0</v>
      </c>
      <c r="AQ471" s="43" t="s">
        <v>838</v>
      </c>
      <c r="AV471" s="2">
        <f>AW471+AX471</f>
        <v>0</v>
      </c>
      <c r="AW471" s="2">
        <f>H471*AO471</f>
        <v>0</v>
      </c>
      <c r="AX471" s="2">
        <f>H471*AP471</f>
        <v>0</v>
      </c>
      <c r="AY471" s="43" t="s">
        <v>1260</v>
      </c>
      <c r="AZ471" s="43" t="s">
        <v>1138</v>
      </c>
      <c r="BA471" s="19" t="s">
        <v>1155</v>
      </c>
      <c r="BC471" s="2">
        <f>AW471+AX471</f>
        <v>0</v>
      </c>
      <c r="BD471" s="2">
        <f>I471/(100-BE471)*100</f>
        <v>0</v>
      </c>
      <c r="BE471" s="2">
        <v>0</v>
      </c>
      <c r="BF471" s="2">
        <f>471</f>
        <v>471</v>
      </c>
      <c r="BH471" s="2">
        <f>H471*AO471</f>
        <v>0</v>
      </c>
      <c r="BI471" s="2">
        <f>H471*AP471</f>
        <v>0</v>
      </c>
      <c r="BJ471" s="2">
        <f>H471*I471</f>
        <v>0</v>
      </c>
      <c r="BK471" s="2"/>
      <c r="BL471" s="2"/>
    </row>
    <row r="472" spans="1:13" ht="13.5" customHeight="1">
      <c r="A472" s="51"/>
      <c r="B472" s="32" t="s">
        <v>639</v>
      </c>
      <c r="C472" s="75" t="s">
        <v>1150</v>
      </c>
      <c r="D472" s="76"/>
      <c r="E472" s="76"/>
      <c r="F472" s="76"/>
      <c r="G472" s="76"/>
      <c r="H472" s="76"/>
      <c r="I472" s="76"/>
      <c r="J472" s="76"/>
      <c r="K472" s="76"/>
      <c r="L472" s="76"/>
      <c r="M472" s="77"/>
    </row>
    <row r="473" spans="1:64" ht="15" customHeight="1">
      <c r="A473" s="15" t="s">
        <v>694</v>
      </c>
      <c r="B473" s="14" t="s">
        <v>759</v>
      </c>
      <c r="C473" s="58" t="s">
        <v>801</v>
      </c>
      <c r="D473" s="58"/>
      <c r="E473" s="58"/>
      <c r="F473" s="58"/>
      <c r="G473" s="14" t="s">
        <v>999</v>
      </c>
      <c r="H473" s="2">
        <v>40</v>
      </c>
      <c r="I473" s="2">
        <v>0</v>
      </c>
      <c r="J473" s="2">
        <f>H473*AO473</f>
        <v>0</v>
      </c>
      <c r="K473" s="2">
        <f>H473*AP473</f>
        <v>0</v>
      </c>
      <c r="L473" s="2">
        <f>H473*I473</f>
        <v>0</v>
      </c>
      <c r="M473" s="7" t="s">
        <v>831</v>
      </c>
      <c r="Z473" s="2">
        <f>IF(AQ473="5",BJ473,0)</f>
        <v>0</v>
      </c>
      <c r="AB473" s="2">
        <f>IF(AQ473="1",BH473,0)</f>
        <v>0</v>
      </c>
      <c r="AC473" s="2">
        <f>IF(AQ473="1",BI473,0)</f>
        <v>0</v>
      </c>
      <c r="AD473" s="2">
        <f>IF(AQ473="7",BH473,0)</f>
        <v>0</v>
      </c>
      <c r="AE473" s="2">
        <f>IF(AQ473="7",BI473,0)</f>
        <v>0</v>
      </c>
      <c r="AF473" s="2">
        <f>IF(AQ473="2",BH473,0)</f>
        <v>0</v>
      </c>
      <c r="AG473" s="2">
        <f>IF(AQ473="2",BI473,0)</f>
        <v>0</v>
      </c>
      <c r="AH473" s="2">
        <f>IF(AQ473="0",BJ473,0)</f>
        <v>0</v>
      </c>
      <c r="AI473" s="19" t="s">
        <v>255</v>
      </c>
      <c r="AJ473" s="2">
        <f>IF(AN473=0,L473,0)</f>
        <v>0</v>
      </c>
      <c r="AK473" s="2">
        <f>IF(AN473=15,L473,0)</f>
        <v>0</v>
      </c>
      <c r="AL473" s="2">
        <f>IF(AN473=21,L473,0)</f>
        <v>0</v>
      </c>
      <c r="AN473" s="2">
        <v>15</v>
      </c>
      <c r="AO473" s="2">
        <f>I473*0.505594185871778</f>
        <v>0</v>
      </c>
      <c r="AP473" s="2">
        <f>I473*(1-0.505594185871778)</f>
        <v>0</v>
      </c>
      <c r="AQ473" s="43" t="s">
        <v>838</v>
      </c>
      <c r="AV473" s="2">
        <f>AW473+AX473</f>
        <v>0</v>
      </c>
      <c r="AW473" s="2">
        <f>H473*AO473</f>
        <v>0</v>
      </c>
      <c r="AX473" s="2">
        <f>H473*AP473</f>
        <v>0</v>
      </c>
      <c r="AY473" s="43" t="s">
        <v>1260</v>
      </c>
      <c r="AZ473" s="43" t="s">
        <v>1138</v>
      </c>
      <c r="BA473" s="19" t="s">
        <v>1155</v>
      </c>
      <c r="BC473" s="2">
        <f>AW473+AX473</f>
        <v>0</v>
      </c>
      <c r="BD473" s="2">
        <f>I473/(100-BE473)*100</f>
        <v>0</v>
      </c>
      <c r="BE473" s="2">
        <v>0</v>
      </c>
      <c r="BF473" s="2">
        <f>473</f>
        <v>473</v>
      </c>
      <c r="BH473" s="2">
        <f>H473*AO473</f>
        <v>0</v>
      </c>
      <c r="BI473" s="2">
        <f>H473*AP473</f>
        <v>0</v>
      </c>
      <c r="BJ473" s="2">
        <f>H473*I473</f>
        <v>0</v>
      </c>
      <c r="BK473" s="2"/>
      <c r="BL473" s="2"/>
    </row>
    <row r="474" spans="1:64" ht="15" customHeight="1">
      <c r="A474" s="15" t="s">
        <v>1032</v>
      </c>
      <c r="B474" s="14" t="s">
        <v>679</v>
      </c>
      <c r="C474" s="58" t="s">
        <v>1237</v>
      </c>
      <c r="D474" s="58"/>
      <c r="E474" s="58"/>
      <c r="F474" s="58"/>
      <c r="G474" s="14" t="s">
        <v>319</v>
      </c>
      <c r="H474" s="2">
        <v>1</v>
      </c>
      <c r="I474" s="2">
        <v>0</v>
      </c>
      <c r="J474" s="2">
        <f>H474*AO474</f>
        <v>0</v>
      </c>
      <c r="K474" s="2">
        <f>H474*AP474</f>
        <v>0</v>
      </c>
      <c r="L474" s="2">
        <f>H474*I474</f>
        <v>0</v>
      </c>
      <c r="M474" s="7" t="s">
        <v>831</v>
      </c>
      <c r="Z474" s="2">
        <f>IF(AQ474="5",BJ474,0)</f>
        <v>0</v>
      </c>
      <c r="AB474" s="2">
        <f>IF(AQ474="1",BH474,0)</f>
        <v>0</v>
      </c>
      <c r="AC474" s="2">
        <f>IF(AQ474="1",BI474,0)</f>
        <v>0</v>
      </c>
      <c r="AD474" s="2">
        <f>IF(AQ474="7",BH474,0)</f>
        <v>0</v>
      </c>
      <c r="AE474" s="2">
        <f>IF(AQ474="7",BI474,0)</f>
        <v>0</v>
      </c>
      <c r="AF474" s="2">
        <f>IF(AQ474="2",BH474,0)</f>
        <v>0</v>
      </c>
      <c r="AG474" s="2">
        <f>IF(AQ474="2",BI474,0)</f>
        <v>0</v>
      </c>
      <c r="AH474" s="2">
        <f>IF(AQ474="0",BJ474,0)</f>
        <v>0</v>
      </c>
      <c r="AI474" s="19" t="s">
        <v>255</v>
      </c>
      <c r="AJ474" s="2">
        <f>IF(AN474=0,L474,0)</f>
        <v>0</v>
      </c>
      <c r="AK474" s="2">
        <f>IF(AN474=15,L474,0)</f>
        <v>0</v>
      </c>
      <c r="AL474" s="2">
        <f>IF(AN474=21,L474,0)</f>
        <v>0</v>
      </c>
      <c r="AN474" s="2">
        <v>15</v>
      </c>
      <c r="AO474" s="2">
        <f>I474*0.676265946502058</f>
        <v>0</v>
      </c>
      <c r="AP474" s="2">
        <f>I474*(1-0.676265946502058)</f>
        <v>0</v>
      </c>
      <c r="AQ474" s="43" t="s">
        <v>838</v>
      </c>
      <c r="AV474" s="2">
        <f>AW474+AX474</f>
        <v>0</v>
      </c>
      <c r="AW474" s="2">
        <f>H474*AO474</f>
        <v>0</v>
      </c>
      <c r="AX474" s="2">
        <f>H474*AP474</f>
        <v>0</v>
      </c>
      <c r="AY474" s="43" t="s">
        <v>1260</v>
      </c>
      <c r="AZ474" s="43" t="s">
        <v>1138</v>
      </c>
      <c r="BA474" s="19" t="s">
        <v>1155</v>
      </c>
      <c r="BC474" s="2">
        <f>AW474+AX474</f>
        <v>0</v>
      </c>
      <c r="BD474" s="2">
        <f>I474/(100-BE474)*100</f>
        <v>0</v>
      </c>
      <c r="BE474" s="2">
        <v>0</v>
      </c>
      <c r="BF474" s="2">
        <f>474</f>
        <v>474</v>
      </c>
      <c r="BH474" s="2">
        <f>H474*AO474</f>
        <v>0</v>
      </c>
      <c r="BI474" s="2">
        <f>H474*AP474</f>
        <v>0</v>
      </c>
      <c r="BJ474" s="2">
        <f>H474*I474</f>
        <v>0</v>
      </c>
      <c r="BK474" s="2"/>
      <c r="BL474" s="2"/>
    </row>
    <row r="475" spans="1:13" ht="13.5" customHeight="1">
      <c r="A475" s="51"/>
      <c r="B475" s="32" t="s">
        <v>639</v>
      </c>
      <c r="C475" s="75" t="s">
        <v>1186</v>
      </c>
      <c r="D475" s="76"/>
      <c r="E475" s="76"/>
      <c r="F475" s="76"/>
      <c r="G475" s="76"/>
      <c r="H475" s="76"/>
      <c r="I475" s="76"/>
      <c r="J475" s="76"/>
      <c r="K475" s="76"/>
      <c r="L475" s="76"/>
      <c r="M475" s="77"/>
    </row>
    <row r="476" spans="1:64" ht="15" customHeight="1">
      <c r="A476" s="15" t="s">
        <v>1338</v>
      </c>
      <c r="B476" s="14" t="s">
        <v>709</v>
      </c>
      <c r="C476" s="58" t="s">
        <v>1160</v>
      </c>
      <c r="D476" s="58"/>
      <c r="E476" s="58"/>
      <c r="F476" s="58"/>
      <c r="G476" s="14" t="s">
        <v>933</v>
      </c>
      <c r="H476" s="2">
        <v>1</v>
      </c>
      <c r="I476" s="2">
        <v>0</v>
      </c>
      <c r="J476" s="2">
        <f>H476*AO476</f>
        <v>0</v>
      </c>
      <c r="K476" s="2">
        <f>H476*AP476</f>
        <v>0</v>
      </c>
      <c r="L476" s="2">
        <f>H476*I476</f>
        <v>0</v>
      </c>
      <c r="M476" s="7" t="s">
        <v>844</v>
      </c>
      <c r="Z476" s="2">
        <f>IF(AQ476="5",BJ476,0)</f>
        <v>0</v>
      </c>
      <c r="AB476" s="2">
        <f>IF(AQ476="1",BH476,0)</f>
        <v>0</v>
      </c>
      <c r="AC476" s="2">
        <f>IF(AQ476="1",BI476,0)</f>
        <v>0</v>
      </c>
      <c r="AD476" s="2">
        <f>IF(AQ476="7",BH476,0)</f>
        <v>0</v>
      </c>
      <c r="AE476" s="2">
        <f>IF(AQ476="7",BI476,0)</f>
        <v>0</v>
      </c>
      <c r="AF476" s="2">
        <f>IF(AQ476="2",BH476,0)</f>
        <v>0</v>
      </c>
      <c r="AG476" s="2">
        <f>IF(AQ476="2",BI476,0)</f>
        <v>0</v>
      </c>
      <c r="AH476" s="2">
        <f>IF(AQ476="0",BJ476,0)</f>
        <v>0</v>
      </c>
      <c r="AI476" s="19" t="s">
        <v>255</v>
      </c>
      <c r="AJ476" s="2">
        <f>IF(AN476=0,L476,0)</f>
        <v>0</v>
      </c>
      <c r="AK476" s="2">
        <f>IF(AN476=15,L476,0)</f>
        <v>0</v>
      </c>
      <c r="AL476" s="2">
        <f>IF(AN476=21,L476,0)</f>
        <v>0</v>
      </c>
      <c r="AN476" s="2">
        <v>15</v>
      </c>
      <c r="AO476" s="2">
        <f>I476*0.833333333333333</f>
        <v>0</v>
      </c>
      <c r="AP476" s="2">
        <f>I476*(1-0.833333333333333)</f>
        <v>0</v>
      </c>
      <c r="AQ476" s="43" t="s">
        <v>838</v>
      </c>
      <c r="AV476" s="2">
        <f>AW476+AX476</f>
        <v>0</v>
      </c>
      <c r="AW476" s="2">
        <f>H476*AO476</f>
        <v>0</v>
      </c>
      <c r="AX476" s="2">
        <f>H476*AP476</f>
        <v>0</v>
      </c>
      <c r="AY476" s="43" t="s">
        <v>1260</v>
      </c>
      <c r="AZ476" s="43" t="s">
        <v>1138</v>
      </c>
      <c r="BA476" s="19" t="s">
        <v>1155</v>
      </c>
      <c r="BC476" s="2">
        <f>AW476+AX476</f>
        <v>0</v>
      </c>
      <c r="BD476" s="2">
        <f>I476/(100-BE476)*100</f>
        <v>0</v>
      </c>
      <c r="BE476" s="2">
        <v>0</v>
      </c>
      <c r="BF476" s="2">
        <f>476</f>
        <v>476</v>
      </c>
      <c r="BH476" s="2">
        <f>H476*AO476</f>
        <v>0</v>
      </c>
      <c r="BI476" s="2">
        <f>H476*AP476</f>
        <v>0</v>
      </c>
      <c r="BJ476" s="2">
        <f>H476*I476</f>
        <v>0</v>
      </c>
      <c r="BK476" s="2"/>
      <c r="BL476" s="2"/>
    </row>
    <row r="477" spans="1:13" ht="13.5" customHeight="1">
      <c r="A477" s="51"/>
      <c r="B477" s="32" t="s">
        <v>639</v>
      </c>
      <c r="C477" s="75" t="s">
        <v>660</v>
      </c>
      <c r="D477" s="76"/>
      <c r="E477" s="76"/>
      <c r="F477" s="76"/>
      <c r="G477" s="76"/>
      <c r="H477" s="76"/>
      <c r="I477" s="76"/>
      <c r="J477" s="76"/>
      <c r="K477" s="76"/>
      <c r="L477" s="76"/>
      <c r="M477" s="77"/>
    </row>
    <row r="478" spans="1:13" ht="15" customHeight="1">
      <c r="A478" s="48" t="s">
        <v>844</v>
      </c>
      <c r="B478" s="17" t="s">
        <v>844</v>
      </c>
      <c r="C478" s="74" t="s">
        <v>557</v>
      </c>
      <c r="D478" s="74"/>
      <c r="E478" s="74"/>
      <c r="F478" s="74"/>
      <c r="G478" s="40" t="s">
        <v>1110</v>
      </c>
      <c r="H478" s="40" t="s">
        <v>1110</v>
      </c>
      <c r="I478" s="40" t="s">
        <v>1110</v>
      </c>
      <c r="J478" s="23">
        <f>J479+J483+J486+J488+J491+J497+J499+J512+J515+J524+J527</f>
        <v>0</v>
      </c>
      <c r="K478" s="23">
        <f>K479+K483+K486+K488+K491+K497+K499+K512+K515+K524+K527</f>
        <v>0</v>
      </c>
      <c r="L478" s="23">
        <f>L479+L483+L486+L488+L491+L497+L499+L512+L515+L524+L527</f>
        <v>0</v>
      </c>
      <c r="M478" s="37" t="s">
        <v>844</v>
      </c>
    </row>
    <row r="479" spans="1:47" ht="15" customHeight="1">
      <c r="A479" s="48" t="s">
        <v>844</v>
      </c>
      <c r="B479" s="17" t="s">
        <v>388</v>
      </c>
      <c r="C479" s="74" t="s">
        <v>9</v>
      </c>
      <c r="D479" s="74"/>
      <c r="E479" s="74"/>
      <c r="F479" s="74"/>
      <c r="G479" s="40" t="s">
        <v>1110</v>
      </c>
      <c r="H479" s="40" t="s">
        <v>1110</v>
      </c>
      <c r="I479" s="40" t="s">
        <v>1110</v>
      </c>
      <c r="J479" s="23">
        <f>SUM(J480:J482)</f>
        <v>0</v>
      </c>
      <c r="K479" s="23">
        <f>SUM(K480:K482)</f>
        <v>0</v>
      </c>
      <c r="L479" s="23">
        <f>SUM(L480:L482)</f>
        <v>0</v>
      </c>
      <c r="M479" s="37" t="s">
        <v>844</v>
      </c>
      <c r="AI479" s="19" t="s">
        <v>533</v>
      </c>
      <c r="AS479" s="23">
        <f>SUM(AJ480:AJ482)</f>
        <v>0</v>
      </c>
      <c r="AT479" s="23">
        <f>SUM(AK480:AK482)</f>
        <v>0</v>
      </c>
      <c r="AU479" s="23">
        <f>SUM(AL480:AL482)</f>
        <v>0</v>
      </c>
    </row>
    <row r="480" spans="1:64" ht="15" customHeight="1">
      <c r="A480" s="15" t="s">
        <v>691</v>
      </c>
      <c r="B480" s="14" t="s">
        <v>126</v>
      </c>
      <c r="C480" s="58" t="s">
        <v>1152</v>
      </c>
      <c r="D480" s="58"/>
      <c r="E480" s="58"/>
      <c r="F480" s="58"/>
      <c r="G480" s="14" t="s">
        <v>1165</v>
      </c>
      <c r="H480" s="2">
        <v>18</v>
      </c>
      <c r="I480" s="2">
        <v>0</v>
      </c>
      <c r="J480" s="2">
        <f>H480*AO480</f>
        <v>0</v>
      </c>
      <c r="K480" s="2">
        <f>H480*AP480</f>
        <v>0</v>
      </c>
      <c r="L480" s="2">
        <f>H480*I480</f>
        <v>0</v>
      </c>
      <c r="M480" s="7" t="s">
        <v>831</v>
      </c>
      <c r="Z480" s="2">
        <f>IF(AQ480="5",BJ480,0)</f>
        <v>0</v>
      </c>
      <c r="AB480" s="2">
        <f>IF(AQ480="1",BH480,0)</f>
        <v>0</v>
      </c>
      <c r="AC480" s="2">
        <f>IF(AQ480="1",BI480,0)</f>
        <v>0</v>
      </c>
      <c r="AD480" s="2">
        <f>IF(AQ480="7",BH480,0)</f>
        <v>0</v>
      </c>
      <c r="AE480" s="2">
        <f>IF(AQ480="7",BI480,0)</f>
        <v>0</v>
      </c>
      <c r="AF480" s="2">
        <f>IF(AQ480="2",BH480,0)</f>
        <v>0</v>
      </c>
      <c r="AG480" s="2">
        <f>IF(AQ480="2",BI480,0)</f>
        <v>0</v>
      </c>
      <c r="AH480" s="2">
        <f>IF(AQ480="0",BJ480,0)</f>
        <v>0</v>
      </c>
      <c r="AI480" s="19" t="s">
        <v>533</v>
      </c>
      <c r="AJ480" s="2">
        <f>IF(AN480=0,L480,0)</f>
        <v>0</v>
      </c>
      <c r="AK480" s="2">
        <f>IF(AN480=15,L480,0)</f>
        <v>0</v>
      </c>
      <c r="AL480" s="2">
        <f>IF(AN480=21,L480,0)</f>
        <v>0</v>
      </c>
      <c r="AN480" s="2">
        <v>15</v>
      </c>
      <c r="AO480" s="2">
        <f>I480*0</f>
        <v>0</v>
      </c>
      <c r="AP480" s="2">
        <f>I480*(1-0)</f>
        <v>0</v>
      </c>
      <c r="AQ480" s="43" t="s">
        <v>1205</v>
      </c>
      <c r="AV480" s="2">
        <f>AW480+AX480</f>
        <v>0</v>
      </c>
      <c r="AW480" s="2">
        <f>H480*AO480</f>
        <v>0</v>
      </c>
      <c r="AX480" s="2">
        <f>H480*AP480</f>
        <v>0</v>
      </c>
      <c r="AY480" s="43" t="s">
        <v>1088</v>
      </c>
      <c r="AZ480" s="43" t="s">
        <v>1101</v>
      </c>
      <c r="BA480" s="19" t="s">
        <v>138</v>
      </c>
      <c r="BC480" s="2">
        <f>AW480+AX480</f>
        <v>0</v>
      </c>
      <c r="BD480" s="2">
        <f>I480/(100-BE480)*100</f>
        <v>0</v>
      </c>
      <c r="BE480" s="2">
        <v>0</v>
      </c>
      <c r="BF480" s="2">
        <f>480</f>
        <v>480</v>
      </c>
      <c r="BH480" s="2">
        <f>H480*AO480</f>
        <v>0</v>
      </c>
      <c r="BI480" s="2">
        <f>H480*AP480</f>
        <v>0</v>
      </c>
      <c r="BJ480" s="2">
        <f>H480*I480</f>
        <v>0</v>
      </c>
      <c r="BK480" s="2"/>
      <c r="BL480" s="2">
        <v>13</v>
      </c>
    </row>
    <row r="481" spans="1:13" ht="13.5" customHeight="1">
      <c r="A481" s="51"/>
      <c r="B481" s="32" t="s">
        <v>639</v>
      </c>
      <c r="C481" s="75" t="s">
        <v>1304</v>
      </c>
      <c r="D481" s="76"/>
      <c r="E481" s="76"/>
      <c r="F481" s="76"/>
      <c r="G481" s="76"/>
      <c r="H481" s="76"/>
      <c r="I481" s="76"/>
      <c r="J481" s="76"/>
      <c r="K481" s="76"/>
      <c r="L481" s="76"/>
      <c r="M481" s="77"/>
    </row>
    <row r="482" spans="1:64" ht="15" customHeight="1">
      <c r="A482" s="15" t="s">
        <v>1311</v>
      </c>
      <c r="B482" s="14" t="s">
        <v>830</v>
      </c>
      <c r="C482" s="58" t="s">
        <v>1305</v>
      </c>
      <c r="D482" s="58"/>
      <c r="E482" s="58"/>
      <c r="F482" s="58"/>
      <c r="G482" s="14" t="s">
        <v>1165</v>
      </c>
      <c r="H482" s="2">
        <v>18</v>
      </c>
      <c r="I482" s="2">
        <v>0</v>
      </c>
      <c r="J482" s="2">
        <f>H482*AO482</f>
        <v>0</v>
      </c>
      <c r="K482" s="2">
        <f>H482*AP482</f>
        <v>0</v>
      </c>
      <c r="L482" s="2">
        <f>H482*I482</f>
        <v>0</v>
      </c>
      <c r="M482" s="7" t="s">
        <v>831</v>
      </c>
      <c r="Z482" s="2">
        <f>IF(AQ482="5",BJ482,0)</f>
        <v>0</v>
      </c>
      <c r="AB482" s="2">
        <f>IF(AQ482="1",BH482,0)</f>
        <v>0</v>
      </c>
      <c r="AC482" s="2">
        <f>IF(AQ482="1",BI482,0)</f>
        <v>0</v>
      </c>
      <c r="AD482" s="2">
        <f>IF(AQ482="7",BH482,0)</f>
        <v>0</v>
      </c>
      <c r="AE482" s="2">
        <f>IF(AQ482="7",BI482,0)</f>
        <v>0</v>
      </c>
      <c r="AF482" s="2">
        <f>IF(AQ482="2",BH482,0)</f>
        <v>0</v>
      </c>
      <c r="AG482" s="2">
        <f>IF(AQ482="2",BI482,0)</f>
        <v>0</v>
      </c>
      <c r="AH482" s="2">
        <f>IF(AQ482="0",BJ482,0)</f>
        <v>0</v>
      </c>
      <c r="AI482" s="19" t="s">
        <v>533</v>
      </c>
      <c r="AJ482" s="2">
        <f>IF(AN482=0,L482,0)</f>
        <v>0</v>
      </c>
      <c r="AK482" s="2">
        <f>IF(AN482=15,L482,0)</f>
        <v>0</v>
      </c>
      <c r="AL482" s="2">
        <f>IF(AN482=21,L482,0)</f>
        <v>0</v>
      </c>
      <c r="AN482" s="2">
        <v>15</v>
      </c>
      <c r="AO482" s="2">
        <f>I482*0</f>
        <v>0</v>
      </c>
      <c r="AP482" s="2">
        <f>I482*(1-0)</f>
        <v>0</v>
      </c>
      <c r="AQ482" s="43" t="s">
        <v>1205</v>
      </c>
      <c r="AV482" s="2">
        <f>AW482+AX482</f>
        <v>0</v>
      </c>
      <c r="AW482" s="2">
        <f>H482*AO482</f>
        <v>0</v>
      </c>
      <c r="AX482" s="2">
        <f>H482*AP482</f>
        <v>0</v>
      </c>
      <c r="AY482" s="43" t="s">
        <v>1088</v>
      </c>
      <c r="AZ482" s="43" t="s">
        <v>1101</v>
      </c>
      <c r="BA482" s="19" t="s">
        <v>138</v>
      </c>
      <c r="BC482" s="2">
        <f>AW482+AX482</f>
        <v>0</v>
      </c>
      <c r="BD482" s="2">
        <f>I482/(100-BE482)*100</f>
        <v>0</v>
      </c>
      <c r="BE482" s="2">
        <v>0</v>
      </c>
      <c r="BF482" s="2">
        <f>482</f>
        <v>482</v>
      </c>
      <c r="BH482" s="2">
        <f>H482*AO482</f>
        <v>0</v>
      </c>
      <c r="BI482" s="2">
        <f>H482*AP482</f>
        <v>0</v>
      </c>
      <c r="BJ482" s="2">
        <f>H482*I482</f>
        <v>0</v>
      </c>
      <c r="BK482" s="2"/>
      <c r="BL482" s="2">
        <v>13</v>
      </c>
    </row>
    <row r="483" spans="1:47" ht="15" customHeight="1">
      <c r="A483" s="48" t="s">
        <v>844</v>
      </c>
      <c r="B483" s="17" t="s">
        <v>849</v>
      </c>
      <c r="C483" s="74" t="s">
        <v>182</v>
      </c>
      <c r="D483" s="74"/>
      <c r="E483" s="74"/>
      <c r="F483" s="74"/>
      <c r="G483" s="40" t="s">
        <v>1110</v>
      </c>
      <c r="H483" s="40" t="s">
        <v>1110</v>
      </c>
      <c r="I483" s="40" t="s">
        <v>1110</v>
      </c>
      <c r="J483" s="23">
        <f>SUM(J484:J484)</f>
        <v>0</v>
      </c>
      <c r="K483" s="23">
        <f>SUM(K484:K484)</f>
        <v>0</v>
      </c>
      <c r="L483" s="23">
        <f>SUM(L484:L484)</f>
        <v>0</v>
      </c>
      <c r="M483" s="37" t="s">
        <v>844</v>
      </c>
      <c r="AI483" s="19" t="s">
        <v>533</v>
      </c>
      <c r="AS483" s="23">
        <f>SUM(AJ484:AJ484)</f>
        <v>0</v>
      </c>
      <c r="AT483" s="23">
        <f>SUM(AK484:AK484)</f>
        <v>0</v>
      </c>
      <c r="AU483" s="23">
        <f>SUM(AL484:AL484)</f>
        <v>0</v>
      </c>
    </row>
    <row r="484" spans="1:64" ht="15" customHeight="1">
      <c r="A484" s="15" t="s">
        <v>273</v>
      </c>
      <c r="B484" s="14" t="s">
        <v>87</v>
      </c>
      <c r="C484" s="58" t="s">
        <v>539</v>
      </c>
      <c r="D484" s="58"/>
      <c r="E484" s="58"/>
      <c r="F484" s="58"/>
      <c r="G484" s="14" t="s">
        <v>1165</v>
      </c>
      <c r="H484" s="2">
        <v>9</v>
      </c>
      <c r="I484" s="2">
        <v>0</v>
      </c>
      <c r="J484" s="2">
        <f>H484*AO484</f>
        <v>0</v>
      </c>
      <c r="K484" s="2">
        <f>H484*AP484</f>
        <v>0</v>
      </c>
      <c r="L484" s="2">
        <f>H484*I484</f>
        <v>0</v>
      </c>
      <c r="M484" s="7" t="s">
        <v>831</v>
      </c>
      <c r="Z484" s="2">
        <f>IF(AQ484="5",BJ484,0)</f>
        <v>0</v>
      </c>
      <c r="AB484" s="2">
        <f>IF(AQ484="1",BH484,0)</f>
        <v>0</v>
      </c>
      <c r="AC484" s="2">
        <f>IF(AQ484="1",BI484,0)</f>
        <v>0</v>
      </c>
      <c r="AD484" s="2">
        <f>IF(AQ484="7",BH484,0)</f>
        <v>0</v>
      </c>
      <c r="AE484" s="2">
        <f>IF(AQ484="7",BI484,0)</f>
        <v>0</v>
      </c>
      <c r="AF484" s="2">
        <f>IF(AQ484="2",BH484,0)</f>
        <v>0</v>
      </c>
      <c r="AG484" s="2">
        <f>IF(AQ484="2",BI484,0)</f>
        <v>0</v>
      </c>
      <c r="AH484" s="2">
        <f>IF(AQ484="0",BJ484,0)</f>
        <v>0</v>
      </c>
      <c r="AI484" s="19" t="s">
        <v>533</v>
      </c>
      <c r="AJ484" s="2">
        <f>IF(AN484=0,L484,0)</f>
        <v>0</v>
      </c>
      <c r="AK484" s="2">
        <f>IF(AN484=15,L484,0)</f>
        <v>0</v>
      </c>
      <c r="AL484" s="2">
        <f>IF(AN484=21,L484,0)</f>
        <v>0</v>
      </c>
      <c r="AN484" s="2">
        <v>15</v>
      </c>
      <c r="AO484" s="2">
        <f>I484*0.32630410654828</f>
        <v>0</v>
      </c>
      <c r="AP484" s="2">
        <f>I484*(1-0.32630410654828)</f>
        <v>0</v>
      </c>
      <c r="AQ484" s="43" t="s">
        <v>1205</v>
      </c>
      <c r="AV484" s="2">
        <f>AW484+AX484</f>
        <v>0</v>
      </c>
      <c r="AW484" s="2">
        <f>H484*AO484</f>
        <v>0</v>
      </c>
      <c r="AX484" s="2">
        <f>H484*AP484</f>
        <v>0</v>
      </c>
      <c r="AY484" s="43" t="s">
        <v>266</v>
      </c>
      <c r="AZ484" s="43" t="s">
        <v>1101</v>
      </c>
      <c r="BA484" s="19" t="s">
        <v>138</v>
      </c>
      <c r="BC484" s="2">
        <f>AW484+AX484</f>
        <v>0</v>
      </c>
      <c r="BD484" s="2">
        <f>I484/(100-BE484)*100</f>
        <v>0</v>
      </c>
      <c r="BE484" s="2">
        <v>0</v>
      </c>
      <c r="BF484" s="2">
        <f>484</f>
        <v>484</v>
      </c>
      <c r="BH484" s="2">
        <f>H484*AO484</f>
        <v>0</v>
      </c>
      <c r="BI484" s="2">
        <f>H484*AP484</f>
        <v>0</v>
      </c>
      <c r="BJ484" s="2">
        <f>H484*I484</f>
        <v>0</v>
      </c>
      <c r="BK484" s="2"/>
      <c r="BL484" s="2">
        <v>17</v>
      </c>
    </row>
    <row r="485" spans="1:13" ht="13.5" customHeight="1">
      <c r="A485" s="51"/>
      <c r="B485" s="32" t="s">
        <v>639</v>
      </c>
      <c r="C485" s="75" t="s">
        <v>646</v>
      </c>
      <c r="D485" s="76"/>
      <c r="E485" s="76"/>
      <c r="F485" s="76"/>
      <c r="G485" s="76"/>
      <c r="H485" s="76"/>
      <c r="I485" s="76"/>
      <c r="J485" s="76"/>
      <c r="K485" s="76"/>
      <c r="L485" s="76"/>
      <c r="M485" s="77"/>
    </row>
    <row r="486" spans="1:47" ht="15" customHeight="1">
      <c r="A486" s="48" t="s">
        <v>844</v>
      </c>
      <c r="B486" s="17" t="s">
        <v>859</v>
      </c>
      <c r="C486" s="74" t="s">
        <v>445</v>
      </c>
      <c r="D486" s="74"/>
      <c r="E486" s="74"/>
      <c r="F486" s="74"/>
      <c r="G486" s="40" t="s">
        <v>1110</v>
      </c>
      <c r="H486" s="40" t="s">
        <v>1110</v>
      </c>
      <c r="I486" s="40" t="s">
        <v>1110</v>
      </c>
      <c r="J486" s="23">
        <f>SUM(J487:J487)</f>
        <v>0</v>
      </c>
      <c r="K486" s="23">
        <f>SUM(K487:K487)</f>
        <v>0</v>
      </c>
      <c r="L486" s="23">
        <f>SUM(L487:L487)</f>
        <v>0</v>
      </c>
      <c r="M486" s="37" t="s">
        <v>844</v>
      </c>
      <c r="AI486" s="19" t="s">
        <v>533</v>
      </c>
      <c r="AS486" s="23">
        <f>SUM(AJ487:AJ487)</f>
        <v>0</v>
      </c>
      <c r="AT486" s="23">
        <f>SUM(AK487:AK487)</f>
        <v>0</v>
      </c>
      <c r="AU486" s="23">
        <f>SUM(AL487:AL487)</f>
        <v>0</v>
      </c>
    </row>
    <row r="487" spans="1:64" ht="15" customHeight="1">
      <c r="A487" s="15" t="s">
        <v>729</v>
      </c>
      <c r="B487" s="14" t="s">
        <v>1248</v>
      </c>
      <c r="C487" s="58" t="s">
        <v>336</v>
      </c>
      <c r="D487" s="58"/>
      <c r="E487" s="58"/>
      <c r="F487" s="58"/>
      <c r="G487" s="14" t="s">
        <v>449</v>
      </c>
      <c r="H487" s="2">
        <v>3</v>
      </c>
      <c r="I487" s="2">
        <v>0</v>
      </c>
      <c r="J487" s="2">
        <f>H487*AO487</f>
        <v>0</v>
      </c>
      <c r="K487" s="2">
        <f>H487*AP487</f>
        <v>0</v>
      </c>
      <c r="L487" s="2">
        <f>H487*I487</f>
        <v>0</v>
      </c>
      <c r="M487" s="7" t="s">
        <v>831</v>
      </c>
      <c r="Z487" s="2">
        <f>IF(AQ487="5",BJ487,0)</f>
        <v>0</v>
      </c>
      <c r="AB487" s="2">
        <f>IF(AQ487="1",BH487,0)</f>
        <v>0</v>
      </c>
      <c r="AC487" s="2">
        <f>IF(AQ487="1",BI487,0)</f>
        <v>0</v>
      </c>
      <c r="AD487" s="2">
        <f>IF(AQ487="7",BH487,0)</f>
        <v>0</v>
      </c>
      <c r="AE487" s="2">
        <f>IF(AQ487="7",BI487,0)</f>
        <v>0</v>
      </c>
      <c r="AF487" s="2">
        <f>IF(AQ487="2",BH487,0)</f>
        <v>0</v>
      </c>
      <c r="AG487" s="2">
        <f>IF(AQ487="2",BI487,0)</f>
        <v>0</v>
      </c>
      <c r="AH487" s="2">
        <f>IF(AQ487="0",BJ487,0)</f>
        <v>0</v>
      </c>
      <c r="AI487" s="19" t="s">
        <v>533</v>
      </c>
      <c r="AJ487" s="2">
        <f>IF(AN487=0,L487,0)</f>
        <v>0</v>
      </c>
      <c r="AK487" s="2">
        <f>IF(AN487=15,L487,0)</f>
        <v>0</v>
      </c>
      <c r="AL487" s="2">
        <f>IF(AN487=21,L487,0)</f>
        <v>0</v>
      </c>
      <c r="AN487" s="2">
        <v>15</v>
      </c>
      <c r="AO487" s="2">
        <f>I487*0.659423640670743</f>
        <v>0</v>
      </c>
      <c r="AP487" s="2">
        <f>I487*(1-0.659423640670743)</f>
        <v>0</v>
      </c>
      <c r="AQ487" s="43" t="s">
        <v>1205</v>
      </c>
      <c r="AV487" s="2">
        <f>AW487+AX487</f>
        <v>0</v>
      </c>
      <c r="AW487" s="2">
        <f>H487*AO487</f>
        <v>0</v>
      </c>
      <c r="AX487" s="2">
        <f>H487*AP487</f>
        <v>0</v>
      </c>
      <c r="AY487" s="43" t="s">
        <v>751</v>
      </c>
      <c r="AZ487" s="43" t="s">
        <v>860</v>
      </c>
      <c r="BA487" s="19" t="s">
        <v>138</v>
      </c>
      <c r="BC487" s="2">
        <f>AW487+AX487</f>
        <v>0</v>
      </c>
      <c r="BD487" s="2">
        <f>I487/(100-BE487)*100</f>
        <v>0</v>
      </c>
      <c r="BE487" s="2">
        <v>0</v>
      </c>
      <c r="BF487" s="2">
        <f>487</f>
        <v>487</v>
      </c>
      <c r="BH487" s="2">
        <f>H487*AO487</f>
        <v>0</v>
      </c>
      <c r="BI487" s="2">
        <f>H487*AP487</f>
        <v>0</v>
      </c>
      <c r="BJ487" s="2">
        <f>H487*I487</f>
        <v>0</v>
      </c>
      <c r="BK487" s="2"/>
      <c r="BL487" s="2">
        <v>21</v>
      </c>
    </row>
    <row r="488" spans="1:47" ht="15" customHeight="1">
      <c r="A488" s="48" t="s">
        <v>844</v>
      </c>
      <c r="B488" s="17" t="s">
        <v>426</v>
      </c>
      <c r="C488" s="74" t="s">
        <v>498</v>
      </c>
      <c r="D488" s="74"/>
      <c r="E488" s="74"/>
      <c r="F488" s="74"/>
      <c r="G488" s="40" t="s">
        <v>1110</v>
      </c>
      <c r="H488" s="40" t="s">
        <v>1110</v>
      </c>
      <c r="I488" s="40" t="s">
        <v>1110</v>
      </c>
      <c r="J488" s="23">
        <f>SUM(J489:J489)</f>
        <v>0</v>
      </c>
      <c r="K488" s="23">
        <f>SUM(K489:K489)</f>
        <v>0</v>
      </c>
      <c r="L488" s="23">
        <f>SUM(L489:L489)</f>
        <v>0</v>
      </c>
      <c r="M488" s="37" t="s">
        <v>844</v>
      </c>
      <c r="AI488" s="19" t="s">
        <v>533</v>
      </c>
      <c r="AS488" s="23">
        <f>SUM(AJ489:AJ489)</f>
        <v>0</v>
      </c>
      <c r="AT488" s="23">
        <f>SUM(AK489:AK489)</f>
        <v>0</v>
      </c>
      <c r="AU488" s="23">
        <f>SUM(AL489:AL489)</f>
        <v>0</v>
      </c>
    </row>
    <row r="489" spans="1:64" ht="15" customHeight="1">
      <c r="A489" s="15" t="s">
        <v>906</v>
      </c>
      <c r="B489" s="14" t="s">
        <v>435</v>
      </c>
      <c r="C489" s="58" t="s">
        <v>1037</v>
      </c>
      <c r="D489" s="58"/>
      <c r="E489" s="58"/>
      <c r="F489" s="58"/>
      <c r="G489" s="14" t="s">
        <v>999</v>
      </c>
      <c r="H489" s="2">
        <v>6</v>
      </c>
      <c r="I489" s="2">
        <v>0</v>
      </c>
      <c r="J489" s="2">
        <f>H489*AO489</f>
        <v>0</v>
      </c>
      <c r="K489" s="2">
        <f>H489*AP489</f>
        <v>0</v>
      </c>
      <c r="L489" s="2">
        <f>H489*I489</f>
        <v>0</v>
      </c>
      <c r="M489" s="7" t="s">
        <v>831</v>
      </c>
      <c r="Z489" s="2">
        <f>IF(AQ489="5",BJ489,0)</f>
        <v>0</v>
      </c>
      <c r="AB489" s="2">
        <f>IF(AQ489="1",BH489,0)</f>
        <v>0</v>
      </c>
      <c r="AC489" s="2">
        <f>IF(AQ489="1",BI489,0)</f>
        <v>0</v>
      </c>
      <c r="AD489" s="2">
        <f>IF(AQ489="7",BH489,0)</f>
        <v>0</v>
      </c>
      <c r="AE489" s="2">
        <f>IF(AQ489="7",BI489,0)</f>
        <v>0</v>
      </c>
      <c r="AF489" s="2">
        <f>IF(AQ489="2",BH489,0)</f>
        <v>0</v>
      </c>
      <c r="AG489" s="2">
        <f>IF(AQ489="2",BI489,0)</f>
        <v>0</v>
      </c>
      <c r="AH489" s="2">
        <f>IF(AQ489="0",BJ489,0)</f>
        <v>0</v>
      </c>
      <c r="AI489" s="19" t="s">
        <v>533</v>
      </c>
      <c r="AJ489" s="2">
        <f>IF(AN489=0,L489,0)</f>
        <v>0</v>
      </c>
      <c r="AK489" s="2">
        <f>IF(AN489=15,L489,0)</f>
        <v>0</v>
      </c>
      <c r="AL489" s="2">
        <f>IF(AN489=21,L489,0)</f>
        <v>0</v>
      </c>
      <c r="AN489" s="2">
        <v>15</v>
      </c>
      <c r="AO489" s="2">
        <f>I489*0.509678499665104</f>
        <v>0</v>
      </c>
      <c r="AP489" s="2">
        <f>I489*(1-0.509678499665104)</f>
        <v>0</v>
      </c>
      <c r="AQ489" s="43" t="s">
        <v>1205</v>
      </c>
      <c r="AV489" s="2">
        <f>AW489+AX489</f>
        <v>0</v>
      </c>
      <c r="AW489" s="2">
        <f>H489*AO489</f>
        <v>0</v>
      </c>
      <c r="AX489" s="2">
        <f>H489*AP489</f>
        <v>0</v>
      </c>
      <c r="AY489" s="43" t="s">
        <v>1342</v>
      </c>
      <c r="AZ489" s="43" t="s">
        <v>1118</v>
      </c>
      <c r="BA489" s="19" t="s">
        <v>138</v>
      </c>
      <c r="BC489" s="2">
        <f>AW489+AX489</f>
        <v>0</v>
      </c>
      <c r="BD489" s="2">
        <f>I489/(100-BE489)*100</f>
        <v>0</v>
      </c>
      <c r="BE489" s="2">
        <v>0</v>
      </c>
      <c r="BF489" s="2">
        <f>489</f>
        <v>489</v>
      </c>
      <c r="BH489" s="2">
        <f>H489*AO489</f>
        <v>0</v>
      </c>
      <c r="BI489" s="2">
        <f>H489*AP489</f>
        <v>0</v>
      </c>
      <c r="BJ489" s="2">
        <f>H489*I489</f>
        <v>0</v>
      </c>
      <c r="BK489" s="2"/>
      <c r="BL489" s="2">
        <v>43</v>
      </c>
    </row>
    <row r="490" spans="1:13" ht="13.5" customHeight="1">
      <c r="A490" s="51"/>
      <c r="B490" s="32" t="s">
        <v>639</v>
      </c>
      <c r="C490" s="75" t="s">
        <v>1222</v>
      </c>
      <c r="D490" s="76"/>
      <c r="E490" s="76"/>
      <c r="F490" s="76"/>
      <c r="G490" s="76"/>
      <c r="H490" s="76"/>
      <c r="I490" s="76"/>
      <c r="J490" s="76"/>
      <c r="K490" s="76"/>
      <c r="L490" s="76"/>
      <c r="M490" s="77"/>
    </row>
    <row r="491" spans="1:47" ht="15" customHeight="1">
      <c r="A491" s="48" t="s">
        <v>844</v>
      </c>
      <c r="B491" s="17" t="s">
        <v>768</v>
      </c>
      <c r="C491" s="74" t="s">
        <v>811</v>
      </c>
      <c r="D491" s="74"/>
      <c r="E491" s="74"/>
      <c r="F491" s="74"/>
      <c r="G491" s="40" t="s">
        <v>1110</v>
      </c>
      <c r="H491" s="40" t="s">
        <v>1110</v>
      </c>
      <c r="I491" s="40" t="s">
        <v>1110</v>
      </c>
      <c r="J491" s="23">
        <f>SUM(J492:J495)</f>
        <v>0</v>
      </c>
      <c r="K491" s="23">
        <f>SUM(K492:K495)</f>
        <v>0</v>
      </c>
      <c r="L491" s="23">
        <f>SUM(L492:L495)</f>
        <v>0</v>
      </c>
      <c r="M491" s="37" t="s">
        <v>844</v>
      </c>
      <c r="AI491" s="19" t="s">
        <v>533</v>
      </c>
      <c r="AS491" s="23">
        <f>SUM(AJ492:AJ495)</f>
        <v>0</v>
      </c>
      <c r="AT491" s="23">
        <f>SUM(AK492:AK495)</f>
        <v>0</v>
      </c>
      <c r="AU491" s="23">
        <f>SUM(AL492:AL495)</f>
        <v>0</v>
      </c>
    </row>
    <row r="492" spans="1:64" ht="15" customHeight="1">
      <c r="A492" s="15" t="s">
        <v>226</v>
      </c>
      <c r="B492" s="14" t="s">
        <v>809</v>
      </c>
      <c r="C492" s="58" t="s">
        <v>1141</v>
      </c>
      <c r="D492" s="58"/>
      <c r="E492" s="58"/>
      <c r="F492" s="58"/>
      <c r="G492" s="14" t="s">
        <v>1189</v>
      </c>
      <c r="H492" s="2">
        <v>132</v>
      </c>
      <c r="I492" s="2">
        <v>0</v>
      </c>
      <c r="J492" s="2">
        <f>H492*AO492</f>
        <v>0</v>
      </c>
      <c r="K492" s="2">
        <f>H492*AP492</f>
        <v>0</v>
      </c>
      <c r="L492" s="2">
        <f>H492*I492</f>
        <v>0</v>
      </c>
      <c r="M492" s="7" t="s">
        <v>831</v>
      </c>
      <c r="Z492" s="2">
        <f>IF(AQ492="5",BJ492,0)</f>
        <v>0</v>
      </c>
      <c r="AB492" s="2">
        <f>IF(AQ492="1",BH492,0)</f>
        <v>0</v>
      </c>
      <c r="AC492" s="2">
        <f>IF(AQ492="1",BI492,0)</f>
        <v>0</v>
      </c>
      <c r="AD492" s="2">
        <f>IF(AQ492="7",BH492,0)</f>
        <v>0</v>
      </c>
      <c r="AE492" s="2">
        <f>IF(AQ492="7",BI492,0)</f>
        <v>0</v>
      </c>
      <c r="AF492" s="2">
        <f>IF(AQ492="2",BH492,0)</f>
        <v>0</v>
      </c>
      <c r="AG492" s="2">
        <f>IF(AQ492="2",BI492,0)</f>
        <v>0</v>
      </c>
      <c r="AH492" s="2">
        <f>IF(AQ492="0",BJ492,0)</f>
        <v>0</v>
      </c>
      <c r="AI492" s="19" t="s">
        <v>533</v>
      </c>
      <c r="AJ492" s="2">
        <f>IF(AN492=0,L492,0)</f>
        <v>0</v>
      </c>
      <c r="AK492" s="2">
        <f>IF(AN492=15,L492,0)</f>
        <v>0</v>
      </c>
      <c r="AL492" s="2">
        <f>IF(AN492=21,L492,0)</f>
        <v>0</v>
      </c>
      <c r="AN492" s="2">
        <v>15</v>
      </c>
      <c r="AO492" s="2">
        <f>I492*0.812688456129884</f>
        <v>0</v>
      </c>
      <c r="AP492" s="2">
        <f>I492*(1-0.812688456129884)</f>
        <v>0</v>
      </c>
      <c r="AQ492" s="43" t="s">
        <v>1205</v>
      </c>
      <c r="AV492" s="2">
        <f>AW492+AX492</f>
        <v>0</v>
      </c>
      <c r="AW492" s="2">
        <f>H492*AO492</f>
        <v>0</v>
      </c>
      <c r="AX492" s="2">
        <f>H492*AP492</f>
        <v>0</v>
      </c>
      <c r="AY492" s="43" t="s">
        <v>1268</v>
      </c>
      <c r="AZ492" s="43" t="s">
        <v>389</v>
      </c>
      <c r="BA492" s="19" t="s">
        <v>138</v>
      </c>
      <c r="BC492" s="2">
        <f>AW492+AX492</f>
        <v>0</v>
      </c>
      <c r="BD492" s="2">
        <f>I492/(100-BE492)*100</f>
        <v>0</v>
      </c>
      <c r="BE492" s="2">
        <v>0</v>
      </c>
      <c r="BF492" s="2">
        <f>492</f>
        <v>492</v>
      </c>
      <c r="BH492" s="2">
        <f>H492*AO492</f>
        <v>0</v>
      </c>
      <c r="BI492" s="2">
        <f>H492*AP492</f>
        <v>0</v>
      </c>
      <c r="BJ492" s="2">
        <f>H492*I492</f>
        <v>0</v>
      </c>
      <c r="BK492" s="2"/>
      <c r="BL492" s="2">
        <v>56</v>
      </c>
    </row>
    <row r="493" spans="1:64" ht="15" customHeight="1">
      <c r="A493" s="15" t="s">
        <v>1049</v>
      </c>
      <c r="B493" s="14" t="s">
        <v>80</v>
      </c>
      <c r="C493" s="58" t="s">
        <v>741</v>
      </c>
      <c r="D493" s="58"/>
      <c r="E493" s="58"/>
      <c r="F493" s="58"/>
      <c r="G493" s="14" t="s">
        <v>1189</v>
      </c>
      <c r="H493" s="2">
        <v>132</v>
      </c>
      <c r="I493" s="2">
        <v>0</v>
      </c>
      <c r="J493" s="2">
        <f>H493*AO493</f>
        <v>0</v>
      </c>
      <c r="K493" s="2">
        <f>H493*AP493</f>
        <v>0</v>
      </c>
      <c r="L493" s="2">
        <f>H493*I493</f>
        <v>0</v>
      </c>
      <c r="M493" s="7" t="s">
        <v>831</v>
      </c>
      <c r="Z493" s="2">
        <f>IF(AQ493="5",BJ493,0)</f>
        <v>0</v>
      </c>
      <c r="AB493" s="2">
        <f>IF(AQ493="1",BH493,0)</f>
        <v>0</v>
      </c>
      <c r="AC493" s="2">
        <f>IF(AQ493="1",BI493,0)</f>
        <v>0</v>
      </c>
      <c r="AD493" s="2">
        <f>IF(AQ493="7",BH493,0)</f>
        <v>0</v>
      </c>
      <c r="AE493" s="2">
        <f>IF(AQ493="7",BI493,0)</f>
        <v>0</v>
      </c>
      <c r="AF493" s="2">
        <f>IF(AQ493="2",BH493,0)</f>
        <v>0</v>
      </c>
      <c r="AG493" s="2">
        <f>IF(AQ493="2",BI493,0)</f>
        <v>0</v>
      </c>
      <c r="AH493" s="2">
        <f>IF(AQ493="0",BJ493,0)</f>
        <v>0</v>
      </c>
      <c r="AI493" s="19" t="s">
        <v>533</v>
      </c>
      <c r="AJ493" s="2">
        <f>IF(AN493=0,L493,0)</f>
        <v>0</v>
      </c>
      <c r="AK493" s="2">
        <f>IF(AN493=15,L493,0)</f>
        <v>0</v>
      </c>
      <c r="AL493" s="2">
        <f>IF(AN493=21,L493,0)</f>
        <v>0</v>
      </c>
      <c r="AN493" s="2">
        <v>15</v>
      </c>
      <c r="AO493" s="2">
        <f>I493*0.881062801932367</f>
        <v>0</v>
      </c>
      <c r="AP493" s="2">
        <f>I493*(1-0.881062801932367)</f>
        <v>0</v>
      </c>
      <c r="AQ493" s="43" t="s">
        <v>1205</v>
      </c>
      <c r="AV493" s="2">
        <f>AW493+AX493</f>
        <v>0</v>
      </c>
      <c r="AW493" s="2">
        <f>H493*AO493</f>
        <v>0</v>
      </c>
      <c r="AX493" s="2">
        <f>H493*AP493</f>
        <v>0</v>
      </c>
      <c r="AY493" s="43" t="s">
        <v>1268</v>
      </c>
      <c r="AZ493" s="43" t="s">
        <v>389</v>
      </c>
      <c r="BA493" s="19" t="s">
        <v>138</v>
      </c>
      <c r="BC493" s="2">
        <f>AW493+AX493</f>
        <v>0</v>
      </c>
      <c r="BD493" s="2">
        <f>I493/(100-BE493)*100</f>
        <v>0</v>
      </c>
      <c r="BE493" s="2">
        <v>0</v>
      </c>
      <c r="BF493" s="2">
        <f>493</f>
        <v>493</v>
      </c>
      <c r="BH493" s="2">
        <f>H493*AO493</f>
        <v>0</v>
      </c>
      <c r="BI493" s="2">
        <f>H493*AP493</f>
        <v>0</v>
      </c>
      <c r="BJ493" s="2">
        <f>H493*I493</f>
        <v>0</v>
      </c>
      <c r="BK493" s="2"/>
      <c r="BL493" s="2">
        <v>56</v>
      </c>
    </row>
    <row r="494" spans="1:13" ht="13.5" customHeight="1">
      <c r="A494" s="51"/>
      <c r="B494" s="32" t="s">
        <v>639</v>
      </c>
      <c r="C494" s="75" t="s">
        <v>1027</v>
      </c>
      <c r="D494" s="76"/>
      <c r="E494" s="76"/>
      <c r="F494" s="76"/>
      <c r="G494" s="76"/>
      <c r="H494" s="76"/>
      <c r="I494" s="76"/>
      <c r="J494" s="76"/>
      <c r="K494" s="76"/>
      <c r="L494" s="76"/>
      <c r="M494" s="77"/>
    </row>
    <row r="495" spans="1:64" ht="15" customHeight="1">
      <c r="A495" s="15" t="s">
        <v>845</v>
      </c>
      <c r="B495" s="14" t="s">
        <v>315</v>
      </c>
      <c r="C495" s="58" t="s">
        <v>1023</v>
      </c>
      <c r="D495" s="58"/>
      <c r="E495" s="58"/>
      <c r="F495" s="58"/>
      <c r="G495" s="14" t="s">
        <v>1189</v>
      </c>
      <c r="H495" s="2">
        <v>132</v>
      </c>
      <c r="I495" s="2">
        <v>0</v>
      </c>
      <c r="J495" s="2">
        <f>H495*AO495</f>
        <v>0</v>
      </c>
      <c r="K495" s="2">
        <f>H495*AP495</f>
        <v>0</v>
      </c>
      <c r="L495" s="2">
        <f>H495*I495</f>
        <v>0</v>
      </c>
      <c r="M495" s="7" t="s">
        <v>831</v>
      </c>
      <c r="Z495" s="2">
        <f>IF(AQ495="5",BJ495,0)</f>
        <v>0</v>
      </c>
      <c r="AB495" s="2">
        <f>IF(AQ495="1",BH495,0)</f>
        <v>0</v>
      </c>
      <c r="AC495" s="2">
        <f>IF(AQ495="1",BI495,0)</f>
        <v>0</v>
      </c>
      <c r="AD495" s="2">
        <f>IF(AQ495="7",BH495,0)</f>
        <v>0</v>
      </c>
      <c r="AE495" s="2">
        <f>IF(AQ495="7",BI495,0)</f>
        <v>0</v>
      </c>
      <c r="AF495" s="2">
        <f>IF(AQ495="2",BH495,0)</f>
        <v>0</v>
      </c>
      <c r="AG495" s="2">
        <f>IF(AQ495="2",BI495,0)</f>
        <v>0</v>
      </c>
      <c r="AH495" s="2">
        <f>IF(AQ495="0",BJ495,0)</f>
        <v>0</v>
      </c>
      <c r="AI495" s="19" t="s">
        <v>533</v>
      </c>
      <c r="AJ495" s="2">
        <f>IF(AN495=0,L495,0)</f>
        <v>0</v>
      </c>
      <c r="AK495" s="2">
        <f>IF(AN495=15,L495,0)</f>
        <v>0</v>
      </c>
      <c r="AL495" s="2">
        <f>IF(AN495=21,L495,0)</f>
        <v>0</v>
      </c>
      <c r="AN495" s="2">
        <v>15</v>
      </c>
      <c r="AO495" s="2">
        <f>I495*0.688163265306122</f>
        <v>0</v>
      </c>
      <c r="AP495" s="2">
        <f>I495*(1-0.688163265306122)</f>
        <v>0</v>
      </c>
      <c r="AQ495" s="43" t="s">
        <v>1205</v>
      </c>
      <c r="AV495" s="2">
        <f>AW495+AX495</f>
        <v>0</v>
      </c>
      <c r="AW495" s="2">
        <f>H495*AO495</f>
        <v>0</v>
      </c>
      <c r="AX495" s="2">
        <f>H495*AP495</f>
        <v>0</v>
      </c>
      <c r="AY495" s="43" t="s">
        <v>1268</v>
      </c>
      <c r="AZ495" s="43" t="s">
        <v>389</v>
      </c>
      <c r="BA495" s="19" t="s">
        <v>138</v>
      </c>
      <c r="BC495" s="2">
        <f>AW495+AX495</f>
        <v>0</v>
      </c>
      <c r="BD495" s="2">
        <f>I495/(100-BE495)*100</f>
        <v>0</v>
      </c>
      <c r="BE495" s="2">
        <v>0</v>
      </c>
      <c r="BF495" s="2">
        <f>495</f>
        <v>495</v>
      </c>
      <c r="BH495" s="2">
        <f>H495*AO495</f>
        <v>0</v>
      </c>
      <c r="BI495" s="2">
        <f>H495*AP495</f>
        <v>0</v>
      </c>
      <c r="BJ495" s="2">
        <f>H495*I495</f>
        <v>0</v>
      </c>
      <c r="BK495" s="2"/>
      <c r="BL495" s="2">
        <v>56</v>
      </c>
    </row>
    <row r="496" spans="1:13" ht="13.5" customHeight="1">
      <c r="A496" s="51"/>
      <c r="B496" s="32" t="s">
        <v>639</v>
      </c>
      <c r="C496" s="75" t="s">
        <v>661</v>
      </c>
      <c r="D496" s="76"/>
      <c r="E496" s="76"/>
      <c r="F496" s="76"/>
      <c r="G496" s="76"/>
      <c r="H496" s="76"/>
      <c r="I496" s="76"/>
      <c r="J496" s="76"/>
      <c r="K496" s="76"/>
      <c r="L496" s="76"/>
      <c r="M496" s="77"/>
    </row>
    <row r="497" spans="1:47" ht="15" customHeight="1">
      <c r="A497" s="48" t="s">
        <v>844</v>
      </c>
      <c r="B497" s="17" t="s">
        <v>1134</v>
      </c>
      <c r="C497" s="74" t="s">
        <v>633</v>
      </c>
      <c r="D497" s="74"/>
      <c r="E497" s="74"/>
      <c r="F497" s="74"/>
      <c r="G497" s="40" t="s">
        <v>1110</v>
      </c>
      <c r="H497" s="40" t="s">
        <v>1110</v>
      </c>
      <c r="I497" s="40" t="s">
        <v>1110</v>
      </c>
      <c r="J497" s="23">
        <f>SUM(J498:J498)</f>
        <v>0</v>
      </c>
      <c r="K497" s="23">
        <f>SUM(K498:K498)</f>
        <v>0</v>
      </c>
      <c r="L497" s="23">
        <f>SUM(L498:L498)</f>
        <v>0</v>
      </c>
      <c r="M497" s="37" t="s">
        <v>844</v>
      </c>
      <c r="AI497" s="19" t="s">
        <v>533</v>
      </c>
      <c r="AS497" s="23">
        <f>SUM(AJ498:AJ498)</f>
        <v>0</v>
      </c>
      <c r="AT497" s="23">
        <f>SUM(AK498:AK498)</f>
        <v>0</v>
      </c>
      <c r="AU497" s="23">
        <f>SUM(AL498:AL498)</f>
        <v>0</v>
      </c>
    </row>
    <row r="498" spans="1:64" ht="15" customHeight="1">
      <c r="A498" s="15" t="s">
        <v>363</v>
      </c>
      <c r="B498" s="14" t="s">
        <v>1357</v>
      </c>
      <c r="C498" s="58" t="s">
        <v>903</v>
      </c>
      <c r="D498" s="58"/>
      <c r="E498" s="58"/>
      <c r="F498" s="58"/>
      <c r="G498" s="14" t="s">
        <v>1189</v>
      </c>
      <c r="H498" s="2">
        <v>55.9</v>
      </c>
      <c r="I498" s="2">
        <v>0</v>
      </c>
      <c r="J498" s="2">
        <f>H498*AO498</f>
        <v>0</v>
      </c>
      <c r="K498" s="2">
        <f>H498*AP498</f>
        <v>0</v>
      </c>
      <c r="L498" s="2">
        <f>H498*I498</f>
        <v>0</v>
      </c>
      <c r="M498" s="7" t="s">
        <v>831</v>
      </c>
      <c r="Z498" s="2">
        <f>IF(AQ498="5",BJ498,0)</f>
        <v>0</v>
      </c>
      <c r="AB498" s="2">
        <f>IF(AQ498="1",BH498,0)</f>
        <v>0</v>
      </c>
      <c r="AC498" s="2">
        <f>IF(AQ498="1",BI498,0)</f>
        <v>0</v>
      </c>
      <c r="AD498" s="2">
        <f>IF(AQ498="7",BH498,0)</f>
        <v>0</v>
      </c>
      <c r="AE498" s="2">
        <f>IF(AQ498="7",BI498,0)</f>
        <v>0</v>
      </c>
      <c r="AF498" s="2">
        <f>IF(AQ498="2",BH498,0)</f>
        <v>0</v>
      </c>
      <c r="AG498" s="2">
        <f>IF(AQ498="2",BI498,0)</f>
        <v>0</v>
      </c>
      <c r="AH498" s="2">
        <f>IF(AQ498="0",BJ498,0)</f>
        <v>0</v>
      </c>
      <c r="AI498" s="19" t="s">
        <v>533</v>
      </c>
      <c r="AJ498" s="2">
        <f>IF(AN498=0,L498,0)</f>
        <v>0</v>
      </c>
      <c r="AK498" s="2">
        <f>IF(AN498=15,L498,0)</f>
        <v>0</v>
      </c>
      <c r="AL498" s="2">
        <f>IF(AN498=21,L498,0)</f>
        <v>0</v>
      </c>
      <c r="AN498" s="2">
        <v>15</v>
      </c>
      <c r="AO498" s="2">
        <f>I498*0.500804985337243</f>
        <v>0</v>
      </c>
      <c r="AP498" s="2">
        <f>I498*(1-0.500804985337243)</f>
        <v>0</v>
      </c>
      <c r="AQ498" s="43" t="s">
        <v>1205</v>
      </c>
      <c r="AV498" s="2">
        <f>AW498+AX498</f>
        <v>0</v>
      </c>
      <c r="AW498" s="2">
        <f>H498*AO498</f>
        <v>0</v>
      </c>
      <c r="AX498" s="2">
        <f>H498*AP498</f>
        <v>0</v>
      </c>
      <c r="AY498" s="43" t="s">
        <v>509</v>
      </c>
      <c r="AZ498" s="43" t="s">
        <v>389</v>
      </c>
      <c r="BA498" s="19" t="s">
        <v>138</v>
      </c>
      <c r="BC498" s="2">
        <f>AW498+AX498</f>
        <v>0</v>
      </c>
      <c r="BD498" s="2">
        <f>I498/(100-BE498)*100</f>
        <v>0</v>
      </c>
      <c r="BE498" s="2">
        <v>0</v>
      </c>
      <c r="BF498" s="2">
        <f>498</f>
        <v>498</v>
      </c>
      <c r="BH498" s="2">
        <f>H498*AO498</f>
        <v>0</v>
      </c>
      <c r="BI498" s="2">
        <f>H498*AP498</f>
        <v>0</v>
      </c>
      <c r="BJ498" s="2">
        <f>H498*I498</f>
        <v>0</v>
      </c>
      <c r="BK498" s="2"/>
      <c r="BL498" s="2">
        <v>57</v>
      </c>
    </row>
    <row r="499" spans="1:47" ht="15" customHeight="1">
      <c r="A499" s="48" t="s">
        <v>844</v>
      </c>
      <c r="B499" s="17" t="s">
        <v>574</v>
      </c>
      <c r="C499" s="74" t="s">
        <v>1127</v>
      </c>
      <c r="D499" s="74"/>
      <c r="E499" s="74"/>
      <c r="F499" s="74"/>
      <c r="G499" s="40" t="s">
        <v>1110</v>
      </c>
      <c r="H499" s="40" t="s">
        <v>1110</v>
      </c>
      <c r="I499" s="40" t="s">
        <v>1110</v>
      </c>
      <c r="J499" s="23">
        <f>SUM(J500:J510)</f>
        <v>0</v>
      </c>
      <c r="K499" s="23">
        <f>SUM(K500:K510)</f>
        <v>0</v>
      </c>
      <c r="L499" s="23">
        <f>SUM(L500:L510)</f>
        <v>0</v>
      </c>
      <c r="M499" s="37" t="s">
        <v>844</v>
      </c>
      <c r="AI499" s="19" t="s">
        <v>533</v>
      </c>
      <c r="AS499" s="23">
        <f>SUM(AJ500:AJ510)</f>
        <v>0</v>
      </c>
      <c r="AT499" s="23">
        <f>SUM(AK500:AK510)</f>
        <v>0</v>
      </c>
      <c r="AU499" s="23">
        <f>SUM(AL500:AL510)</f>
        <v>0</v>
      </c>
    </row>
    <row r="500" spans="1:64" ht="15" customHeight="1">
      <c r="A500" s="15" t="s">
        <v>1103</v>
      </c>
      <c r="B500" s="14" t="s">
        <v>769</v>
      </c>
      <c r="C500" s="58" t="s">
        <v>910</v>
      </c>
      <c r="D500" s="58"/>
      <c r="E500" s="58"/>
      <c r="F500" s="58"/>
      <c r="G500" s="14" t="s">
        <v>1189</v>
      </c>
      <c r="H500" s="2">
        <v>44.5</v>
      </c>
      <c r="I500" s="2">
        <v>0</v>
      </c>
      <c r="J500" s="2">
        <f>H500*AO500</f>
        <v>0</v>
      </c>
      <c r="K500" s="2">
        <f>H500*AP500</f>
        <v>0</v>
      </c>
      <c r="L500" s="2">
        <f>H500*I500</f>
        <v>0</v>
      </c>
      <c r="M500" s="7" t="s">
        <v>831</v>
      </c>
      <c r="Z500" s="2">
        <f>IF(AQ500="5",BJ500,0)</f>
        <v>0</v>
      </c>
      <c r="AB500" s="2">
        <f>IF(AQ500="1",BH500,0)</f>
        <v>0</v>
      </c>
      <c r="AC500" s="2">
        <f>IF(AQ500="1",BI500,0)</f>
        <v>0</v>
      </c>
      <c r="AD500" s="2">
        <f>IF(AQ500="7",BH500,0)</f>
        <v>0</v>
      </c>
      <c r="AE500" s="2">
        <f>IF(AQ500="7",BI500,0)</f>
        <v>0</v>
      </c>
      <c r="AF500" s="2">
        <f>IF(AQ500="2",BH500,0)</f>
        <v>0</v>
      </c>
      <c r="AG500" s="2">
        <f>IF(AQ500="2",BI500,0)</f>
        <v>0</v>
      </c>
      <c r="AH500" s="2">
        <f>IF(AQ500="0",BJ500,0)</f>
        <v>0</v>
      </c>
      <c r="AI500" s="19" t="s">
        <v>533</v>
      </c>
      <c r="AJ500" s="2">
        <f>IF(AN500=0,L500,0)</f>
        <v>0</v>
      </c>
      <c r="AK500" s="2">
        <f>IF(AN500=15,L500,0)</f>
        <v>0</v>
      </c>
      <c r="AL500" s="2">
        <f>IF(AN500=21,L500,0)</f>
        <v>0</v>
      </c>
      <c r="AN500" s="2">
        <v>15</v>
      </c>
      <c r="AO500" s="2">
        <f>I500*0.512047631248785</f>
        <v>0</v>
      </c>
      <c r="AP500" s="2">
        <f>I500*(1-0.512047631248785)</f>
        <v>0</v>
      </c>
      <c r="AQ500" s="43" t="s">
        <v>1205</v>
      </c>
      <c r="AV500" s="2">
        <f>AW500+AX500</f>
        <v>0</v>
      </c>
      <c r="AW500" s="2">
        <f>H500*AO500</f>
        <v>0</v>
      </c>
      <c r="AX500" s="2">
        <f>H500*AP500</f>
        <v>0</v>
      </c>
      <c r="AY500" s="43" t="s">
        <v>1194</v>
      </c>
      <c r="AZ500" s="43" t="s">
        <v>389</v>
      </c>
      <c r="BA500" s="19" t="s">
        <v>138</v>
      </c>
      <c r="BC500" s="2">
        <f>AW500+AX500</f>
        <v>0</v>
      </c>
      <c r="BD500" s="2">
        <f>I500/(100-BE500)*100</f>
        <v>0</v>
      </c>
      <c r="BE500" s="2">
        <v>0</v>
      </c>
      <c r="BF500" s="2">
        <f>500</f>
        <v>500</v>
      </c>
      <c r="BH500" s="2">
        <f>H500*AO500</f>
        <v>0</v>
      </c>
      <c r="BI500" s="2">
        <f>H500*AP500</f>
        <v>0</v>
      </c>
      <c r="BJ500" s="2">
        <f>H500*I500</f>
        <v>0</v>
      </c>
      <c r="BK500" s="2"/>
      <c r="BL500" s="2">
        <v>59</v>
      </c>
    </row>
    <row r="501" spans="1:13" ht="13.5" customHeight="1">
      <c r="A501" s="51"/>
      <c r="B501" s="32" t="s">
        <v>639</v>
      </c>
      <c r="C501" s="75" t="s">
        <v>1069</v>
      </c>
      <c r="D501" s="76"/>
      <c r="E501" s="76"/>
      <c r="F501" s="76"/>
      <c r="G501" s="76"/>
      <c r="H501" s="76"/>
      <c r="I501" s="76"/>
      <c r="J501" s="76"/>
      <c r="K501" s="76"/>
      <c r="L501" s="76"/>
      <c r="M501" s="77"/>
    </row>
    <row r="502" spans="1:64" ht="15" customHeight="1">
      <c r="A502" s="15" t="s">
        <v>1319</v>
      </c>
      <c r="B502" s="14" t="s">
        <v>541</v>
      </c>
      <c r="C502" s="58" t="s">
        <v>1340</v>
      </c>
      <c r="D502" s="58"/>
      <c r="E502" s="58"/>
      <c r="F502" s="58"/>
      <c r="G502" s="14" t="s">
        <v>1189</v>
      </c>
      <c r="H502" s="2">
        <v>132</v>
      </c>
      <c r="I502" s="2">
        <v>0</v>
      </c>
      <c r="J502" s="2">
        <f>H502*AO502</f>
        <v>0</v>
      </c>
      <c r="K502" s="2">
        <f>H502*AP502</f>
        <v>0</v>
      </c>
      <c r="L502" s="2">
        <f>H502*I502</f>
        <v>0</v>
      </c>
      <c r="M502" s="7" t="s">
        <v>831</v>
      </c>
      <c r="Z502" s="2">
        <f>IF(AQ502="5",BJ502,0)</f>
        <v>0</v>
      </c>
      <c r="AB502" s="2">
        <f>IF(AQ502="1",BH502,0)</f>
        <v>0</v>
      </c>
      <c r="AC502" s="2">
        <f>IF(AQ502="1",BI502,0)</f>
        <v>0</v>
      </c>
      <c r="AD502" s="2">
        <f>IF(AQ502="7",BH502,0)</f>
        <v>0</v>
      </c>
      <c r="AE502" s="2">
        <f>IF(AQ502="7",BI502,0)</f>
        <v>0</v>
      </c>
      <c r="AF502" s="2">
        <f>IF(AQ502="2",BH502,0)</f>
        <v>0</v>
      </c>
      <c r="AG502" s="2">
        <f>IF(AQ502="2",BI502,0)</f>
        <v>0</v>
      </c>
      <c r="AH502" s="2">
        <f>IF(AQ502="0",BJ502,0)</f>
        <v>0</v>
      </c>
      <c r="AI502" s="19" t="s">
        <v>533</v>
      </c>
      <c r="AJ502" s="2">
        <f>IF(AN502=0,L502,0)</f>
        <v>0</v>
      </c>
      <c r="AK502" s="2">
        <f>IF(AN502=15,L502,0)</f>
        <v>0</v>
      </c>
      <c r="AL502" s="2">
        <f>IF(AN502=21,L502,0)</f>
        <v>0</v>
      </c>
      <c r="AN502" s="2">
        <v>15</v>
      </c>
      <c r="AO502" s="2">
        <f>I502*0.0614190173406174</f>
        <v>0</v>
      </c>
      <c r="AP502" s="2">
        <f>I502*(1-0.0614190173406174)</f>
        <v>0</v>
      </c>
      <c r="AQ502" s="43" t="s">
        <v>1205</v>
      </c>
      <c r="AV502" s="2">
        <f>AW502+AX502</f>
        <v>0</v>
      </c>
      <c r="AW502" s="2">
        <f>H502*AO502</f>
        <v>0</v>
      </c>
      <c r="AX502" s="2">
        <f>H502*AP502</f>
        <v>0</v>
      </c>
      <c r="AY502" s="43" t="s">
        <v>1194</v>
      </c>
      <c r="AZ502" s="43" t="s">
        <v>389</v>
      </c>
      <c r="BA502" s="19" t="s">
        <v>138</v>
      </c>
      <c r="BC502" s="2">
        <f>AW502+AX502</f>
        <v>0</v>
      </c>
      <c r="BD502" s="2">
        <f>I502/(100-BE502)*100</f>
        <v>0</v>
      </c>
      <c r="BE502" s="2">
        <v>0</v>
      </c>
      <c r="BF502" s="2">
        <f>502</f>
        <v>502</v>
      </c>
      <c r="BH502" s="2">
        <f>H502*AO502</f>
        <v>0</v>
      </c>
      <c r="BI502" s="2">
        <f>H502*AP502</f>
        <v>0</v>
      </c>
      <c r="BJ502" s="2">
        <f>H502*I502</f>
        <v>0</v>
      </c>
      <c r="BK502" s="2"/>
      <c r="BL502" s="2">
        <v>59</v>
      </c>
    </row>
    <row r="503" spans="1:64" ht="15" customHeight="1">
      <c r="A503" s="15" t="s">
        <v>877</v>
      </c>
      <c r="B503" s="14" t="s">
        <v>693</v>
      </c>
      <c r="C503" s="58" t="s">
        <v>54</v>
      </c>
      <c r="D503" s="58"/>
      <c r="E503" s="58"/>
      <c r="F503" s="58"/>
      <c r="G503" s="14" t="s">
        <v>319</v>
      </c>
      <c r="H503" s="2">
        <v>560</v>
      </c>
      <c r="I503" s="2">
        <v>0</v>
      </c>
      <c r="J503" s="2">
        <f>H503*AO503</f>
        <v>0</v>
      </c>
      <c r="K503" s="2">
        <f>H503*AP503</f>
        <v>0</v>
      </c>
      <c r="L503" s="2">
        <f>H503*I503</f>
        <v>0</v>
      </c>
      <c r="M503" s="7" t="s">
        <v>831</v>
      </c>
      <c r="Z503" s="2">
        <f>IF(AQ503="5",BJ503,0)</f>
        <v>0</v>
      </c>
      <c r="AB503" s="2">
        <f>IF(AQ503="1",BH503,0)</f>
        <v>0</v>
      </c>
      <c r="AC503" s="2">
        <f>IF(AQ503="1",BI503,0)</f>
        <v>0</v>
      </c>
      <c r="AD503" s="2">
        <f>IF(AQ503="7",BH503,0)</f>
        <v>0</v>
      </c>
      <c r="AE503" s="2">
        <f>IF(AQ503="7",BI503,0)</f>
        <v>0</v>
      </c>
      <c r="AF503" s="2">
        <f>IF(AQ503="2",BH503,0)</f>
        <v>0</v>
      </c>
      <c r="AG503" s="2">
        <f>IF(AQ503="2",BI503,0)</f>
        <v>0</v>
      </c>
      <c r="AH503" s="2">
        <f>IF(AQ503="0",BJ503,0)</f>
        <v>0</v>
      </c>
      <c r="AI503" s="19" t="s">
        <v>533</v>
      </c>
      <c r="AJ503" s="2">
        <f>IF(AN503=0,L503,0)</f>
        <v>0</v>
      </c>
      <c r="AK503" s="2">
        <f>IF(AN503=15,L503,0)</f>
        <v>0</v>
      </c>
      <c r="AL503" s="2">
        <f>IF(AN503=21,L503,0)</f>
        <v>0</v>
      </c>
      <c r="AN503" s="2">
        <v>15</v>
      </c>
      <c r="AO503" s="2">
        <f>I503*1</f>
        <v>0</v>
      </c>
      <c r="AP503" s="2">
        <f>I503*(1-1)</f>
        <v>0</v>
      </c>
      <c r="AQ503" s="43" t="s">
        <v>1205</v>
      </c>
      <c r="AV503" s="2">
        <f>AW503+AX503</f>
        <v>0</v>
      </c>
      <c r="AW503" s="2">
        <f>H503*AO503</f>
        <v>0</v>
      </c>
      <c r="AX503" s="2">
        <f>H503*AP503</f>
        <v>0</v>
      </c>
      <c r="AY503" s="43" t="s">
        <v>1194</v>
      </c>
      <c r="AZ503" s="43" t="s">
        <v>389</v>
      </c>
      <c r="BA503" s="19" t="s">
        <v>138</v>
      </c>
      <c r="BC503" s="2">
        <f>AW503+AX503</f>
        <v>0</v>
      </c>
      <c r="BD503" s="2">
        <f>I503/(100-BE503)*100</f>
        <v>0</v>
      </c>
      <c r="BE503" s="2">
        <v>0</v>
      </c>
      <c r="BF503" s="2">
        <f>503</f>
        <v>503</v>
      </c>
      <c r="BH503" s="2">
        <f>H503*AO503</f>
        <v>0</v>
      </c>
      <c r="BI503" s="2">
        <f>H503*AP503</f>
        <v>0</v>
      </c>
      <c r="BJ503" s="2">
        <f>H503*I503</f>
        <v>0</v>
      </c>
      <c r="BK503" s="2"/>
      <c r="BL503" s="2">
        <v>59</v>
      </c>
    </row>
    <row r="504" spans="1:64" ht="15" customHeight="1">
      <c r="A504" s="15" t="s">
        <v>995</v>
      </c>
      <c r="B504" s="14" t="s">
        <v>601</v>
      </c>
      <c r="C504" s="58" t="s">
        <v>1233</v>
      </c>
      <c r="D504" s="58"/>
      <c r="E504" s="58"/>
      <c r="F504" s="58"/>
      <c r="G504" s="14" t="s">
        <v>1189</v>
      </c>
      <c r="H504" s="2">
        <v>11.4</v>
      </c>
      <c r="I504" s="2">
        <v>0</v>
      </c>
      <c r="J504" s="2">
        <f>H504*AO504</f>
        <v>0</v>
      </c>
      <c r="K504" s="2">
        <f>H504*AP504</f>
        <v>0</v>
      </c>
      <c r="L504" s="2">
        <f>H504*I504</f>
        <v>0</v>
      </c>
      <c r="M504" s="7" t="s">
        <v>831</v>
      </c>
      <c r="Z504" s="2">
        <f>IF(AQ504="5",BJ504,0)</f>
        <v>0</v>
      </c>
      <c r="AB504" s="2">
        <f>IF(AQ504="1",BH504,0)</f>
        <v>0</v>
      </c>
      <c r="AC504" s="2">
        <f>IF(AQ504="1",BI504,0)</f>
        <v>0</v>
      </c>
      <c r="AD504" s="2">
        <f>IF(AQ504="7",BH504,0)</f>
        <v>0</v>
      </c>
      <c r="AE504" s="2">
        <f>IF(AQ504="7",BI504,0)</f>
        <v>0</v>
      </c>
      <c r="AF504" s="2">
        <f>IF(AQ504="2",BH504,0)</f>
        <v>0</v>
      </c>
      <c r="AG504" s="2">
        <f>IF(AQ504="2",BI504,0)</f>
        <v>0</v>
      </c>
      <c r="AH504" s="2">
        <f>IF(AQ504="0",BJ504,0)</f>
        <v>0</v>
      </c>
      <c r="AI504" s="19" t="s">
        <v>533</v>
      </c>
      <c r="AJ504" s="2">
        <f>IF(AN504=0,L504,0)</f>
        <v>0</v>
      </c>
      <c r="AK504" s="2">
        <f>IF(AN504=15,L504,0)</f>
        <v>0</v>
      </c>
      <c r="AL504" s="2">
        <f>IF(AN504=21,L504,0)</f>
        <v>0</v>
      </c>
      <c r="AN504" s="2">
        <v>15</v>
      </c>
      <c r="AO504" s="2">
        <f>I504*0.532643859328164</f>
        <v>0</v>
      </c>
      <c r="AP504" s="2">
        <f>I504*(1-0.532643859328164)</f>
        <v>0</v>
      </c>
      <c r="AQ504" s="43" t="s">
        <v>1205</v>
      </c>
      <c r="AV504" s="2">
        <f>AW504+AX504</f>
        <v>0</v>
      </c>
      <c r="AW504" s="2">
        <f>H504*AO504</f>
        <v>0</v>
      </c>
      <c r="AX504" s="2">
        <f>H504*AP504</f>
        <v>0</v>
      </c>
      <c r="AY504" s="43" t="s">
        <v>1194</v>
      </c>
      <c r="AZ504" s="43" t="s">
        <v>389</v>
      </c>
      <c r="BA504" s="19" t="s">
        <v>138</v>
      </c>
      <c r="BC504" s="2">
        <f>AW504+AX504</f>
        <v>0</v>
      </c>
      <c r="BD504" s="2">
        <f>I504/(100-BE504)*100</f>
        <v>0</v>
      </c>
      <c r="BE504" s="2">
        <v>0</v>
      </c>
      <c r="BF504" s="2">
        <f>504</f>
        <v>504</v>
      </c>
      <c r="BH504" s="2">
        <f>H504*AO504</f>
        <v>0</v>
      </c>
      <c r="BI504" s="2">
        <f>H504*AP504</f>
        <v>0</v>
      </c>
      <c r="BJ504" s="2">
        <f>H504*I504</f>
        <v>0</v>
      </c>
      <c r="BK504" s="2"/>
      <c r="BL504" s="2">
        <v>59</v>
      </c>
    </row>
    <row r="505" spans="1:13" ht="13.5" customHeight="1">
      <c r="A505" s="51"/>
      <c r="B505" s="32" t="s">
        <v>639</v>
      </c>
      <c r="C505" s="75" t="s">
        <v>940</v>
      </c>
      <c r="D505" s="76"/>
      <c r="E505" s="76"/>
      <c r="F505" s="76"/>
      <c r="G505" s="76"/>
      <c r="H505" s="76"/>
      <c r="I505" s="76"/>
      <c r="J505" s="76"/>
      <c r="K505" s="76"/>
      <c r="L505" s="76"/>
      <c r="M505" s="77"/>
    </row>
    <row r="506" spans="1:64" ht="15" customHeight="1">
      <c r="A506" s="15" t="s">
        <v>816</v>
      </c>
      <c r="B506" s="14" t="s">
        <v>565</v>
      </c>
      <c r="C506" s="58" t="s">
        <v>1054</v>
      </c>
      <c r="D506" s="58"/>
      <c r="E506" s="58"/>
      <c r="F506" s="58"/>
      <c r="G506" s="14" t="s">
        <v>319</v>
      </c>
      <c r="H506" s="2">
        <v>1</v>
      </c>
      <c r="I506" s="2">
        <v>0</v>
      </c>
      <c r="J506" s="2">
        <f>H506*AO506</f>
        <v>0</v>
      </c>
      <c r="K506" s="2">
        <f>H506*AP506</f>
        <v>0</v>
      </c>
      <c r="L506" s="2">
        <f>H506*I506</f>
        <v>0</v>
      </c>
      <c r="M506" s="7" t="s">
        <v>831</v>
      </c>
      <c r="Z506" s="2">
        <f>IF(AQ506="5",BJ506,0)</f>
        <v>0</v>
      </c>
      <c r="AB506" s="2">
        <f>IF(AQ506="1",BH506,0)</f>
        <v>0</v>
      </c>
      <c r="AC506" s="2">
        <f>IF(AQ506="1",BI506,0)</f>
        <v>0</v>
      </c>
      <c r="AD506" s="2">
        <f>IF(AQ506="7",BH506,0)</f>
        <v>0</v>
      </c>
      <c r="AE506" s="2">
        <f>IF(AQ506="7",BI506,0)</f>
        <v>0</v>
      </c>
      <c r="AF506" s="2">
        <f>IF(AQ506="2",BH506,0)</f>
        <v>0</v>
      </c>
      <c r="AG506" s="2">
        <f>IF(AQ506="2",BI506,0)</f>
        <v>0</v>
      </c>
      <c r="AH506" s="2">
        <f>IF(AQ506="0",BJ506,0)</f>
        <v>0</v>
      </c>
      <c r="AI506" s="19" t="s">
        <v>533</v>
      </c>
      <c r="AJ506" s="2">
        <f>IF(AN506=0,L506,0)</f>
        <v>0</v>
      </c>
      <c r="AK506" s="2">
        <f>IF(AN506=15,L506,0)</f>
        <v>0</v>
      </c>
      <c r="AL506" s="2">
        <f>IF(AN506=21,L506,0)</f>
        <v>0</v>
      </c>
      <c r="AN506" s="2">
        <v>15</v>
      </c>
      <c r="AO506" s="2">
        <f>I506*0.960189393939394</f>
        <v>0</v>
      </c>
      <c r="AP506" s="2">
        <f>I506*(1-0.960189393939394)</f>
        <v>0</v>
      </c>
      <c r="AQ506" s="43" t="s">
        <v>1205</v>
      </c>
      <c r="AV506" s="2">
        <f>AW506+AX506</f>
        <v>0</v>
      </c>
      <c r="AW506" s="2">
        <f>H506*AO506</f>
        <v>0</v>
      </c>
      <c r="AX506" s="2">
        <f>H506*AP506</f>
        <v>0</v>
      </c>
      <c r="AY506" s="43" t="s">
        <v>1194</v>
      </c>
      <c r="AZ506" s="43" t="s">
        <v>389</v>
      </c>
      <c r="BA506" s="19" t="s">
        <v>138</v>
      </c>
      <c r="BC506" s="2">
        <f>AW506+AX506</f>
        <v>0</v>
      </c>
      <c r="BD506" s="2">
        <f>I506/(100-BE506)*100</f>
        <v>0</v>
      </c>
      <c r="BE506" s="2">
        <v>0</v>
      </c>
      <c r="BF506" s="2">
        <f>506</f>
        <v>506</v>
      </c>
      <c r="BH506" s="2">
        <f>H506*AO506</f>
        <v>0</v>
      </c>
      <c r="BI506" s="2">
        <f>H506*AP506</f>
        <v>0</v>
      </c>
      <c r="BJ506" s="2">
        <f>H506*I506</f>
        <v>0</v>
      </c>
      <c r="BK506" s="2"/>
      <c r="BL506" s="2">
        <v>59</v>
      </c>
    </row>
    <row r="507" spans="1:64" ht="15" customHeight="1">
      <c r="A507" s="15" t="s">
        <v>684</v>
      </c>
      <c r="B507" s="14" t="s">
        <v>822</v>
      </c>
      <c r="C507" s="58" t="s">
        <v>818</v>
      </c>
      <c r="D507" s="58"/>
      <c r="E507" s="58"/>
      <c r="F507" s="58"/>
      <c r="G507" s="14" t="s">
        <v>319</v>
      </c>
      <c r="H507" s="2">
        <v>1</v>
      </c>
      <c r="I507" s="2">
        <v>0</v>
      </c>
      <c r="J507" s="2">
        <f>H507*AO507</f>
        <v>0</v>
      </c>
      <c r="K507" s="2">
        <f>H507*AP507</f>
        <v>0</v>
      </c>
      <c r="L507" s="2">
        <f>H507*I507</f>
        <v>0</v>
      </c>
      <c r="M507" s="7" t="s">
        <v>831</v>
      </c>
      <c r="Z507" s="2">
        <f>IF(AQ507="5",BJ507,0)</f>
        <v>0</v>
      </c>
      <c r="AB507" s="2">
        <f>IF(AQ507="1",BH507,0)</f>
        <v>0</v>
      </c>
      <c r="AC507" s="2">
        <f>IF(AQ507="1",BI507,0)</f>
        <v>0</v>
      </c>
      <c r="AD507" s="2">
        <f>IF(AQ507="7",BH507,0)</f>
        <v>0</v>
      </c>
      <c r="AE507" s="2">
        <f>IF(AQ507="7",BI507,0)</f>
        <v>0</v>
      </c>
      <c r="AF507" s="2">
        <f>IF(AQ507="2",BH507,0)</f>
        <v>0</v>
      </c>
      <c r="AG507" s="2">
        <f>IF(AQ507="2",BI507,0)</f>
        <v>0</v>
      </c>
      <c r="AH507" s="2">
        <f>IF(AQ507="0",BJ507,0)</f>
        <v>0</v>
      </c>
      <c r="AI507" s="19" t="s">
        <v>533</v>
      </c>
      <c r="AJ507" s="2">
        <f>IF(AN507=0,L507,0)</f>
        <v>0</v>
      </c>
      <c r="AK507" s="2">
        <f>IF(AN507=15,L507,0)</f>
        <v>0</v>
      </c>
      <c r="AL507" s="2">
        <f>IF(AN507=21,L507,0)</f>
        <v>0</v>
      </c>
      <c r="AN507" s="2">
        <v>15</v>
      </c>
      <c r="AO507" s="2">
        <f>I507*0.978724696356275</f>
        <v>0</v>
      </c>
      <c r="AP507" s="2">
        <f>I507*(1-0.978724696356275)</f>
        <v>0</v>
      </c>
      <c r="AQ507" s="43" t="s">
        <v>1205</v>
      </c>
      <c r="AV507" s="2">
        <f>AW507+AX507</f>
        <v>0</v>
      </c>
      <c r="AW507" s="2">
        <f>H507*AO507</f>
        <v>0</v>
      </c>
      <c r="AX507" s="2">
        <f>H507*AP507</f>
        <v>0</v>
      </c>
      <c r="AY507" s="43" t="s">
        <v>1194</v>
      </c>
      <c r="AZ507" s="43" t="s">
        <v>389</v>
      </c>
      <c r="BA507" s="19" t="s">
        <v>138</v>
      </c>
      <c r="BC507" s="2">
        <f>AW507+AX507</f>
        <v>0</v>
      </c>
      <c r="BD507" s="2">
        <f>I507/(100-BE507)*100</f>
        <v>0</v>
      </c>
      <c r="BE507" s="2">
        <v>0</v>
      </c>
      <c r="BF507" s="2">
        <f>507</f>
        <v>507</v>
      </c>
      <c r="BH507" s="2">
        <f>H507*AO507</f>
        <v>0</v>
      </c>
      <c r="BI507" s="2">
        <f>H507*AP507</f>
        <v>0</v>
      </c>
      <c r="BJ507" s="2">
        <f>H507*I507</f>
        <v>0</v>
      </c>
      <c r="BK507" s="2"/>
      <c r="BL507" s="2">
        <v>59</v>
      </c>
    </row>
    <row r="508" spans="1:64" ht="15" customHeight="1">
      <c r="A508" s="15" t="s">
        <v>935</v>
      </c>
      <c r="B508" s="14" t="s">
        <v>689</v>
      </c>
      <c r="C508" s="58" t="s">
        <v>917</v>
      </c>
      <c r="D508" s="58"/>
      <c r="E508" s="58"/>
      <c r="F508" s="58"/>
      <c r="G508" s="14" t="s">
        <v>319</v>
      </c>
      <c r="H508" s="2">
        <v>6</v>
      </c>
      <c r="I508" s="2">
        <v>0</v>
      </c>
      <c r="J508" s="2">
        <f>H508*AO508</f>
        <v>0</v>
      </c>
      <c r="K508" s="2">
        <f>H508*AP508</f>
        <v>0</v>
      </c>
      <c r="L508" s="2">
        <f>H508*I508</f>
        <v>0</v>
      </c>
      <c r="M508" s="7" t="s">
        <v>831</v>
      </c>
      <c r="Z508" s="2">
        <f>IF(AQ508="5",BJ508,0)</f>
        <v>0</v>
      </c>
      <c r="AB508" s="2">
        <f>IF(AQ508="1",BH508,0)</f>
        <v>0</v>
      </c>
      <c r="AC508" s="2">
        <f>IF(AQ508="1",BI508,0)</f>
        <v>0</v>
      </c>
      <c r="AD508" s="2">
        <f>IF(AQ508="7",BH508,0)</f>
        <v>0</v>
      </c>
      <c r="AE508" s="2">
        <f>IF(AQ508="7",BI508,0)</f>
        <v>0</v>
      </c>
      <c r="AF508" s="2">
        <f>IF(AQ508="2",BH508,0)</f>
        <v>0</v>
      </c>
      <c r="AG508" s="2">
        <f>IF(AQ508="2",BI508,0)</f>
        <v>0</v>
      </c>
      <c r="AH508" s="2">
        <f>IF(AQ508="0",BJ508,0)</f>
        <v>0</v>
      </c>
      <c r="AI508" s="19" t="s">
        <v>533</v>
      </c>
      <c r="AJ508" s="2">
        <f>IF(AN508=0,L508,0)</f>
        <v>0</v>
      </c>
      <c r="AK508" s="2">
        <f>IF(AN508=15,L508,0)</f>
        <v>0</v>
      </c>
      <c r="AL508" s="2">
        <f>IF(AN508=21,L508,0)</f>
        <v>0</v>
      </c>
      <c r="AN508" s="2">
        <v>15</v>
      </c>
      <c r="AO508" s="2">
        <f>I508*0.975396763471232</f>
        <v>0</v>
      </c>
      <c r="AP508" s="2">
        <f>I508*(1-0.975396763471232)</f>
        <v>0</v>
      </c>
      <c r="AQ508" s="43" t="s">
        <v>1205</v>
      </c>
      <c r="AV508" s="2">
        <f>AW508+AX508</f>
        <v>0</v>
      </c>
      <c r="AW508" s="2">
        <f>H508*AO508</f>
        <v>0</v>
      </c>
      <c r="AX508" s="2">
        <f>H508*AP508</f>
        <v>0</v>
      </c>
      <c r="AY508" s="43" t="s">
        <v>1194</v>
      </c>
      <c r="AZ508" s="43" t="s">
        <v>389</v>
      </c>
      <c r="BA508" s="19" t="s">
        <v>138</v>
      </c>
      <c r="BC508" s="2">
        <f>AW508+AX508</f>
        <v>0</v>
      </c>
      <c r="BD508" s="2">
        <f>I508/(100-BE508)*100</f>
        <v>0</v>
      </c>
      <c r="BE508" s="2">
        <v>0</v>
      </c>
      <c r="BF508" s="2">
        <f>508</f>
        <v>508</v>
      </c>
      <c r="BH508" s="2">
        <f>H508*AO508</f>
        <v>0</v>
      </c>
      <c r="BI508" s="2">
        <f>H508*AP508</f>
        <v>0</v>
      </c>
      <c r="BJ508" s="2">
        <f>H508*I508</f>
        <v>0</v>
      </c>
      <c r="BK508" s="2"/>
      <c r="BL508" s="2">
        <v>59</v>
      </c>
    </row>
    <row r="509" spans="1:13" ht="13.5" customHeight="1">
      <c r="A509" s="51"/>
      <c r="B509" s="32" t="s">
        <v>639</v>
      </c>
      <c r="C509" s="75" t="s">
        <v>652</v>
      </c>
      <c r="D509" s="76"/>
      <c r="E509" s="76"/>
      <c r="F509" s="76"/>
      <c r="G509" s="76"/>
      <c r="H509" s="76"/>
      <c r="I509" s="76"/>
      <c r="J509" s="76"/>
      <c r="K509" s="76"/>
      <c r="L509" s="76"/>
      <c r="M509" s="77"/>
    </row>
    <row r="510" spans="1:64" ht="15" customHeight="1">
      <c r="A510" s="15" t="s">
        <v>919</v>
      </c>
      <c r="B510" s="14" t="s">
        <v>1044</v>
      </c>
      <c r="C510" s="58" t="s">
        <v>719</v>
      </c>
      <c r="D510" s="58"/>
      <c r="E510" s="58"/>
      <c r="F510" s="58"/>
      <c r="G510" s="14" t="s">
        <v>319</v>
      </c>
      <c r="H510" s="2">
        <v>6</v>
      </c>
      <c r="I510" s="2">
        <v>0</v>
      </c>
      <c r="J510" s="2">
        <f>H510*AO510</f>
        <v>0</v>
      </c>
      <c r="K510" s="2">
        <f>H510*AP510</f>
        <v>0</v>
      </c>
      <c r="L510" s="2">
        <f>H510*I510</f>
        <v>0</v>
      </c>
      <c r="M510" s="7" t="s">
        <v>831</v>
      </c>
      <c r="Z510" s="2">
        <f>IF(AQ510="5",BJ510,0)</f>
        <v>0</v>
      </c>
      <c r="AB510" s="2">
        <f>IF(AQ510="1",BH510,0)</f>
        <v>0</v>
      </c>
      <c r="AC510" s="2">
        <f>IF(AQ510="1",BI510,0)</f>
        <v>0</v>
      </c>
      <c r="AD510" s="2">
        <f>IF(AQ510="7",BH510,0)</f>
        <v>0</v>
      </c>
      <c r="AE510" s="2">
        <f>IF(AQ510="7",BI510,0)</f>
        <v>0</v>
      </c>
      <c r="AF510" s="2">
        <f>IF(AQ510="2",BH510,0)</f>
        <v>0</v>
      </c>
      <c r="AG510" s="2">
        <f>IF(AQ510="2",BI510,0)</f>
        <v>0</v>
      </c>
      <c r="AH510" s="2">
        <f>IF(AQ510="0",BJ510,0)</f>
        <v>0</v>
      </c>
      <c r="AI510" s="19" t="s">
        <v>533</v>
      </c>
      <c r="AJ510" s="2">
        <f>IF(AN510=0,L510,0)</f>
        <v>0</v>
      </c>
      <c r="AK510" s="2">
        <f>IF(AN510=15,L510,0)</f>
        <v>0</v>
      </c>
      <c r="AL510" s="2">
        <f>IF(AN510=21,L510,0)</f>
        <v>0</v>
      </c>
      <c r="AN510" s="2">
        <v>15</v>
      </c>
      <c r="AO510" s="2">
        <f>I510*0.90110843373494</f>
        <v>0</v>
      </c>
      <c r="AP510" s="2">
        <f>I510*(1-0.90110843373494)</f>
        <v>0</v>
      </c>
      <c r="AQ510" s="43" t="s">
        <v>1205</v>
      </c>
      <c r="AV510" s="2">
        <f>AW510+AX510</f>
        <v>0</v>
      </c>
      <c r="AW510" s="2">
        <f>H510*AO510</f>
        <v>0</v>
      </c>
      <c r="AX510" s="2">
        <f>H510*AP510</f>
        <v>0</v>
      </c>
      <c r="AY510" s="43" t="s">
        <v>1194</v>
      </c>
      <c r="AZ510" s="43" t="s">
        <v>389</v>
      </c>
      <c r="BA510" s="19" t="s">
        <v>138</v>
      </c>
      <c r="BC510" s="2">
        <f>AW510+AX510</f>
        <v>0</v>
      </c>
      <c r="BD510" s="2">
        <f>I510/(100-BE510)*100</f>
        <v>0</v>
      </c>
      <c r="BE510" s="2">
        <v>0</v>
      </c>
      <c r="BF510" s="2">
        <f>510</f>
        <v>510</v>
      </c>
      <c r="BH510" s="2">
        <f>H510*AO510</f>
        <v>0</v>
      </c>
      <c r="BI510" s="2">
        <f>H510*AP510</f>
        <v>0</v>
      </c>
      <c r="BJ510" s="2">
        <f>H510*I510</f>
        <v>0</v>
      </c>
      <c r="BK510" s="2"/>
      <c r="BL510" s="2">
        <v>59</v>
      </c>
    </row>
    <row r="511" spans="1:13" ht="13.5" customHeight="1">
      <c r="A511" s="51"/>
      <c r="B511" s="32" t="s">
        <v>639</v>
      </c>
      <c r="C511" s="75" t="s">
        <v>105</v>
      </c>
      <c r="D511" s="76"/>
      <c r="E511" s="76"/>
      <c r="F511" s="76"/>
      <c r="G511" s="76"/>
      <c r="H511" s="76"/>
      <c r="I511" s="76"/>
      <c r="J511" s="76"/>
      <c r="K511" s="76"/>
      <c r="L511" s="76"/>
      <c r="M511" s="77"/>
    </row>
    <row r="512" spans="1:47" ht="15" customHeight="1">
      <c r="A512" s="48" t="s">
        <v>844</v>
      </c>
      <c r="B512" s="17" t="s">
        <v>296</v>
      </c>
      <c r="C512" s="74" t="s">
        <v>1228</v>
      </c>
      <c r="D512" s="74"/>
      <c r="E512" s="74"/>
      <c r="F512" s="74"/>
      <c r="G512" s="40" t="s">
        <v>1110</v>
      </c>
      <c r="H512" s="40" t="s">
        <v>1110</v>
      </c>
      <c r="I512" s="40" t="s">
        <v>1110</v>
      </c>
      <c r="J512" s="23">
        <f>SUM(J513:J513)</f>
        <v>0</v>
      </c>
      <c r="K512" s="23">
        <f>SUM(K513:K513)</f>
        <v>0</v>
      </c>
      <c r="L512" s="23">
        <f>SUM(L513:L513)</f>
        <v>0</v>
      </c>
      <c r="M512" s="37" t="s">
        <v>844</v>
      </c>
      <c r="AI512" s="19" t="s">
        <v>533</v>
      </c>
      <c r="AS512" s="23">
        <f>SUM(AJ513:AJ513)</f>
        <v>0</v>
      </c>
      <c r="AT512" s="23">
        <f>SUM(AK513:AK513)</f>
        <v>0</v>
      </c>
      <c r="AU512" s="23">
        <f>SUM(AL513:AL513)</f>
        <v>0</v>
      </c>
    </row>
    <row r="513" spans="1:64" ht="15" customHeight="1">
      <c r="A513" s="15" t="s">
        <v>460</v>
      </c>
      <c r="B513" s="14" t="s">
        <v>1273</v>
      </c>
      <c r="C513" s="58" t="s">
        <v>1286</v>
      </c>
      <c r="D513" s="58"/>
      <c r="E513" s="58"/>
      <c r="F513" s="58"/>
      <c r="G513" s="14" t="s">
        <v>1189</v>
      </c>
      <c r="H513" s="2">
        <v>12</v>
      </c>
      <c r="I513" s="2">
        <v>0</v>
      </c>
      <c r="J513" s="2">
        <f>H513*AO513</f>
        <v>0</v>
      </c>
      <c r="K513" s="2">
        <f>H513*AP513</f>
        <v>0</v>
      </c>
      <c r="L513" s="2">
        <f>H513*I513</f>
        <v>0</v>
      </c>
      <c r="M513" s="7" t="s">
        <v>831</v>
      </c>
      <c r="Z513" s="2">
        <f>IF(AQ513="5",BJ513,0)</f>
        <v>0</v>
      </c>
      <c r="AB513" s="2">
        <f>IF(AQ513="1",BH513,0)</f>
        <v>0</v>
      </c>
      <c r="AC513" s="2">
        <f>IF(AQ513="1",BI513,0)</f>
        <v>0</v>
      </c>
      <c r="AD513" s="2">
        <f>IF(AQ513="7",BH513,0)</f>
        <v>0</v>
      </c>
      <c r="AE513" s="2">
        <f>IF(AQ513="7",BI513,0)</f>
        <v>0</v>
      </c>
      <c r="AF513" s="2">
        <f>IF(AQ513="2",BH513,0)</f>
        <v>0</v>
      </c>
      <c r="AG513" s="2">
        <f>IF(AQ513="2",BI513,0)</f>
        <v>0</v>
      </c>
      <c r="AH513" s="2">
        <f>IF(AQ513="0",BJ513,0)</f>
        <v>0</v>
      </c>
      <c r="AI513" s="19" t="s">
        <v>533</v>
      </c>
      <c r="AJ513" s="2">
        <f>IF(AN513=0,L513,0)</f>
        <v>0</v>
      </c>
      <c r="AK513" s="2">
        <f>IF(AN513=15,L513,0)</f>
        <v>0</v>
      </c>
      <c r="AL513" s="2">
        <f>IF(AN513=21,L513,0)</f>
        <v>0</v>
      </c>
      <c r="AN513" s="2">
        <v>15</v>
      </c>
      <c r="AO513" s="2">
        <f>I513*0.559708636836628</f>
        <v>0</v>
      </c>
      <c r="AP513" s="2">
        <f>I513*(1-0.559708636836628)</f>
        <v>0</v>
      </c>
      <c r="AQ513" s="43" t="s">
        <v>1205</v>
      </c>
      <c r="AV513" s="2">
        <f>AW513+AX513</f>
        <v>0</v>
      </c>
      <c r="AW513" s="2">
        <f>H513*AO513</f>
        <v>0</v>
      </c>
      <c r="AX513" s="2">
        <f>H513*AP513</f>
        <v>0</v>
      </c>
      <c r="AY513" s="43" t="s">
        <v>1100</v>
      </c>
      <c r="AZ513" s="43" t="s">
        <v>534</v>
      </c>
      <c r="BA513" s="19" t="s">
        <v>138</v>
      </c>
      <c r="BC513" s="2">
        <f>AW513+AX513</f>
        <v>0</v>
      </c>
      <c r="BD513" s="2">
        <f>I513/(100-BE513)*100</f>
        <v>0</v>
      </c>
      <c r="BE513" s="2">
        <v>0</v>
      </c>
      <c r="BF513" s="2">
        <f>513</f>
        <v>513</v>
      </c>
      <c r="BH513" s="2">
        <f>H513*AO513</f>
        <v>0</v>
      </c>
      <c r="BI513" s="2">
        <f>H513*AP513</f>
        <v>0</v>
      </c>
      <c r="BJ513" s="2">
        <f>H513*I513</f>
        <v>0</v>
      </c>
      <c r="BK513" s="2"/>
      <c r="BL513" s="2">
        <v>63</v>
      </c>
    </row>
    <row r="514" spans="1:13" ht="13.5" customHeight="1">
      <c r="A514" s="51"/>
      <c r="B514" s="32" t="s">
        <v>639</v>
      </c>
      <c r="C514" s="75" t="s">
        <v>1208</v>
      </c>
      <c r="D514" s="76"/>
      <c r="E514" s="76"/>
      <c r="F514" s="76"/>
      <c r="G514" s="76"/>
      <c r="H514" s="76"/>
      <c r="I514" s="76"/>
      <c r="J514" s="76"/>
      <c r="K514" s="76"/>
      <c r="L514" s="76"/>
      <c r="M514" s="77"/>
    </row>
    <row r="515" spans="1:47" ht="15" customHeight="1">
      <c r="A515" s="48" t="s">
        <v>844</v>
      </c>
      <c r="B515" s="17" t="s">
        <v>1236</v>
      </c>
      <c r="C515" s="74" t="s">
        <v>216</v>
      </c>
      <c r="D515" s="74"/>
      <c r="E515" s="74"/>
      <c r="F515" s="74"/>
      <c r="G515" s="40" t="s">
        <v>1110</v>
      </c>
      <c r="H515" s="40" t="s">
        <v>1110</v>
      </c>
      <c r="I515" s="40" t="s">
        <v>1110</v>
      </c>
      <c r="J515" s="23">
        <f>SUM(J516:J523)</f>
        <v>0</v>
      </c>
      <c r="K515" s="23">
        <f>SUM(K516:K523)</f>
        <v>0</v>
      </c>
      <c r="L515" s="23">
        <f>SUM(L516:L523)</f>
        <v>0</v>
      </c>
      <c r="M515" s="37" t="s">
        <v>844</v>
      </c>
      <c r="AI515" s="19" t="s">
        <v>533</v>
      </c>
      <c r="AS515" s="23">
        <f>SUM(AJ516:AJ523)</f>
        <v>0</v>
      </c>
      <c r="AT515" s="23">
        <f>SUM(AK516:AK523)</f>
        <v>0</v>
      </c>
      <c r="AU515" s="23">
        <f>SUM(AL516:AL523)</f>
        <v>0</v>
      </c>
    </row>
    <row r="516" spans="1:64" ht="15" customHeight="1">
      <c r="A516" s="15" t="s">
        <v>492</v>
      </c>
      <c r="B516" s="14" t="s">
        <v>231</v>
      </c>
      <c r="C516" s="58" t="s">
        <v>357</v>
      </c>
      <c r="D516" s="58"/>
      <c r="E516" s="58"/>
      <c r="F516" s="58"/>
      <c r="G516" s="14" t="s">
        <v>999</v>
      </c>
      <c r="H516" s="2">
        <v>31</v>
      </c>
      <c r="I516" s="2">
        <v>0</v>
      </c>
      <c r="J516" s="2">
        <f>H516*AO516</f>
        <v>0</v>
      </c>
      <c r="K516" s="2">
        <f>H516*AP516</f>
        <v>0</v>
      </c>
      <c r="L516" s="2">
        <f>H516*I516</f>
        <v>0</v>
      </c>
      <c r="M516" s="7" t="s">
        <v>831</v>
      </c>
      <c r="Z516" s="2">
        <f>IF(AQ516="5",BJ516,0)</f>
        <v>0</v>
      </c>
      <c r="AB516" s="2">
        <f>IF(AQ516="1",BH516,0)</f>
        <v>0</v>
      </c>
      <c r="AC516" s="2">
        <f>IF(AQ516="1",BI516,0)</f>
        <v>0</v>
      </c>
      <c r="AD516" s="2">
        <f>IF(AQ516="7",BH516,0)</f>
        <v>0</v>
      </c>
      <c r="AE516" s="2">
        <f>IF(AQ516="7",BI516,0)</f>
        <v>0</v>
      </c>
      <c r="AF516" s="2">
        <f>IF(AQ516="2",BH516,0)</f>
        <v>0</v>
      </c>
      <c r="AG516" s="2">
        <f>IF(AQ516="2",BI516,0)</f>
        <v>0</v>
      </c>
      <c r="AH516" s="2">
        <f>IF(AQ516="0",BJ516,0)</f>
        <v>0</v>
      </c>
      <c r="AI516" s="19" t="s">
        <v>533</v>
      </c>
      <c r="AJ516" s="2">
        <f>IF(AN516=0,L516,0)</f>
        <v>0</v>
      </c>
      <c r="AK516" s="2">
        <f>IF(AN516=15,L516,0)</f>
        <v>0</v>
      </c>
      <c r="AL516" s="2">
        <f>IF(AN516=21,L516,0)</f>
        <v>0</v>
      </c>
      <c r="AN516" s="2">
        <v>15</v>
      </c>
      <c r="AO516" s="2">
        <f>I516*0.364400400913627</f>
        <v>0</v>
      </c>
      <c r="AP516" s="2">
        <f>I516*(1-0.364400400913627)</f>
        <v>0</v>
      </c>
      <c r="AQ516" s="43" t="s">
        <v>1205</v>
      </c>
      <c r="AV516" s="2">
        <f>AW516+AX516</f>
        <v>0</v>
      </c>
      <c r="AW516" s="2">
        <f>H516*AO516</f>
        <v>0</v>
      </c>
      <c r="AX516" s="2">
        <f>H516*AP516</f>
        <v>0</v>
      </c>
      <c r="AY516" s="43" t="s">
        <v>765</v>
      </c>
      <c r="AZ516" s="43" t="s">
        <v>1059</v>
      </c>
      <c r="BA516" s="19" t="s">
        <v>138</v>
      </c>
      <c r="BC516" s="2">
        <f>AW516+AX516</f>
        <v>0</v>
      </c>
      <c r="BD516" s="2">
        <f>I516/(100-BE516)*100</f>
        <v>0</v>
      </c>
      <c r="BE516" s="2">
        <v>0</v>
      </c>
      <c r="BF516" s="2">
        <f>516</f>
        <v>516</v>
      </c>
      <c r="BH516" s="2">
        <f>H516*AO516</f>
        <v>0</v>
      </c>
      <c r="BI516" s="2">
        <f>H516*AP516</f>
        <v>0</v>
      </c>
      <c r="BJ516" s="2">
        <f>H516*I516</f>
        <v>0</v>
      </c>
      <c r="BK516" s="2"/>
      <c r="BL516" s="2">
        <v>83</v>
      </c>
    </row>
    <row r="517" spans="1:13" ht="13.5" customHeight="1">
      <c r="A517" s="51"/>
      <c r="B517" s="32" t="s">
        <v>639</v>
      </c>
      <c r="C517" s="75" t="s">
        <v>840</v>
      </c>
      <c r="D517" s="76"/>
      <c r="E517" s="76"/>
      <c r="F517" s="76"/>
      <c r="G517" s="76"/>
      <c r="H517" s="76"/>
      <c r="I517" s="76"/>
      <c r="J517" s="76"/>
      <c r="K517" s="76"/>
      <c r="L517" s="76"/>
      <c r="M517" s="77"/>
    </row>
    <row r="518" spans="1:64" ht="15" customHeight="1">
      <c r="A518" s="15" t="s">
        <v>1219</v>
      </c>
      <c r="B518" s="14" t="s">
        <v>108</v>
      </c>
      <c r="C518" s="58" t="s">
        <v>156</v>
      </c>
      <c r="D518" s="58"/>
      <c r="E518" s="58"/>
      <c r="F518" s="58"/>
      <c r="G518" s="14" t="s">
        <v>999</v>
      </c>
      <c r="H518" s="2">
        <v>69.5</v>
      </c>
      <c r="I518" s="2">
        <v>0</v>
      </c>
      <c r="J518" s="2">
        <f>H518*AO518</f>
        <v>0</v>
      </c>
      <c r="K518" s="2">
        <f>H518*AP518</f>
        <v>0</v>
      </c>
      <c r="L518" s="2">
        <f>H518*I518</f>
        <v>0</v>
      </c>
      <c r="M518" s="7" t="s">
        <v>831</v>
      </c>
      <c r="Z518" s="2">
        <f>IF(AQ518="5",BJ518,0)</f>
        <v>0</v>
      </c>
      <c r="AB518" s="2">
        <f>IF(AQ518="1",BH518,0)</f>
        <v>0</v>
      </c>
      <c r="AC518" s="2">
        <f>IF(AQ518="1",BI518,0)</f>
        <v>0</v>
      </c>
      <c r="AD518" s="2">
        <f>IF(AQ518="7",BH518,0)</f>
        <v>0</v>
      </c>
      <c r="AE518" s="2">
        <f>IF(AQ518="7",BI518,0)</f>
        <v>0</v>
      </c>
      <c r="AF518" s="2">
        <f>IF(AQ518="2",BH518,0)</f>
        <v>0</v>
      </c>
      <c r="AG518" s="2">
        <f>IF(AQ518="2",BI518,0)</f>
        <v>0</v>
      </c>
      <c r="AH518" s="2">
        <f>IF(AQ518="0",BJ518,0)</f>
        <v>0</v>
      </c>
      <c r="AI518" s="19" t="s">
        <v>533</v>
      </c>
      <c r="AJ518" s="2">
        <f>IF(AN518=0,L518,0)</f>
        <v>0</v>
      </c>
      <c r="AK518" s="2">
        <f>IF(AN518=15,L518,0)</f>
        <v>0</v>
      </c>
      <c r="AL518" s="2">
        <f>IF(AN518=21,L518,0)</f>
        <v>0</v>
      </c>
      <c r="AN518" s="2">
        <v>15</v>
      </c>
      <c r="AO518" s="2">
        <f>I518*0.29933868974042</f>
        <v>0</v>
      </c>
      <c r="AP518" s="2">
        <f>I518*(1-0.29933868974042)</f>
        <v>0</v>
      </c>
      <c r="AQ518" s="43" t="s">
        <v>1205</v>
      </c>
      <c r="AV518" s="2">
        <f>AW518+AX518</f>
        <v>0</v>
      </c>
      <c r="AW518" s="2">
        <f>H518*AO518</f>
        <v>0</v>
      </c>
      <c r="AX518" s="2">
        <f>H518*AP518</f>
        <v>0</v>
      </c>
      <c r="AY518" s="43" t="s">
        <v>765</v>
      </c>
      <c r="AZ518" s="43" t="s">
        <v>1059</v>
      </c>
      <c r="BA518" s="19" t="s">
        <v>138</v>
      </c>
      <c r="BC518" s="2">
        <f>AW518+AX518</f>
        <v>0</v>
      </c>
      <c r="BD518" s="2">
        <f>I518/(100-BE518)*100</f>
        <v>0</v>
      </c>
      <c r="BE518" s="2">
        <v>0</v>
      </c>
      <c r="BF518" s="2">
        <f>518</f>
        <v>518</v>
      </c>
      <c r="BH518" s="2">
        <f>H518*AO518</f>
        <v>0</v>
      </c>
      <c r="BI518" s="2">
        <f>H518*AP518</f>
        <v>0</v>
      </c>
      <c r="BJ518" s="2">
        <f>H518*I518</f>
        <v>0</v>
      </c>
      <c r="BK518" s="2"/>
      <c r="BL518" s="2">
        <v>83</v>
      </c>
    </row>
    <row r="519" spans="1:13" ht="13.5" customHeight="1">
      <c r="A519" s="51"/>
      <c r="B519" s="32" t="s">
        <v>639</v>
      </c>
      <c r="C519" s="75" t="s">
        <v>1064</v>
      </c>
      <c r="D519" s="76"/>
      <c r="E519" s="76"/>
      <c r="F519" s="76"/>
      <c r="G519" s="76"/>
      <c r="H519" s="76"/>
      <c r="I519" s="76"/>
      <c r="J519" s="76"/>
      <c r="K519" s="76"/>
      <c r="L519" s="76"/>
      <c r="M519" s="77"/>
    </row>
    <row r="520" spans="1:64" ht="15" customHeight="1">
      <c r="A520" s="15" t="s">
        <v>303</v>
      </c>
      <c r="B520" s="14" t="s">
        <v>834</v>
      </c>
      <c r="C520" s="58" t="s">
        <v>346</v>
      </c>
      <c r="D520" s="58"/>
      <c r="E520" s="58"/>
      <c r="F520" s="58"/>
      <c r="G520" s="14" t="s">
        <v>999</v>
      </c>
      <c r="H520" s="2">
        <v>42</v>
      </c>
      <c r="I520" s="2">
        <v>0</v>
      </c>
      <c r="J520" s="2">
        <f>H520*AO520</f>
        <v>0</v>
      </c>
      <c r="K520" s="2">
        <f>H520*AP520</f>
        <v>0</v>
      </c>
      <c r="L520" s="2">
        <f>H520*I520</f>
        <v>0</v>
      </c>
      <c r="M520" s="7" t="s">
        <v>831</v>
      </c>
      <c r="Z520" s="2">
        <f>IF(AQ520="5",BJ520,0)</f>
        <v>0</v>
      </c>
      <c r="AB520" s="2">
        <f>IF(AQ520="1",BH520,0)</f>
        <v>0</v>
      </c>
      <c r="AC520" s="2">
        <f>IF(AQ520="1",BI520,0)</f>
        <v>0</v>
      </c>
      <c r="AD520" s="2">
        <f>IF(AQ520="7",BH520,0)</f>
        <v>0</v>
      </c>
      <c r="AE520" s="2">
        <f>IF(AQ520="7",BI520,0)</f>
        <v>0</v>
      </c>
      <c r="AF520" s="2">
        <f>IF(AQ520="2",BH520,0)</f>
        <v>0</v>
      </c>
      <c r="AG520" s="2">
        <f>IF(AQ520="2",BI520,0)</f>
        <v>0</v>
      </c>
      <c r="AH520" s="2">
        <f>IF(AQ520="0",BJ520,0)</f>
        <v>0</v>
      </c>
      <c r="AI520" s="19" t="s">
        <v>533</v>
      </c>
      <c r="AJ520" s="2">
        <f>IF(AN520=0,L520,0)</f>
        <v>0</v>
      </c>
      <c r="AK520" s="2">
        <f>IF(AN520=15,L520,0)</f>
        <v>0</v>
      </c>
      <c r="AL520" s="2">
        <f>IF(AN520=21,L520,0)</f>
        <v>0</v>
      </c>
      <c r="AN520" s="2">
        <v>15</v>
      </c>
      <c r="AO520" s="2">
        <f>I520*0.445234899328859</f>
        <v>0</v>
      </c>
      <c r="AP520" s="2">
        <f>I520*(1-0.445234899328859)</f>
        <v>0</v>
      </c>
      <c r="AQ520" s="43" t="s">
        <v>1205</v>
      </c>
      <c r="AV520" s="2">
        <f>AW520+AX520</f>
        <v>0</v>
      </c>
      <c r="AW520" s="2">
        <f>H520*AO520</f>
        <v>0</v>
      </c>
      <c r="AX520" s="2">
        <f>H520*AP520</f>
        <v>0</v>
      </c>
      <c r="AY520" s="43" t="s">
        <v>765</v>
      </c>
      <c r="AZ520" s="43" t="s">
        <v>1059</v>
      </c>
      <c r="BA520" s="19" t="s">
        <v>138</v>
      </c>
      <c r="BC520" s="2">
        <f>AW520+AX520</f>
        <v>0</v>
      </c>
      <c r="BD520" s="2">
        <f>I520/(100-BE520)*100</f>
        <v>0</v>
      </c>
      <c r="BE520" s="2">
        <v>0</v>
      </c>
      <c r="BF520" s="2">
        <f>520</f>
        <v>520</v>
      </c>
      <c r="BH520" s="2">
        <f>H520*AO520</f>
        <v>0</v>
      </c>
      <c r="BI520" s="2">
        <f>H520*AP520</f>
        <v>0</v>
      </c>
      <c r="BJ520" s="2">
        <f>H520*I520</f>
        <v>0</v>
      </c>
      <c r="BK520" s="2"/>
      <c r="BL520" s="2">
        <v>83</v>
      </c>
    </row>
    <row r="521" spans="1:13" ht="13.5" customHeight="1">
      <c r="A521" s="51"/>
      <c r="B521" s="32" t="s">
        <v>639</v>
      </c>
      <c r="C521" s="75" t="s">
        <v>697</v>
      </c>
      <c r="D521" s="76"/>
      <c r="E521" s="76"/>
      <c r="F521" s="76"/>
      <c r="G521" s="76"/>
      <c r="H521" s="76"/>
      <c r="I521" s="76"/>
      <c r="J521" s="76"/>
      <c r="K521" s="76"/>
      <c r="L521" s="76"/>
      <c r="M521" s="77"/>
    </row>
    <row r="522" spans="1:64" ht="15" customHeight="1">
      <c r="A522" s="15" t="s">
        <v>14</v>
      </c>
      <c r="B522" s="14" t="s">
        <v>536</v>
      </c>
      <c r="C522" s="58" t="s">
        <v>945</v>
      </c>
      <c r="D522" s="58"/>
      <c r="E522" s="58"/>
      <c r="F522" s="58"/>
      <c r="G522" s="14" t="s">
        <v>319</v>
      </c>
      <c r="H522" s="2">
        <v>1</v>
      </c>
      <c r="I522" s="2">
        <v>0</v>
      </c>
      <c r="J522" s="2">
        <f>H522*AO522</f>
        <v>0</v>
      </c>
      <c r="K522" s="2">
        <f>H522*AP522</f>
        <v>0</v>
      </c>
      <c r="L522" s="2">
        <f>H522*I522</f>
        <v>0</v>
      </c>
      <c r="M522" s="7" t="s">
        <v>831</v>
      </c>
      <c r="Z522" s="2">
        <f>IF(AQ522="5",BJ522,0)</f>
        <v>0</v>
      </c>
      <c r="AB522" s="2">
        <f>IF(AQ522="1",BH522,0)</f>
        <v>0</v>
      </c>
      <c r="AC522" s="2">
        <f>IF(AQ522="1",BI522,0)</f>
        <v>0</v>
      </c>
      <c r="AD522" s="2">
        <f>IF(AQ522="7",BH522,0)</f>
        <v>0</v>
      </c>
      <c r="AE522" s="2">
        <f>IF(AQ522="7",BI522,0)</f>
        <v>0</v>
      </c>
      <c r="AF522" s="2">
        <f>IF(AQ522="2",BH522,0)</f>
        <v>0</v>
      </c>
      <c r="AG522" s="2">
        <f>IF(AQ522="2",BI522,0)</f>
        <v>0</v>
      </c>
      <c r="AH522" s="2">
        <f>IF(AQ522="0",BJ522,0)</f>
        <v>0</v>
      </c>
      <c r="AI522" s="19" t="s">
        <v>533</v>
      </c>
      <c r="AJ522" s="2">
        <f>IF(AN522=0,L522,0)</f>
        <v>0</v>
      </c>
      <c r="AK522" s="2">
        <f>IF(AN522=15,L522,0)</f>
        <v>0</v>
      </c>
      <c r="AL522" s="2">
        <f>IF(AN522=21,L522,0)</f>
        <v>0</v>
      </c>
      <c r="AN522" s="2">
        <v>15</v>
      </c>
      <c r="AO522" s="2">
        <f>I522*0.945222513089005</f>
        <v>0</v>
      </c>
      <c r="AP522" s="2">
        <f>I522*(1-0.945222513089005)</f>
        <v>0</v>
      </c>
      <c r="AQ522" s="43" t="s">
        <v>1205</v>
      </c>
      <c r="AV522" s="2">
        <f>AW522+AX522</f>
        <v>0</v>
      </c>
      <c r="AW522" s="2">
        <f>H522*AO522</f>
        <v>0</v>
      </c>
      <c r="AX522" s="2">
        <f>H522*AP522</f>
        <v>0</v>
      </c>
      <c r="AY522" s="43" t="s">
        <v>765</v>
      </c>
      <c r="AZ522" s="43" t="s">
        <v>1059</v>
      </c>
      <c r="BA522" s="19" t="s">
        <v>138</v>
      </c>
      <c r="BC522" s="2">
        <f>AW522+AX522</f>
        <v>0</v>
      </c>
      <c r="BD522" s="2">
        <f>I522/(100-BE522)*100</f>
        <v>0</v>
      </c>
      <c r="BE522" s="2">
        <v>0</v>
      </c>
      <c r="BF522" s="2">
        <f>522</f>
        <v>522</v>
      </c>
      <c r="BH522" s="2">
        <f>H522*AO522</f>
        <v>0</v>
      </c>
      <c r="BI522" s="2">
        <f>H522*AP522</f>
        <v>0</v>
      </c>
      <c r="BJ522" s="2">
        <f>H522*I522</f>
        <v>0</v>
      </c>
      <c r="BK522" s="2"/>
      <c r="BL522" s="2">
        <v>83</v>
      </c>
    </row>
    <row r="523" spans="1:64" ht="15" customHeight="1">
      <c r="A523" s="15" t="s">
        <v>312</v>
      </c>
      <c r="B523" s="14" t="s">
        <v>1050</v>
      </c>
      <c r="C523" s="58" t="s">
        <v>828</v>
      </c>
      <c r="D523" s="58"/>
      <c r="E523" s="58"/>
      <c r="F523" s="58"/>
      <c r="G523" s="14" t="s">
        <v>584</v>
      </c>
      <c r="H523" s="2">
        <v>58.321</v>
      </c>
      <c r="I523" s="2">
        <v>0</v>
      </c>
      <c r="J523" s="2">
        <f>H523*AO523</f>
        <v>0</v>
      </c>
      <c r="K523" s="2">
        <f>H523*AP523</f>
        <v>0</v>
      </c>
      <c r="L523" s="2">
        <f>H523*I523</f>
        <v>0</v>
      </c>
      <c r="M523" s="7" t="s">
        <v>831</v>
      </c>
      <c r="Z523" s="2">
        <f>IF(AQ523="5",BJ523,0)</f>
        <v>0</v>
      </c>
      <c r="AB523" s="2">
        <f>IF(AQ523="1",BH523,0)</f>
        <v>0</v>
      </c>
      <c r="AC523" s="2">
        <f>IF(AQ523="1",BI523,0)</f>
        <v>0</v>
      </c>
      <c r="AD523" s="2">
        <f>IF(AQ523="7",BH523,0)</f>
        <v>0</v>
      </c>
      <c r="AE523" s="2">
        <f>IF(AQ523="7",BI523,0)</f>
        <v>0</v>
      </c>
      <c r="AF523" s="2">
        <f>IF(AQ523="2",BH523,0)</f>
        <v>0</v>
      </c>
      <c r="AG523" s="2">
        <f>IF(AQ523="2",BI523,0)</f>
        <v>0</v>
      </c>
      <c r="AH523" s="2">
        <f>IF(AQ523="0",BJ523,0)</f>
        <v>0</v>
      </c>
      <c r="AI523" s="19" t="s">
        <v>533</v>
      </c>
      <c r="AJ523" s="2">
        <f>IF(AN523=0,L523,0)</f>
        <v>0</v>
      </c>
      <c r="AK523" s="2">
        <f>IF(AN523=15,L523,0)</f>
        <v>0</v>
      </c>
      <c r="AL523" s="2">
        <f>IF(AN523=21,L523,0)</f>
        <v>0</v>
      </c>
      <c r="AN523" s="2">
        <v>15</v>
      </c>
      <c r="AO523" s="2">
        <f>I523*0</f>
        <v>0</v>
      </c>
      <c r="AP523" s="2">
        <f>I523*(1-0)</f>
        <v>0</v>
      </c>
      <c r="AQ523" s="43" t="s">
        <v>655</v>
      </c>
      <c r="AV523" s="2">
        <f>AW523+AX523</f>
        <v>0</v>
      </c>
      <c r="AW523" s="2">
        <f>H523*AO523</f>
        <v>0</v>
      </c>
      <c r="AX523" s="2">
        <f>H523*AP523</f>
        <v>0</v>
      </c>
      <c r="AY523" s="43" t="s">
        <v>765</v>
      </c>
      <c r="AZ523" s="43" t="s">
        <v>1059</v>
      </c>
      <c r="BA523" s="19" t="s">
        <v>138</v>
      </c>
      <c r="BC523" s="2">
        <f>AW523+AX523</f>
        <v>0</v>
      </c>
      <c r="BD523" s="2">
        <f>I523/(100-BE523)*100</f>
        <v>0</v>
      </c>
      <c r="BE523" s="2">
        <v>0</v>
      </c>
      <c r="BF523" s="2">
        <f>523</f>
        <v>523</v>
      </c>
      <c r="BH523" s="2">
        <f>H523*AO523</f>
        <v>0</v>
      </c>
      <c r="BI523" s="2">
        <f>H523*AP523</f>
        <v>0</v>
      </c>
      <c r="BJ523" s="2">
        <f>H523*I523</f>
        <v>0</v>
      </c>
      <c r="BK523" s="2"/>
      <c r="BL523" s="2">
        <v>83</v>
      </c>
    </row>
    <row r="524" spans="1:47" ht="15" customHeight="1">
      <c r="A524" s="48" t="s">
        <v>844</v>
      </c>
      <c r="B524" s="17" t="s">
        <v>50</v>
      </c>
      <c r="C524" s="74" t="s">
        <v>464</v>
      </c>
      <c r="D524" s="74"/>
      <c r="E524" s="74"/>
      <c r="F524" s="74"/>
      <c r="G524" s="40" t="s">
        <v>1110</v>
      </c>
      <c r="H524" s="40" t="s">
        <v>1110</v>
      </c>
      <c r="I524" s="40" t="s">
        <v>1110</v>
      </c>
      <c r="J524" s="23">
        <f>SUM(J525:J525)</f>
        <v>0</v>
      </c>
      <c r="K524" s="23">
        <f>SUM(K525:K525)</f>
        <v>0</v>
      </c>
      <c r="L524" s="23">
        <f>SUM(L525:L525)</f>
        <v>0</v>
      </c>
      <c r="M524" s="37" t="s">
        <v>844</v>
      </c>
      <c r="AI524" s="19" t="s">
        <v>533</v>
      </c>
      <c r="AS524" s="23">
        <f>SUM(AJ525:AJ525)</f>
        <v>0</v>
      </c>
      <c r="AT524" s="23">
        <f>SUM(AK525:AK525)</f>
        <v>0</v>
      </c>
      <c r="AU524" s="23">
        <f>SUM(AL525:AL525)</f>
        <v>0</v>
      </c>
    </row>
    <row r="525" spans="1:64" ht="15" customHeight="1">
      <c r="A525" s="15" t="s">
        <v>395</v>
      </c>
      <c r="B525" s="14" t="s">
        <v>1278</v>
      </c>
      <c r="C525" s="58" t="s">
        <v>99</v>
      </c>
      <c r="D525" s="58"/>
      <c r="E525" s="58"/>
      <c r="F525" s="58"/>
      <c r="G525" s="14" t="s">
        <v>999</v>
      </c>
      <c r="H525" s="2">
        <v>10</v>
      </c>
      <c r="I525" s="2">
        <v>0</v>
      </c>
      <c r="J525" s="2">
        <f>H525*AO525</f>
        <v>0</v>
      </c>
      <c r="K525" s="2">
        <f>H525*AP525</f>
        <v>0</v>
      </c>
      <c r="L525" s="2">
        <f>H525*I525</f>
        <v>0</v>
      </c>
      <c r="M525" s="7" t="s">
        <v>831</v>
      </c>
      <c r="Z525" s="2">
        <f>IF(AQ525="5",BJ525,0)</f>
        <v>0</v>
      </c>
      <c r="AB525" s="2">
        <f>IF(AQ525="1",BH525,0)</f>
        <v>0</v>
      </c>
      <c r="AC525" s="2">
        <f>IF(AQ525="1",BI525,0)</f>
        <v>0</v>
      </c>
      <c r="AD525" s="2">
        <f>IF(AQ525="7",BH525,0)</f>
        <v>0</v>
      </c>
      <c r="AE525" s="2">
        <f>IF(AQ525="7",BI525,0)</f>
        <v>0</v>
      </c>
      <c r="AF525" s="2">
        <f>IF(AQ525="2",BH525,0)</f>
        <v>0</v>
      </c>
      <c r="AG525" s="2">
        <f>IF(AQ525="2",BI525,0)</f>
        <v>0</v>
      </c>
      <c r="AH525" s="2">
        <f>IF(AQ525="0",BJ525,0)</f>
        <v>0</v>
      </c>
      <c r="AI525" s="19" t="s">
        <v>533</v>
      </c>
      <c r="AJ525" s="2">
        <f>IF(AN525=0,L525,0)</f>
        <v>0</v>
      </c>
      <c r="AK525" s="2">
        <f>IF(AN525=15,L525,0)</f>
        <v>0</v>
      </c>
      <c r="AL525" s="2">
        <f>IF(AN525=21,L525,0)</f>
        <v>0</v>
      </c>
      <c r="AN525" s="2">
        <v>15</v>
      </c>
      <c r="AO525" s="2">
        <f>I525*0.753368237347295</f>
        <v>0</v>
      </c>
      <c r="AP525" s="2">
        <f>I525*(1-0.753368237347295)</f>
        <v>0</v>
      </c>
      <c r="AQ525" s="43" t="s">
        <v>1205</v>
      </c>
      <c r="AV525" s="2">
        <f>AW525+AX525</f>
        <v>0</v>
      </c>
      <c r="AW525" s="2">
        <f>H525*AO525</f>
        <v>0</v>
      </c>
      <c r="AX525" s="2">
        <f>H525*AP525</f>
        <v>0</v>
      </c>
      <c r="AY525" s="43" t="s">
        <v>1175</v>
      </c>
      <c r="AZ525" s="43" t="s">
        <v>1004</v>
      </c>
      <c r="BA525" s="19" t="s">
        <v>138</v>
      </c>
      <c r="BC525" s="2">
        <f>AW525+AX525</f>
        <v>0</v>
      </c>
      <c r="BD525" s="2">
        <f>I525/(100-BE525)*100</f>
        <v>0</v>
      </c>
      <c r="BE525" s="2">
        <v>0</v>
      </c>
      <c r="BF525" s="2">
        <f>525</f>
        <v>525</v>
      </c>
      <c r="BH525" s="2">
        <f>H525*AO525</f>
        <v>0</v>
      </c>
      <c r="BI525" s="2">
        <f>H525*AP525</f>
        <v>0</v>
      </c>
      <c r="BJ525" s="2">
        <f>H525*I525</f>
        <v>0</v>
      </c>
      <c r="BK525" s="2"/>
      <c r="BL525" s="2">
        <v>91</v>
      </c>
    </row>
    <row r="526" spans="1:13" ht="13.5" customHeight="1">
      <c r="A526" s="51"/>
      <c r="B526" s="32" t="s">
        <v>639</v>
      </c>
      <c r="C526" s="75" t="s">
        <v>967</v>
      </c>
      <c r="D526" s="76"/>
      <c r="E526" s="76"/>
      <c r="F526" s="76"/>
      <c r="G526" s="76"/>
      <c r="H526" s="76"/>
      <c r="I526" s="76"/>
      <c r="J526" s="76"/>
      <c r="K526" s="76"/>
      <c r="L526" s="76"/>
      <c r="M526" s="77"/>
    </row>
    <row r="527" spans="1:47" ht="15" customHeight="1">
      <c r="A527" s="48" t="s">
        <v>844</v>
      </c>
      <c r="B527" s="17" t="s">
        <v>889</v>
      </c>
      <c r="C527" s="74" t="s">
        <v>732</v>
      </c>
      <c r="D527" s="74"/>
      <c r="E527" s="74"/>
      <c r="F527" s="74"/>
      <c r="G527" s="40" t="s">
        <v>1110</v>
      </c>
      <c r="H527" s="40" t="s">
        <v>1110</v>
      </c>
      <c r="I527" s="40" t="s">
        <v>1110</v>
      </c>
      <c r="J527" s="23">
        <f>SUM(J528:J528)</f>
        <v>0</v>
      </c>
      <c r="K527" s="23">
        <f>SUM(K528:K528)</f>
        <v>0</v>
      </c>
      <c r="L527" s="23">
        <f>SUM(L528:L528)</f>
        <v>0</v>
      </c>
      <c r="M527" s="37" t="s">
        <v>844</v>
      </c>
      <c r="AI527" s="19" t="s">
        <v>533</v>
      </c>
      <c r="AS527" s="23">
        <f>SUM(AJ528:AJ528)</f>
        <v>0</v>
      </c>
      <c r="AT527" s="23">
        <f>SUM(AK528:AK528)</f>
        <v>0</v>
      </c>
      <c r="AU527" s="23">
        <f>SUM(AL528:AL528)</f>
        <v>0</v>
      </c>
    </row>
    <row r="528" spans="1:64" ht="15" customHeight="1">
      <c r="A528" s="15" t="s">
        <v>1310</v>
      </c>
      <c r="B528" s="14" t="s">
        <v>206</v>
      </c>
      <c r="C528" s="58" t="s">
        <v>454</v>
      </c>
      <c r="D528" s="58"/>
      <c r="E528" s="58"/>
      <c r="F528" s="58"/>
      <c r="G528" s="14" t="s">
        <v>584</v>
      </c>
      <c r="H528" s="2">
        <v>276.448</v>
      </c>
      <c r="I528" s="2">
        <v>0</v>
      </c>
      <c r="J528" s="2">
        <f>H528*AO528</f>
        <v>0</v>
      </c>
      <c r="K528" s="2">
        <f>H528*AP528</f>
        <v>0</v>
      </c>
      <c r="L528" s="2">
        <f>H528*I528</f>
        <v>0</v>
      </c>
      <c r="M528" s="7" t="s">
        <v>831</v>
      </c>
      <c r="Z528" s="2">
        <f>IF(AQ528="5",BJ528,0)</f>
        <v>0</v>
      </c>
      <c r="AB528" s="2">
        <f>IF(AQ528="1",BH528,0)</f>
        <v>0</v>
      </c>
      <c r="AC528" s="2">
        <f>IF(AQ528="1",BI528,0)</f>
        <v>0</v>
      </c>
      <c r="AD528" s="2">
        <f>IF(AQ528="7",BH528,0)</f>
        <v>0</v>
      </c>
      <c r="AE528" s="2">
        <f>IF(AQ528="7",BI528,0)</f>
        <v>0</v>
      </c>
      <c r="AF528" s="2">
        <f>IF(AQ528="2",BH528,0)</f>
        <v>0</v>
      </c>
      <c r="AG528" s="2">
        <f>IF(AQ528="2",BI528,0)</f>
        <v>0</v>
      </c>
      <c r="AH528" s="2">
        <f>IF(AQ528="0",BJ528,0)</f>
        <v>0</v>
      </c>
      <c r="AI528" s="19" t="s">
        <v>533</v>
      </c>
      <c r="AJ528" s="2">
        <f>IF(AN528=0,L528,0)</f>
        <v>0</v>
      </c>
      <c r="AK528" s="2">
        <f>IF(AN528=15,L528,0)</f>
        <v>0</v>
      </c>
      <c r="AL528" s="2">
        <f>IF(AN528=21,L528,0)</f>
        <v>0</v>
      </c>
      <c r="AN528" s="2">
        <v>15</v>
      </c>
      <c r="AO528" s="2">
        <f>I528*0</f>
        <v>0</v>
      </c>
      <c r="AP528" s="2">
        <f>I528*(1-0)</f>
        <v>0</v>
      </c>
      <c r="AQ528" s="43" t="s">
        <v>655</v>
      </c>
      <c r="AV528" s="2">
        <f>AW528+AX528</f>
        <v>0</v>
      </c>
      <c r="AW528" s="2">
        <f>H528*AO528</f>
        <v>0</v>
      </c>
      <c r="AX528" s="2">
        <f>H528*AP528</f>
        <v>0</v>
      </c>
      <c r="AY528" s="43" t="s">
        <v>237</v>
      </c>
      <c r="AZ528" s="43" t="s">
        <v>1004</v>
      </c>
      <c r="BA528" s="19" t="s">
        <v>138</v>
      </c>
      <c r="BC528" s="2">
        <f>AW528+AX528</f>
        <v>0</v>
      </c>
      <c r="BD528" s="2">
        <f>I528/(100-BE528)*100</f>
        <v>0</v>
      </c>
      <c r="BE528" s="2">
        <v>0</v>
      </c>
      <c r="BF528" s="2">
        <f>528</f>
        <v>528</v>
      </c>
      <c r="BH528" s="2">
        <f>H528*AO528</f>
        <v>0</v>
      </c>
      <c r="BI528" s="2">
        <f>H528*AP528</f>
        <v>0</v>
      </c>
      <c r="BJ528" s="2">
        <f>H528*I528</f>
        <v>0</v>
      </c>
      <c r="BK528" s="2"/>
      <c r="BL528" s="2"/>
    </row>
    <row r="529" spans="1:13" ht="15" customHeight="1">
      <c r="A529" s="48" t="s">
        <v>844</v>
      </c>
      <c r="B529" s="17" t="s">
        <v>844</v>
      </c>
      <c r="C529" s="74" t="s">
        <v>1000</v>
      </c>
      <c r="D529" s="74"/>
      <c r="E529" s="74"/>
      <c r="F529" s="74"/>
      <c r="G529" s="40" t="s">
        <v>1110</v>
      </c>
      <c r="H529" s="40" t="s">
        <v>1110</v>
      </c>
      <c r="I529" s="40" t="s">
        <v>1110</v>
      </c>
      <c r="J529" s="23">
        <f>J530+J533+J537+J542+J546+J554+J557+J559</f>
        <v>0</v>
      </c>
      <c r="K529" s="23">
        <f>K530+K533+K537+K542+K546+K554+K557+K559</f>
        <v>0</v>
      </c>
      <c r="L529" s="23">
        <f>L530+L533+L537+L542+L546+L554+L557+L559</f>
        <v>0</v>
      </c>
      <c r="M529" s="37" t="s">
        <v>844</v>
      </c>
    </row>
    <row r="530" spans="1:47" ht="15" customHeight="1">
      <c r="A530" s="48" t="s">
        <v>844</v>
      </c>
      <c r="B530" s="17" t="s">
        <v>891</v>
      </c>
      <c r="C530" s="74" t="s">
        <v>321</v>
      </c>
      <c r="D530" s="74"/>
      <c r="E530" s="74"/>
      <c r="F530" s="74"/>
      <c r="G530" s="40" t="s">
        <v>1110</v>
      </c>
      <c r="H530" s="40" t="s">
        <v>1110</v>
      </c>
      <c r="I530" s="40" t="s">
        <v>1110</v>
      </c>
      <c r="J530" s="23">
        <f>SUM(J531:J531)</f>
        <v>0</v>
      </c>
      <c r="K530" s="23">
        <f>SUM(K531:K531)</f>
        <v>0</v>
      </c>
      <c r="L530" s="23">
        <f>SUM(L531:L531)</f>
        <v>0</v>
      </c>
      <c r="M530" s="37" t="s">
        <v>844</v>
      </c>
      <c r="AI530" s="19" t="s">
        <v>556</v>
      </c>
      <c r="AS530" s="23">
        <f>SUM(AJ531:AJ531)</f>
        <v>0</v>
      </c>
      <c r="AT530" s="23">
        <f>SUM(AK531:AK531)</f>
        <v>0</v>
      </c>
      <c r="AU530" s="23">
        <f>SUM(AL531:AL531)</f>
        <v>0</v>
      </c>
    </row>
    <row r="531" spans="1:64" ht="15" customHeight="1">
      <c r="A531" s="15" t="s">
        <v>123</v>
      </c>
      <c r="B531" s="14" t="s">
        <v>1104</v>
      </c>
      <c r="C531" s="58" t="s">
        <v>193</v>
      </c>
      <c r="D531" s="58"/>
      <c r="E531" s="58"/>
      <c r="F531" s="58"/>
      <c r="G531" s="14" t="s">
        <v>1165</v>
      </c>
      <c r="H531" s="2">
        <v>49.44</v>
      </c>
      <c r="I531" s="2">
        <v>0</v>
      </c>
      <c r="J531" s="2">
        <f>H531*AO531</f>
        <v>0</v>
      </c>
      <c r="K531" s="2">
        <f>H531*AP531</f>
        <v>0</v>
      </c>
      <c r="L531" s="2">
        <f>H531*I531</f>
        <v>0</v>
      </c>
      <c r="M531" s="7" t="s">
        <v>831</v>
      </c>
      <c r="Z531" s="2">
        <f>IF(AQ531="5",BJ531,0)</f>
        <v>0</v>
      </c>
      <c r="AB531" s="2">
        <f>IF(AQ531="1",BH531,0)</f>
        <v>0</v>
      </c>
      <c r="AC531" s="2">
        <f>IF(AQ531="1",BI531,0)</f>
        <v>0</v>
      </c>
      <c r="AD531" s="2">
        <f>IF(AQ531="7",BH531,0)</f>
        <v>0</v>
      </c>
      <c r="AE531" s="2">
        <f>IF(AQ531="7",BI531,0)</f>
        <v>0</v>
      </c>
      <c r="AF531" s="2">
        <f>IF(AQ531="2",BH531,0)</f>
        <v>0</v>
      </c>
      <c r="AG531" s="2">
        <f>IF(AQ531="2",BI531,0)</f>
        <v>0</v>
      </c>
      <c r="AH531" s="2">
        <f>IF(AQ531="0",BJ531,0)</f>
        <v>0</v>
      </c>
      <c r="AI531" s="19" t="s">
        <v>556</v>
      </c>
      <c r="AJ531" s="2">
        <f>IF(AN531=0,L531,0)</f>
        <v>0</v>
      </c>
      <c r="AK531" s="2">
        <f>IF(AN531=15,L531,0)</f>
        <v>0</v>
      </c>
      <c r="AL531" s="2">
        <f>IF(AN531=21,L531,0)</f>
        <v>0</v>
      </c>
      <c r="AN531" s="2">
        <v>15</v>
      </c>
      <c r="AO531" s="2">
        <f>I531*0</f>
        <v>0</v>
      </c>
      <c r="AP531" s="2">
        <f>I531*(1-0)</f>
        <v>0</v>
      </c>
      <c r="AQ531" s="43" t="s">
        <v>1205</v>
      </c>
      <c r="AV531" s="2">
        <f>AW531+AX531</f>
        <v>0</v>
      </c>
      <c r="AW531" s="2">
        <f>H531*AO531</f>
        <v>0</v>
      </c>
      <c r="AX531" s="2">
        <f>H531*AP531</f>
        <v>0</v>
      </c>
      <c r="AY531" s="43" t="s">
        <v>632</v>
      </c>
      <c r="AZ531" s="43" t="s">
        <v>45</v>
      </c>
      <c r="BA531" s="19" t="s">
        <v>131</v>
      </c>
      <c r="BC531" s="2">
        <f>AW531+AX531</f>
        <v>0</v>
      </c>
      <c r="BD531" s="2">
        <f>I531/(100-BE531)*100</f>
        <v>0</v>
      </c>
      <c r="BE531" s="2">
        <v>0</v>
      </c>
      <c r="BF531" s="2">
        <f>531</f>
        <v>531</v>
      </c>
      <c r="BH531" s="2">
        <f>H531*AO531</f>
        <v>0</v>
      </c>
      <c r="BI531" s="2">
        <f>H531*AP531</f>
        <v>0</v>
      </c>
      <c r="BJ531" s="2">
        <f>H531*I531</f>
        <v>0</v>
      </c>
      <c r="BK531" s="2"/>
      <c r="BL531" s="2">
        <v>12</v>
      </c>
    </row>
    <row r="532" spans="1:13" ht="13.5" customHeight="1">
      <c r="A532" s="51"/>
      <c r="B532" s="32" t="s">
        <v>639</v>
      </c>
      <c r="C532" s="75" t="s">
        <v>774</v>
      </c>
      <c r="D532" s="76"/>
      <c r="E532" s="76"/>
      <c r="F532" s="76"/>
      <c r="G532" s="76"/>
      <c r="H532" s="76"/>
      <c r="I532" s="76"/>
      <c r="J532" s="76"/>
      <c r="K532" s="76"/>
      <c r="L532" s="76"/>
      <c r="M532" s="77"/>
    </row>
    <row r="533" spans="1:47" ht="15" customHeight="1">
      <c r="A533" s="48" t="s">
        <v>844</v>
      </c>
      <c r="B533" s="17" t="s">
        <v>388</v>
      </c>
      <c r="C533" s="74" t="s">
        <v>9</v>
      </c>
      <c r="D533" s="74"/>
      <c r="E533" s="74"/>
      <c r="F533" s="74"/>
      <c r="G533" s="40" t="s">
        <v>1110</v>
      </c>
      <c r="H533" s="40" t="s">
        <v>1110</v>
      </c>
      <c r="I533" s="40" t="s">
        <v>1110</v>
      </c>
      <c r="J533" s="23">
        <f>SUM(J534:J536)</f>
        <v>0</v>
      </c>
      <c r="K533" s="23">
        <f>SUM(K534:K536)</f>
        <v>0</v>
      </c>
      <c r="L533" s="23">
        <f>SUM(L534:L536)</f>
        <v>0</v>
      </c>
      <c r="M533" s="37" t="s">
        <v>844</v>
      </c>
      <c r="AI533" s="19" t="s">
        <v>556</v>
      </c>
      <c r="AS533" s="23">
        <f>SUM(AJ534:AJ536)</f>
        <v>0</v>
      </c>
      <c r="AT533" s="23">
        <f>SUM(AK534:AK536)</f>
        <v>0</v>
      </c>
      <c r="AU533" s="23">
        <f>SUM(AL534:AL536)</f>
        <v>0</v>
      </c>
    </row>
    <row r="534" spans="1:64" ht="15" customHeight="1">
      <c r="A534" s="15" t="s">
        <v>488</v>
      </c>
      <c r="B534" s="14" t="s">
        <v>170</v>
      </c>
      <c r="C534" s="58" t="s">
        <v>191</v>
      </c>
      <c r="D534" s="58"/>
      <c r="E534" s="58"/>
      <c r="F534" s="58"/>
      <c r="G534" s="14" t="s">
        <v>1165</v>
      </c>
      <c r="H534" s="2">
        <v>79.993</v>
      </c>
      <c r="I534" s="2">
        <v>0</v>
      </c>
      <c r="J534" s="2">
        <f>H534*AO534</f>
        <v>0</v>
      </c>
      <c r="K534" s="2">
        <f>H534*AP534</f>
        <v>0</v>
      </c>
      <c r="L534" s="2">
        <f>H534*I534</f>
        <v>0</v>
      </c>
      <c r="M534" s="7" t="s">
        <v>831</v>
      </c>
      <c r="Z534" s="2">
        <f>IF(AQ534="5",BJ534,0)</f>
        <v>0</v>
      </c>
      <c r="AB534" s="2">
        <f>IF(AQ534="1",BH534,0)</f>
        <v>0</v>
      </c>
      <c r="AC534" s="2">
        <f>IF(AQ534="1",BI534,0)</f>
        <v>0</v>
      </c>
      <c r="AD534" s="2">
        <f>IF(AQ534="7",BH534,0)</f>
        <v>0</v>
      </c>
      <c r="AE534" s="2">
        <f>IF(AQ534="7",BI534,0)</f>
        <v>0</v>
      </c>
      <c r="AF534" s="2">
        <f>IF(AQ534="2",BH534,0)</f>
        <v>0</v>
      </c>
      <c r="AG534" s="2">
        <f>IF(AQ534="2",BI534,0)</f>
        <v>0</v>
      </c>
      <c r="AH534" s="2">
        <f>IF(AQ534="0",BJ534,0)</f>
        <v>0</v>
      </c>
      <c r="AI534" s="19" t="s">
        <v>556</v>
      </c>
      <c r="AJ534" s="2">
        <f>IF(AN534=0,L534,0)</f>
        <v>0</v>
      </c>
      <c r="AK534" s="2">
        <f>IF(AN534=15,L534,0)</f>
        <v>0</v>
      </c>
      <c r="AL534" s="2">
        <f>IF(AN534=21,L534,0)</f>
        <v>0</v>
      </c>
      <c r="AN534" s="2">
        <v>15</v>
      </c>
      <c r="AO534" s="2">
        <f>I534*0</f>
        <v>0</v>
      </c>
      <c r="AP534" s="2">
        <f>I534*(1-0)</f>
        <v>0</v>
      </c>
      <c r="AQ534" s="43" t="s">
        <v>1205</v>
      </c>
      <c r="AV534" s="2">
        <f>AW534+AX534</f>
        <v>0</v>
      </c>
      <c r="AW534" s="2">
        <f>H534*AO534</f>
        <v>0</v>
      </c>
      <c r="AX534" s="2">
        <f>H534*AP534</f>
        <v>0</v>
      </c>
      <c r="AY534" s="43" t="s">
        <v>1088</v>
      </c>
      <c r="AZ534" s="43" t="s">
        <v>45</v>
      </c>
      <c r="BA534" s="19" t="s">
        <v>131</v>
      </c>
      <c r="BC534" s="2">
        <f>AW534+AX534</f>
        <v>0</v>
      </c>
      <c r="BD534" s="2">
        <f>I534/(100-BE534)*100</f>
        <v>0</v>
      </c>
      <c r="BE534" s="2">
        <v>0</v>
      </c>
      <c r="BF534" s="2">
        <f>534</f>
        <v>534</v>
      </c>
      <c r="BH534" s="2">
        <f>H534*AO534</f>
        <v>0</v>
      </c>
      <c r="BI534" s="2">
        <f>H534*AP534</f>
        <v>0</v>
      </c>
      <c r="BJ534" s="2">
        <f>H534*I534</f>
        <v>0</v>
      </c>
      <c r="BK534" s="2"/>
      <c r="BL534" s="2">
        <v>13</v>
      </c>
    </row>
    <row r="535" spans="1:13" ht="13.5" customHeight="1">
      <c r="A535" s="51"/>
      <c r="B535" s="32" t="s">
        <v>639</v>
      </c>
      <c r="C535" s="75" t="s">
        <v>75</v>
      </c>
      <c r="D535" s="76"/>
      <c r="E535" s="76"/>
      <c r="F535" s="76"/>
      <c r="G535" s="76"/>
      <c r="H535" s="76"/>
      <c r="I535" s="76"/>
      <c r="J535" s="76"/>
      <c r="K535" s="76"/>
      <c r="L535" s="76"/>
      <c r="M535" s="77"/>
    </row>
    <row r="536" spans="1:64" ht="15" customHeight="1">
      <c r="A536" s="15" t="s">
        <v>627</v>
      </c>
      <c r="B536" s="14" t="s">
        <v>830</v>
      </c>
      <c r="C536" s="58" t="s">
        <v>1305</v>
      </c>
      <c r="D536" s="58"/>
      <c r="E536" s="58"/>
      <c r="F536" s="58"/>
      <c r="G536" s="14" t="s">
        <v>1165</v>
      </c>
      <c r="H536" s="2">
        <v>124.423</v>
      </c>
      <c r="I536" s="2">
        <v>0</v>
      </c>
      <c r="J536" s="2">
        <f>H536*AO536</f>
        <v>0</v>
      </c>
      <c r="K536" s="2">
        <f>H536*AP536</f>
        <v>0</v>
      </c>
      <c r="L536" s="2">
        <f>H536*I536</f>
        <v>0</v>
      </c>
      <c r="M536" s="7" t="s">
        <v>831</v>
      </c>
      <c r="Z536" s="2">
        <f>IF(AQ536="5",BJ536,0)</f>
        <v>0</v>
      </c>
      <c r="AB536" s="2">
        <f>IF(AQ536="1",BH536,0)</f>
        <v>0</v>
      </c>
      <c r="AC536" s="2">
        <f>IF(AQ536="1",BI536,0)</f>
        <v>0</v>
      </c>
      <c r="AD536" s="2">
        <f>IF(AQ536="7",BH536,0)</f>
        <v>0</v>
      </c>
      <c r="AE536" s="2">
        <f>IF(AQ536="7",BI536,0)</f>
        <v>0</v>
      </c>
      <c r="AF536" s="2">
        <f>IF(AQ536="2",BH536,0)</f>
        <v>0</v>
      </c>
      <c r="AG536" s="2">
        <f>IF(AQ536="2",BI536,0)</f>
        <v>0</v>
      </c>
      <c r="AH536" s="2">
        <f>IF(AQ536="0",BJ536,0)</f>
        <v>0</v>
      </c>
      <c r="AI536" s="19" t="s">
        <v>556</v>
      </c>
      <c r="AJ536" s="2">
        <f>IF(AN536=0,L536,0)</f>
        <v>0</v>
      </c>
      <c r="AK536" s="2">
        <f>IF(AN536=15,L536,0)</f>
        <v>0</v>
      </c>
      <c r="AL536" s="2">
        <f>IF(AN536=21,L536,0)</f>
        <v>0</v>
      </c>
      <c r="AN536" s="2">
        <v>15</v>
      </c>
      <c r="AO536" s="2">
        <f>I536*0</f>
        <v>0</v>
      </c>
      <c r="AP536" s="2">
        <f>I536*(1-0)</f>
        <v>0</v>
      </c>
      <c r="AQ536" s="43" t="s">
        <v>1205</v>
      </c>
      <c r="AV536" s="2">
        <f>AW536+AX536</f>
        <v>0</v>
      </c>
      <c r="AW536" s="2">
        <f>H536*AO536</f>
        <v>0</v>
      </c>
      <c r="AX536" s="2">
        <f>H536*AP536</f>
        <v>0</v>
      </c>
      <c r="AY536" s="43" t="s">
        <v>1088</v>
      </c>
      <c r="AZ536" s="43" t="s">
        <v>45</v>
      </c>
      <c r="BA536" s="19" t="s">
        <v>131</v>
      </c>
      <c r="BC536" s="2">
        <f>AW536+AX536</f>
        <v>0</v>
      </c>
      <c r="BD536" s="2">
        <f>I536/(100-BE536)*100</f>
        <v>0</v>
      </c>
      <c r="BE536" s="2">
        <v>0</v>
      </c>
      <c r="BF536" s="2">
        <f>536</f>
        <v>536</v>
      </c>
      <c r="BH536" s="2">
        <f>H536*AO536</f>
        <v>0</v>
      </c>
      <c r="BI536" s="2">
        <f>H536*AP536</f>
        <v>0</v>
      </c>
      <c r="BJ536" s="2">
        <f>H536*I536</f>
        <v>0</v>
      </c>
      <c r="BK536" s="2"/>
      <c r="BL536" s="2">
        <v>13</v>
      </c>
    </row>
    <row r="537" spans="1:47" ht="15" customHeight="1">
      <c r="A537" s="48" t="s">
        <v>844</v>
      </c>
      <c r="B537" s="17" t="s">
        <v>1182</v>
      </c>
      <c r="C537" s="74" t="s">
        <v>989</v>
      </c>
      <c r="D537" s="74"/>
      <c r="E537" s="74"/>
      <c r="F537" s="74"/>
      <c r="G537" s="40" t="s">
        <v>1110</v>
      </c>
      <c r="H537" s="40" t="s">
        <v>1110</v>
      </c>
      <c r="I537" s="40" t="s">
        <v>1110</v>
      </c>
      <c r="J537" s="23">
        <f>SUM(J538:J541)</f>
        <v>0</v>
      </c>
      <c r="K537" s="23">
        <f>SUM(K538:K541)</f>
        <v>0</v>
      </c>
      <c r="L537" s="23">
        <f>SUM(L538:L541)</f>
        <v>0</v>
      </c>
      <c r="M537" s="37" t="s">
        <v>844</v>
      </c>
      <c r="AI537" s="19" t="s">
        <v>556</v>
      </c>
      <c r="AS537" s="23">
        <f>SUM(AJ538:AJ541)</f>
        <v>0</v>
      </c>
      <c r="AT537" s="23">
        <f>SUM(AK538:AK541)</f>
        <v>0</v>
      </c>
      <c r="AU537" s="23">
        <f>SUM(AL538:AL541)</f>
        <v>0</v>
      </c>
    </row>
    <row r="538" spans="1:64" ht="15" customHeight="1">
      <c r="A538" s="15" t="s">
        <v>405</v>
      </c>
      <c r="B538" s="14" t="s">
        <v>236</v>
      </c>
      <c r="C538" s="58" t="s">
        <v>327</v>
      </c>
      <c r="D538" s="58"/>
      <c r="E538" s="58"/>
      <c r="F538" s="58"/>
      <c r="G538" s="14" t="s">
        <v>1165</v>
      </c>
      <c r="H538" s="2">
        <v>66.08</v>
      </c>
      <c r="I538" s="2">
        <v>0</v>
      </c>
      <c r="J538" s="2">
        <f>H538*AO538</f>
        <v>0</v>
      </c>
      <c r="K538" s="2">
        <f>H538*AP538</f>
        <v>0</v>
      </c>
      <c r="L538" s="2">
        <f>H538*I538</f>
        <v>0</v>
      </c>
      <c r="M538" s="7" t="s">
        <v>831</v>
      </c>
      <c r="Z538" s="2">
        <f>IF(AQ538="5",BJ538,0)</f>
        <v>0</v>
      </c>
      <c r="AB538" s="2">
        <f>IF(AQ538="1",BH538,0)</f>
        <v>0</v>
      </c>
      <c r="AC538" s="2">
        <f>IF(AQ538="1",BI538,0)</f>
        <v>0</v>
      </c>
      <c r="AD538" s="2">
        <f>IF(AQ538="7",BH538,0)</f>
        <v>0</v>
      </c>
      <c r="AE538" s="2">
        <f>IF(AQ538="7",BI538,0)</f>
        <v>0</v>
      </c>
      <c r="AF538" s="2">
        <f>IF(AQ538="2",BH538,0)</f>
        <v>0</v>
      </c>
      <c r="AG538" s="2">
        <f>IF(AQ538="2",BI538,0)</f>
        <v>0</v>
      </c>
      <c r="AH538" s="2">
        <f>IF(AQ538="0",BJ538,0)</f>
        <v>0</v>
      </c>
      <c r="AI538" s="19" t="s">
        <v>556</v>
      </c>
      <c r="AJ538" s="2">
        <f>IF(AN538=0,L538,0)</f>
        <v>0</v>
      </c>
      <c r="AK538" s="2">
        <f>IF(AN538=15,L538,0)</f>
        <v>0</v>
      </c>
      <c r="AL538" s="2">
        <f>IF(AN538=21,L538,0)</f>
        <v>0</v>
      </c>
      <c r="AN538" s="2">
        <v>15</v>
      </c>
      <c r="AO538" s="2">
        <f>I538*0.896560548320955</f>
        <v>0</v>
      </c>
      <c r="AP538" s="2">
        <f>I538*(1-0.896560548320955)</f>
        <v>0</v>
      </c>
      <c r="AQ538" s="43" t="s">
        <v>1205</v>
      </c>
      <c r="AV538" s="2">
        <f>AW538+AX538</f>
        <v>0</v>
      </c>
      <c r="AW538" s="2">
        <f>H538*AO538</f>
        <v>0</v>
      </c>
      <c r="AX538" s="2">
        <f>H538*AP538</f>
        <v>0</v>
      </c>
      <c r="AY538" s="43" t="s">
        <v>837</v>
      </c>
      <c r="AZ538" s="43" t="s">
        <v>589</v>
      </c>
      <c r="BA538" s="19" t="s">
        <v>131</v>
      </c>
      <c r="BC538" s="2">
        <f>AW538+AX538</f>
        <v>0</v>
      </c>
      <c r="BD538" s="2">
        <f>I538/(100-BE538)*100</f>
        <v>0</v>
      </c>
      <c r="BE538" s="2">
        <v>0</v>
      </c>
      <c r="BF538" s="2">
        <f>538</f>
        <v>538</v>
      </c>
      <c r="BH538" s="2">
        <f>H538*AO538</f>
        <v>0</v>
      </c>
      <c r="BI538" s="2">
        <f>H538*AP538</f>
        <v>0</v>
      </c>
      <c r="BJ538" s="2">
        <f>H538*I538</f>
        <v>0</v>
      </c>
      <c r="BK538" s="2"/>
      <c r="BL538" s="2">
        <v>27</v>
      </c>
    </row>
    <row r="539" spans="1:64" ht="15" customHeight="1">
      <c r="A539" s="15" t="s">
        <v>285</v>
      </c>
      <c r="B539" s="14" t="s">
        <v>333</v>
      </c>
      <c r="C539" s="58" t="s">
        <v>993</v>
      </c>
      <c r="D539" s="58"/>
      <c r="E539" s="58"/>
      <c r="F539" s="58"/>
      <c r="G539" s="14" t="s">
        <v>1189</v>
      </c>
      <c r="H539" s="2">
        <v>46.35</v>
      </c>
      <c r="I539" s="2">
        <v>0</v>
      </c>
      <c r="J539" s="2">
        <f>H539*AO539</f>
        <v>0</v>
      </c>
      <c r="K539" s="2">
        <f>H539*AP539</f>
        <v>0</v>
      </c>
      <c r="L539" s="2">
        <f>H539*I539</f>
        <v>0</v>
      </c>
      <c r="M539" s="7" t="s">
        <v>831</v>
      </c>
      <c r="Z539" s="2">
        <f>IF(AQ539="5",BJ539,0)</f>
        <v>0</v>
      </c>
      <c r="AB539" s="2">
        <f>IF(AQ539="1",BH539,0)</f>
        <v>0</v>
      </c>
      <c r="AC539" s="2">
        <f>IF(AQ539="1",BI539,0)</f>
        <v>0</v>
      </c>
      <c r="AD539" s="2">
        <f>IF(AQ539="7",BH539,0)</f>
        <v>0</v>
      </c>
      <c r="AE539" s="2">
        <f>IF(AQ539="7",BI539,0)</f>
        <v>0</v>
      </c>
      <c r="AF539" s="2">
        <f>IF(AQ539="2",BH539,0)</f>
        <v>0</v>
      </c>
      <c r="AG539" s="2">
        <f>IF(AQ539="2",BI539,0)</f>
        <v>0</v>
      </c>
      <c r="AH539" s="2">
        <f>IF(AQ539="0",BJ539,0)</f>
        <v>0</v>
      </c>
      <c r="AI539" s="19" t="s">
        <v>556</v>
      </c>
      <c r="AJ539" s="2">
        <f>IF(AN539=0,L539,0)</f>
        <v>0</v>
      </c>
      <c r="AK539" s="2">
        <f>IF(AN539=15,L539,0)</f>
        <v>0</v>
      </c>
      <c r="AL539" s="2">
        <f>IF(AN539=21,L539,0)</f>
        <v>0</v>
      </c>
      <c r="AN539" s="2">
        <v>15</v>
      </c>
      <c r="AO539" s="2">
        <f>I539*0.700905467633166</f>
        <v>0</v>
      </c>
      <c r="AP539" s="2">
        <f>I539*(1-0.700905467633166)</f>
        <v>0</v>
      </c>
      <c r="AQ539" s="43" t="s">
        <v>1205</v>
      </c>
      <c r="AV539" s="2">
        <f>AW539+AX539</f>
        <v>0</v>
      </c>
      <c r="AW539" s="2">
        <f>H539*AO539</f>
        <v>0</v>
      </c>
      <c r="AX539" s="2">
        <f>H539*AP539</f>
        <v>0</v>
      </c>
      <c r="AY539" s="43" t="s">
        <v>837</v>
      </c>
      <c r="AZ539" s="43" t="s">
        <v>589</v>
      </c>
      <c r="BA539" s="19" t="s">
        <v>131</v>
      </c>
      <c r="BC539" s="2">
        <f>AW539+AX539</f>
        <v>0</v>
      </c>
      <c r="BD539" s="2">
        <f>I539/(100-BE539)*100</f>
        <v>0</v>
      </c>
      <c r="BE539" s="2">
        <v>0</v>
      </c>
      <c r="BF539" s="2">
        <f>539</f>
        <v>539</v>
      </c>
      <c r="BH539" s="2">
        <f>H539*AO539</f>
        <v>0</v>
      </c>
      <c r="BI539" s="2">
        <f>H539*AP539</f>
        <v>0</v>
      </c>
      <c r="BJ539" s="2">
        <f>H539*I539</f>
        <v>0</v>
      </c>
      <c r="BK539" s="2"/>
      <c r="BL539" s="2">
        <v>27</v>
      </c>
    </row>
    <row r="540" spans="1:13" ht="13.5" customHeight="1">
      <c r="A540" s="51"/>
      <c r="B540" s="32" t="s">
        <v>639</v>
      </c>
      <c r="C540" s="75" t="s">
        <v>379</v>
      </c>
      <c r="D540" s="76"/>
      <c r="E540" s="76"/>
      <c r="F540" s="76"/>
      <c r="G540" s="76"/>
      <c r="H540" s="76"/>
      <c r="I540" s="76"/>
      <c r="J540" s="76"/>
      <c r="K540" s="76"/>
      <c r="L540" s="76"/>
      <c r="M540" s="77"/>
    </row>
    <row r="541" spans="1:64" ht="15" customHeight="1">
      <c r="A541" s="15" t="s">
        <v>181</v>
      </c>
      <c r="B541" s="14" t="s">
        <v>212</v>
      </c>
      <c r="C541" s="58" t="s">
        <v>1238</v>
      </c>
      <c r="D541" s="58"/>
      <c r="E541" s="58"/>
      <c r="F541" s="58"/>
      <c r="G541" s="14" t="s">
        <v>584</v>
      </c>
      <c r="H541" s="2">
        <v>0.58</v>
      </c>
      <c r="I541" s="2">
        <v>0</v>
      </c>
      <c r="J541" s="2">
        <f>H541*AO541</f>
        <v>0</v>
      </c>
      <c r="K541" s="2">
        <f>H541*AP541</f>
        <v>0</v>
      </c>
      <c r="L541" s="2">
        <f>H541*I541</f>
        <v>0</v>
      </c>
      <c r="M541" s="7" t="s">
        <v>831</v>
      </c>
      <c r="Z541" s="2">
        <f>IF(AQ541="5",BJ541,0)</f>
        <v>0</v>
      </c>
      <c r="AB541" s="2">
        <f>IF(AQ541="1",BH541,0)</f>
        <v>0</v>
      </c>
      <c r="AC541" s="2">
        <f>IF(AQ541="1",BI541,0)</f>
        <v>0</v>
      </c>
      <c r="AD541" s="2">
        <f>IF(AQ541="7",BH541,0)</f>
        <v>0</v>
      </c>
      <c r="AE541" s="2">
        <f>IF(AQ541="7",BI541,0)</f>
        <v>0</v>
      </c>
      <c r="AF541" s="2">
        <f>IF(AQ541="2",BH541,0)</f>
        <v>0</v>
      </c>
      <c r="AG541" s="2">
        <f>IF(AQ541="2",BI541,0)</f>
        <v>0</v>
      </c>
      <c r="AH541" s="2">
        <f>IF(AQ541="0",BJ541,0)</f>
        <v>0</v>
      </c>
      <c r="AI541" s="19" t="s">
        <v>556</v>
      </c>
      <c r="AJ541" s="2">
        <f>IF(AN541=0,L541,0)</f>
        <v>0</v>
      </c>
      <c r="AK541" s="2">
        <f>IF(AN541=15,L541,0)</f>
        <v>0</v>
      </c>
      <c r="AL541" s="2">
        <f>IF(AN541=21,L541,0)</f>
        <v>0</v>
      </c>
      <c r="AN541" s="2">
        <v>15</v>
      </c>
      <c r="AO541" s="2">
        <f>I541*0.770344262295082</f>
        <v>0</v>
      </c>
      <c r="AP541" s="2">
        <f>I541*(1-0.770344262295082)</f>
        <v>0</v>
      </c>
      <c r="AQ541" s="43" t="s">
        <v>1205</v>
      </c>
      <c r="AV541" s="2">
        <f>AW541+AX541</f>
        <v>0</v>
      </c>
      <c r="AW541" s="2">
        <f>H541*AO541</f>
        <v>0</v>
      </c>
      <c r="AX541" s="2">
        <f>H541*AP541</f>
        <v>0</v>
      </c>
      <c r="AY541" s="43" t="s">
        <v>837</v>
      </c>
      <c r="AZ541" s="43" t="s">
        <v>589</v>
      </c>
      <c r="BA541" s="19" t="s">
        <v>131</v>
      </c>
      <c r="BC541" s="2">
        <f>AW541+AX541</f>
        <v>0</v>
      </c>
      <c r="BD541" s="2">
        <f>I541/(100-BE541)*100</f>
        <v>0</v>
      </c>
      <c r="BE541" s="2">
        <v>0</v>
      </c>
      <c r="BF541" s="2">
        <f>541</f>
        <v>541</v>
      </c>
      <c r="BH541" s="2">
        <f>H541*AO541</f>
        <v>0</v>
      </c>
      <c r="BI541" s="2">
        <f>H541*AP541</f>
        <v>0</v>
      </c>
      <c r="BJ541" s="2">
        <f>H541*I541</f>
        <v>0</v>
      </c>
      <c r="BK541" s="2"/>
      <c r="BL541" s="2">
        <v>27</v>
      </c>
    </row>
    <row r="542" spans="1:47" ht="15" customHeight="1">
      <c r="A542" s="48" t="s">
        <v>844</v>
      </c>
      <c r="B542" s="17" t="s">
        <v>725</v>
      </c>
      <c r="C542" s="74" t="s">
        <v>1156</v>
      </c>
      <c r="D542" s="74"/>
      <c r="E542" s="74"/>
      <c r="F542" s="74"/>
      <c r="G542" s="40" t="s">
        <v>1110</v>
      </c>
      <c r="H542" s="40" t="s">
        <v>1110</v>
      </c>
      <c r="I542" s="40" t="s">
        <v>1110</v>
      </c>
      <c r="J542" s="23">
        <f>SUM(J543:J545)</f>
        <v>0</v>
      </c>
      <c r="K542" s="23">
        <f>SUM(K543:K545)</f>
        <v>0</v>
      </c>
      <c r="L542" s="23">
        <f>SUM(L543:L545)</f>
        <v>0</v>
      </c>
      <c r="M542" s="37" t="s">
        <v>844</v>
      </c>
      <c r="AI542" s="19" t="s">
        <v>556</v>
      </c>
      <c r="AS542" s="23">
        <f>SUM(AJ543:AJ545)</f>
        <v>0</v>
      </c>
      <c r="AT542" s="23">
        <f>SUM(AK543:AK545)</f>
        <v>0</v>
      </c>
      <c r="AU542" s="23">
        <f>SUM(AL543:AL545)</f>
        <v>0</v>
      </c>
    </row>
    <row r="543" spans="1:64" ht="15" customHeight="1">
      <c r="A543" s="15" t="s">
        <v>685</v>
      </c>
      <c r="B543" s="14" t="s">
        <v>1274</v>
      </c>
      <c r="C543" s="58" t="s">
        <v>758</v>
      </c>
      <c r="D543" s="58"/>
      <c r="E543" s="58"/>
      <c r="F543" s="58"/>
      <c r="G543" s="14" t="s">
        <v>1189</v>
      </c>
      <c r="H543" s="2">
        <v>159.65</v>
      </c>
      <c r="I543" s="2">
        <v>0</v>
      </c>
      <c r="J543" s="2">
        <f>H543*AO543</f>
        <v>0</v>
      </c>
      <c r="K543" s="2">
        <f>H543*AP543</f>
        <v>0</v>
      </c>
      <c r="L543" s="2">
        <f>H543*I543</f>
        <v>0</v>
      </c>
      <c r="M543" s="7" t="s">
        <v>831</v>
      </c>
      <c r="Z543" s="2">
        <f>IF(AQ543="5",BJ543,0)</f>
        <v>0</v>
      </c>
      <c r="AB543" s="2">
        <f>IF(AQ543="1",BH543,0)</f>
        <v>0</v>
      </c>
      <c r="AC543" s="2">
        <f>IF(AQ543="1",BI543,0)</f>
        <v>0</v>
      </c>
      <c r="AD543" s="2">
        <f>IF(AQ543="7",BH543,0)</f>
        <v>0</v>
      </c>
      <c r="AE543" s="2">
        <f>IF(AQ543="7",BI543,0)</f>
        <v>0</v>
      </c>
      <c r="AF543" s="2">
        <f>IF(AQ543="2",BH543,0)</f>
        <v>0</v>
      </c>
      <c r="AG543" s="2">
        <f>IF(AQ543="2",BI543,0)</f>
        <v>0</v>
      </c>
      <c r="AH543" s="2">
        <f>IF(AQ543="0",BJ543,0)</f>
        <v>0</v>
      </c>
      <c r="AI543" s="19" t="s">
        <v>556</v>
      </c>
      <c r="AJ543" s="2">
        <f>IF(AN543=0,L543,0)</f>
        <v>0</v>
      </c>
      <c r="AK543" s="2">
        <f>IF(AN543=15,L543,0)</f>
        <v>0</v>
      </c>
      <c r="AL543" s="2">
        <f>IF(AN543=21,L543,0)</f>
        <v>0</v>
      </c>
      <c r="AN543" s="2">
        <v>15</v>
      </c>
      <c r="AO543" s="2">
        <f>I543*0.711715473288039</f>
        <v>0</v>
      </c>
      <c r="AP543" s="2">
        <f>I543*(1-0.711715473288039)</f>
        <v>0</v>
      </c>
      <c r="AQ543" s="43" t="s">
        <v>1205</v>
      </c>
      <c r="AV543" s="2">
        <f>AW543+AX543</f>
        <v>0</v>
      </c>
      <c r="AW543" s="2">
        <f>H543*AO543</f>
        <v>0</v>
      </c>
      <c r="AX543" s="2">
        <f>H543*AP543</f>
        <v>0</v>
      </c>
      <c r="AY543" s="43" t="s">
        <v>870</v>
      </c>
      <c r="AZ543" s="43" t="s">
        <v>436</v>
      </c>
      <c r="BA543" s="19" t="s">
        <v>131</v>
      </c>
      <c r="BC543" s="2">
        <f>AW543+AX543</f>
        <v>0</v>
      </c>
      <c r="BD543" s="2">
        <f>I543/(100-BE543)*100</f>
        <v>0</v>
      </c>
      <c r="BE543" s="2">
        <v>0</v>
      </c>
      <c r="BF543" s="2">
        <f>543</f>
        <v>543</v>
      </c>
      <c r="BH543" s="2">
        <f>H543*AO543</f>
        <v>0</v>
      </c>
      <c r="BI543" s="2">
        <f>H543*AP543</f>
        <v>0</v>
      </c>
      <c r="BJ543" s="2">
        <f>H543*I543</f>
        <v>0</v>
      </c>
      <c r="BK543" s="2"/>
      <c r="BL543" s="2">
        <v>31</v>
      </c>
    </row>
    <row r="544" spans="1:13" ht="13.5" customHeight="1">
      <c r="A544" s="51"/>
      <c r="B544" s="32" t="s">
        <v>639</v>
      </c>
      <c r="C544" s="75" t="s">
        <v>15</v>
      </c>
      <c r="D544" s="76"/>
      <c r="E544" s="76"/>
      <c r="F544" s="76"/>
      <c r="G544" s="76"/>
      <c r="H544" s="76"/>
      <c r="I544" s="76"/>
      <c r="J544" s="76"/>
      <c r="K544" s="76"/>
      <c r="L544" s="76"/>
      <c r="M544" s="77"/>
    </row>
    <row r="545" spans="1:64" ht="15" customHeight="1">
      <c r="A545" s="15" t="s">
        <v>1123</v>
      </c>
      <c r="B545" s="14" t="s">
        <v>100</v>
      </c>
      <c r="C545" s="58" t="s">
        <v>335</v>
      </c>
      <c r="D545" s="58"/>
      <c r="E545" s="58"/>
      <c r="F545" s="58"/>
      <c r="G545" s="14" t="s">
        <v>584</v>
      </c>
      <c r="H545" s="2">
        <v>1.872</v>
      </c>
      <c r="I545" s="2">
        <v>0</v>
      </c>
      <c r="J545" s="2">
        <f>H545*AO545</f>
        <v>0</v>
      </c>
      <c r="K545" s="2">
        <f>H545*AP545</f>
        <v>0</v>
      </c>
      <c r="L545" s="2">
        <f>H545*I545</f>
        <v>0</v>
      </c>
      <c r="M545" s="7" t="s">
        <v>831</v>
      </c>
      <c r="Z545" s="2">
        <f>IF(AQ545="5",BJ545,0)</f>
        <v>0</v>
      </c>
      <c r="AB545" s="2">
        <f>IF(AQ545="1",BH545,0)</f>
        <v>0</v>
      </c>
      <c r="AC545" s="2">
        <f>IF(AQ545="1",BI545,0)</f>
        <v>0</v>
      </c>
      <c r="AD545" s="2">
        <f>IF(AQ545="7",BH545,0)</f>
        <v>0</v>
      </c>
      <c r="AE545" s="2">
        <f>IF(AQ545="7",BI545,0)</f>
        <v>0</v>
      </c>
      <c r="AF545" s="2">
        <f>IF(AQ545="2",BH545,0)</f>
        <v>0</v>
      </c>
      <c r="AG545" s="2">
        <f>IF(AQ545="2",BI545,0)</f>
        <v>0</v>
      </c>
      <c r="AH545" s="2">
        <f>IF(AQ545="0",BJ545,0)</f>
        <v>0</v>
      </c>
      <c r="AI545" s="19" t="s">
        <v>556</v>
      </c>
      <c r="AJ545" s="2">
        <f>IF(AN545=0,L545,0)</f>
        <v>0</v>
      </c>
      <c r="AK545" s="2">
        <f>IF(AN545=15,L545,0)</f>
        <v>0</v>
      </c>
      <c r="AL545" s="2">
        <f>IF(AN545=21,L545,0)</f>
        <v>0</v>
      </c>
      <c r="AN545" s="2">
        <v>15</v>
      </c>
      <c r="AO545" s="2">
        <f>I545*0.766602946786077</f>
        <v>0</v>
      </c>
      <c r="AP545" s="2">
        <f>I545*(1-0.766602946786077)</f>
        <v>0</v>
      </c>
      <c r="AQ545" s="43" t="s">
        <v>1205</v>
      </c>
      <c r="AV545" s="2">
        <f>AW545+AX545</f>
        <v>0</v>
      </c>
      <c r="AW545" s="2">
        <f>H545*AO545</f>
        <v>0</v>
      </c>
      <c r="AX545" s="2">
        <f>H545*AP545</f>
        <v>0</v>
      </c>
      <c r="AY545" s="43" t="s">
        <v>870</v>
      </c>
      <c r="AZ545" s="43" t="s">
        <v>436</v>
      </c>
      <c r="BA545" s="19" t="s">
        <v>131</v>
      </c>
      <c r="BC545" s="2">
        <f>AW545+AX545</f>
        <v>0</v>
      </c>
      <c r="BD545" s="2">
        <f>I545/(100-BE545)*100</f>
        <v>0</v>
      </c>
      <c r="BE545" s="2">
        <v>0</v>
      </c>
      <c r="BF545" s="2">
        <f>545</f>
        <v>545</v>
      </c>
      <c r="BH545" s="2">
        <f>H545*AO545</f>
        <v>0</v>
      </c>
      <c r="BI545" s="2">
        <f>H545*AP545</f>
        <v>0</v>
      </c>
      <c r="BJ545" s="2">
        <f>H545*I545</f>
        <v>0</v>
      </c>
      <c r="BK545" s="2"/>
      <c r="BL545" s="2">
        <v>31</v>
      </c>
    </row>
    <row r="546" spans="1:47" ht="15" customHeight="1">
      <c r="A546" s="48" t="s">
        <v>844</v>
      </c>
      <c r="B546" s="17" t="s">
        <v>278</v>
      </c>
      <c r="C546" s="74" t="s">
        <v>662</v>
      </c>
      <c r="D546" s="74"/>
      <c r="E546" s="74"/>
      <c r="F546" s="74"/>
      <c r="G546" s="40" t="s">
        <v>1110</v>
      </c>
      <c r="H546" s="40" t="s">
        <v>1110</v>
      </c>
      <c r="I546" s="40" t="s">
        <v>1110</v>
      </c>
      <c r="J546" s="23">
        <f>SUM(J547:J553)</f>
        <v>0</v>
      </c>
      <c r="K546" s="23">
        <f>SUM(K547:K553)</f>
        <v>0</v>
      </c>
      <c r="L546" s="23">
        <f>SUM(L547:L553)</f>
        <v>0</v>
      </c>
      <c r="M546" s="37" t="s">
        <v>844</v>
      </c>
      <c r="AI546" s="19" t="s">
        <v>556</v>
      </c>
      <c r="AS546" s="23">
        <f>SUM(AJ547:AJ553)</f>
        <v>0</v>
      </c>
      <c r="AT546" s="23">
        <f>SUM(AK547:AK553)</f>
        <v>0</v>
      </c>
      <c r="AU546" s="23">
        <f>SUM(AL547:AL553)</f>
        <v>0</v>
      </c>
    </row>
    <row r="547" spans="1:64" ht="15" customHeight="1">
      <c r="A547" s="15" t="s">
        <v>1349</v>
      </c>
      <c r="B547" s="14" t="s">
        <v>1146</v>
      </c>
      <c r="C547" s="58" t="s">
        <v>1148</v>
      </c>
      <c r="D547" s="58"/>
      <c r="E547" s="58"/>
      <c r="F547" s="58"/>
      <c r="G547" s="14" t="s">
        <v>319</v>
      </c>
      <c r="H547" s="2">
        <v>14</v>
      </c>
      <c r="I547" s="2">
        <v>0</v>
      </c>
      <c r="J547" s="2">
        <f aca="true" t="shared" si="132" ref="J547:J553">H547*AO547</f>
        <v>0</v>
      </c>
      <c r="K547" s="2">
        <f aca="true" t="shared" si="133" ref="K547:K553">H547*AP547</f>
        <v>0</v>
      </c>
      <c r="L547" s="2">
        <f aca="true" t="shared" si="134" ref="L547:L553">H547*I547</f>
        <v>0</v>
      </c>
      <c r="M547" s="7" t="s">
        <v>831</v>
      </c>
      <c r="Z547" s="2">
        <f aca="true" t="shared" si="135" ref="Z547:Z553">IF(AQ547="5",BJ547,0)</f>
        <v>0</v>
      </c>
      <c r="AB547" s="2">
        <f aca="true" t="shared" si="136" ref="AB547:AB553">IF(AQ547="1",BH547,0)</f>
        <v>0</v>
      </c>
      <c r="AC547" s="2">
        <f aca="true" t="shared" si="137" ref="AC547:AC553">IF(AQ547="1",BI547,0)</f>
        <v>0</v>
      </c>
      <c r="AD547" s="2">
        <f aca="true" t="shared" si="138" ref="AD547:AD553">IF(AQ547="7",BH547,0)</f>
        <v>0</v>
      </c>
      <c r="AE547" s="2">
        <f aca="true" t="shared" si="139" ref="AE547:AE553">IF(AQ547="7",BI547,0)</f>
        <v>0</v>
      </c>
      <c r="AF547" s="2">
        <f aca="true" t="shared" si="140" ref="AF547:AF553">IF(AQ547="2",BH547,0)</f>
        <v>0</v>
      </c>
      <c r="AG547" s="2">
        <f aca="true" t="shared" si="141" ref="AG547:AG553">IF(AQ547="2",BI547,0)</f>
        <v>0</v>
      </c>
      <c r="AH547" s="2">
        <f aca="true" t="shared" si="142" ref="AH547:AH553">IF(AQ547="0",BJ547,0)</f>
        <v>0</v>
      </c>
      <c r="AI547" s="19" t="s">
        <v>556</v>
      </c>
      <c r="AJ547" s="2">
        <f aca="true" t="shared" si="143" ref="AJ547:AJ553">IF(AN547=0,L547,0)</f>
        <v>0</v>
      </c>
      <c r="AK547" s="2">
        <f aca="true" t="shared" si="144" ref="AK547:AK553">IF(AN547=15,L547,0)</f>
        <v>0</v>
      </c>
      <c r="AL547" s="2">
        <f aca="true" t="shared" si="145" ref="AL547:AL553">IF(AN547=21,L547,0)</f>
        <v>0</v>
      </c>
      <c r="AN547" s="2">
        <v>15</v>
      </c>
      <c r="AO547" s="2">
        <f>I547*0.960928792569659</f>
        <v>0</v>
      </c>
      <c r="AP547" s="2">
        <f>I547*(1-0.960928792569659)</f>
        <v>0</v>
      </c>
      <c r="AQ547" s="43" t="s">
        <v>1205</v>
      </c>
      <c r="AV547" s="2">
        <f aca="true" t="shared" si="146" ref="AV547:AV553">AW547+AX547</f>
        <v>0</v>
      </c>
      <c r="AW547" s="2">
        <f aca="true" t="shared" si="147" ref="AW547:AW553">H547*AO547</f>
        <v>0</v>
      </c>
      <c r="AX547" s="2">
        <f aca="true" t="shared" si="148" ref="AX547:AX553">H547*AP547</f>
        <v>0</v>
      </c>
      <c r="AY547" s="43" t="s">
        <v>1322</v>
      </c>
      <c r="AZ547" s="43" t="s">
        <v>436</v>
      </c>
      <c r="BA547" s="19" t="s">
        <v>131</v>
      </c>
      <c r="BC547" s="2">
        <f aca="true" t="shared" si="149" ref="BC547:BC553">AW547+AX547</f>
        <v>0</v>
      </c>
      <c r="BD547" s="2">
        <f aca="true" t="shared" si="150" ref="BD547:BD553">I547/(100-BE547)*100</f>
        <v>0</v>
      </c>
      <c r="BE547" s="2">
        <v>0</v>
      </c>
      <c r="BF547" s="2">
        <f>547</f>
        <v>547</v>
      </c>
      <c r="BH547" s="2">
        <f aca="true" t="shared" si="151" ref="BH547:BH553">H547*AO547</f>
        <v>0</v>
      </c>
      <c r="BI547" s="2">
        <f aca="true" t="shared" si="152" ref="BI547:BI553">H547*AP547</f>
        <v>0</v>
      </c>
      <c r="BJ547" s="2">
        <f aca="true" t="shared" si="153" ref="BJ547:BJ553">H547*I547</f>
        <v>0</v>
      </c>
      <c r="BK547" s="2"/>
      <c r="BL547" s="2">
        <v>33</v>
      </c>
    </row>
    <row r="548" spans="1:64" ht="15" customHeight="1">
      <c r="A548" s="15" t="s">
        <v>62</v>
      </c>
      <c r="B548" s="14" t="s">
        <v>582</v>
      </c>
      <c r="C548" s="58" t="s">
        <v>472</v>
      </c>
      <c r="D548" s="58"/>
      <c r="E548" s="58"/>
      <c r="F548" s="58"/>
      <c r="G548" s="14" t="s">
        <v>999</v>
      </c>
      <c r="H548" s="2">
        <v>12.6</v>
      </c>
      <c r="I548" s="2">
        <v>0</v>
      </c>
      <c r="J548" s="2">
        <f t="shared" si="132"/>
        <v>0</v>
      </c>
      <c r="K548" s="2">
        <f t="shared" si="133"/>
        <v>0</v>
      </c>
      <c r="L548" s="2">
        <f t="shared" si="134"/>
        <v>0</v>
      </c>
      <c r="M548" s="7" t="s">
        <v>831</v>
      </c>
      <c r="Z548" s="2">
        <f t="shared" si="135"/>
        <v>0</v>
      </c>
      <c r="AB548" s="2">
        <f t="shared" si="136"/>
        <v>0</v>
      </c>
      <c r="AC548" s="2">
        <f t="shared" si="137"/>
        <v>0</v>
      </c>
      <c r="AD548" s="2">
        <f t="shared" si="138"/>
        <v>0</v>
      </c>
      <c r="AE548" s="2">
        <f t="shared" si="139"/>
        <v>0</v>
      </c>
      <c r="AF548" s="2">
        <f t="shared" si="140"/>
        <v>0</v>
      </c>
      <c r="AG548" s="2">
        <f t="shared" si="141"/>
        <v>0</v>
      </c>
      <c r="AH548" s="2">
        <f t="shared" si="142"/>
        <v>0</v>
      </c>
      <c r="AI548" s="19" t="s">
        <v>556</v>
      </c>
      <c r="AJ548" s="2">
        <f t="shared" si="143"/>
        <v>0</v>
      </c>
      <c r="AK548" s="2">
        <f t="shared" si="144"/>
        <v>0</v>
      </c>
      <c r="AL548" s="2">
        <f t="shared" si="145"/>
        <v>0</v>
      </c>
      <c r="AN548" s="2">
        <v>15</v>
      </c>
      <c r="AO548" s="2">
        <f>I548*0.637118360451959</f>
        <v>0</v>
      </c>
      <c r="AP548" s="2">
        <f>I548*(1-0.637118360451959)</f>
        <v>0</v>
      </c>
      <c r="AQ548" s="43" t="s">
        <v>1205</v>
      </c>
      <c r="AV548" s="2">
        <f t="shared" si="146"/>
        <v>0</v>
      </c>
      <c r="AW548" s="2">
        <f t="shared" si="147"/>
        <v>0</v>
      </c>
      <c r="AX548" s="2">
        <f t="shared" si="148"/>
        <v>0</v>
      </c>
      <c r="AY548" s="43" t="s">
        <v>1322</v>
      </c>
      <c r="AZ548" s="43" t="s">
        <v>436</v>
      </c>
      <c r="BA548" s="19" t="s">
        <v>131</v>
      </c>
      <c r="BC548" s="2">
        <f t="shared" si="149"/>
        <v>0</v>
      </c>
      <c r="BD548" s="2">
        <f t="shared" si="150"/>
        <v>0</v>
      </c>
      <c r="BE548" s="2">
        <v>0</v>
      </c>
      <c r="BF548" s="2">
        <f>548</f>
        <v>548</v>
      </c>
      <c r="BH548" s="2">
        <f t="shared" si="151"/>
        <v>0</v>
      </c>
      <c r="BI548" s="2">
        <f t="shared" si="152"/>
        <v>0</v>
      </c>
      <c r="BJ548" s="2">
        <f t="shared" si="153"/>
        <v>0</v>
      </c>
      <c r="BK548" s="2"/>
      <c r="BL548" s="2">
        <v>33</v>
      </c>
    </row>
    <row r="549" spans="1:64" ht="15" customHeight="1">
      <c r="A549" s="15" t="s">
        <v>1192</v>
      </c>
      <c r="B549" s="14" t="s">
        <v>51</v>
      </c>
      <c r="C549" s="58" t="s">
        <v>502</v>
      </c>
      <c r="D549" s="58"/>
      <c r="E549" s="58"/>
      <c r="F549" s="58"/>
      <c r="G549" s="14" t="s">
        <v>999</v>
      </c>
      <c r="H549" s="2">
        <v>12.6</v>
      </c>
      <c r="I549" s="2">
        <v>0</v>
      </c>
      <c r="J549" s="2">
        <f t="shared" si="132"/>
        <v>0</v>
      </c>
      <c r="K549" s="2">
        <f t="shared" si="133"/>
        <v>0</v>
      </c>
      <c r="L549" s="2">
        <f t="shared" si="134"/>
        <v>0</v>
      </c>
      <c r="M549" s="7" t="s">
        <v>831</v>
      </c>
      <c r="Z549" s="2">
        <f t="shared" si="135"/>
        <v>0</v>
      </c>
      <c r="AB549" s="2">
        <f t="shared" si="136"/>
        <v>0</v>
      </c>
      <c r="AC549" s="2">
        <f t="shared" si="137"/>
        <v>0</v>
      </c>
      <c r="AD549" s="2">
        <f t="shared" si="138"/>
        <v>0</v>
      </c>
      <c r="AE549" s="2">
        <f t="shared" si="139"/>
        <v>0</v>
      </c>
      <c r="AF549" s="2">
        <f t="shared" si="140"/>
        <v>0</v>
      </c>
      <c r="AG549" s="2">
        <f t="shared" si="141"/>
        <v>0</v>
      </c>
      <c r="AH549" s="2">
        <f t="shared" si="142"/>
        <v>0</v>
      </c>
      <c r="AI549" s="19" t="s">
        <v>556</v>
      </c>
      <c r="AJ549" s="2">
        <f t="shared" si="143"/>
        <v>0</v>
      </c>
      <c r="AK549" s="2">
        <f t="shared" si="144"/>
        <v>0</v>
      </c>
      <c r="AL549" s="2">
        <f t="shared" si="145"/>
        <v>0</v>
      </c>
      <c r="AN549" s="2">
        <v>15</v>
      </c>
      <c r="AO549" s="2">
        <f>I549*0.725748122472559</f>
        <v>0</v>
      </c>
      <c r="AP549" s="2">
        <f>I549*(1-0.725748122472559)</f>
        <v>0</v>
      </c>
      <c r="AQ549" s="43" t="s">
        <v>1205</v>
      </c>
      <c r="AV549" s="2">
        <f t="shared" si="146"/>
        <v>0</v>
      </c>
      <c r="AW549" s="2">
        <f t="shared" si="147"/>
        <v>0</v>
      </c>
      <c r="AX549" s="2">
        <f t="shared" si="148"/>
        <v>0</v>
      </c>
      <c r="AY549" s="43" t="s">
        <v>1322</v>
      </c>
      <c r="AZ549" s="43" t="s">
        <v>436</v>
      </c>
      <c r="BA549" s="19" t="s">
        <v>131</v>
      </c>
      <c r="BC549" s="2">
        <f t="shared" si="149"/>
        <v>0</v>
      </c>
      <c r="BD549" s="2">
        <f t="shared" si="150"/>
        <v>0</v>
      </c>
      <c r="BE549" s="2">
        <v>0</v>
      </c>
      <c r="BF549" s="2">
        <f>549</f>
        <v>549</v>
      </c>
      <c r="BH549" s="2">
        <f t="shared" si="151"/>
        <v>0</v>
      </c>
      <c r="BI549" s="2">
        <f t="shared" si="152"/>
        <v>0</v>
      </c>
      <c r="BJ549" s="2">
        <f t="shared" si="153"/>
        <v>0</v>
      </c>
      <c r="BK549" s="2"/>
      <c r="BL549" s="2">
        <v>33</v>
      </c>
    </row>
    <row r="550" spans="1:64" ht="15" customHeight="1">
      <c r="A550" s="15" t="s">
        <v>79</v>
      </c>
      <c r="B550" s="14" t="s">
        <v>836</v>
      </c>
      <c r="C550" s="58" t="s">
        <v>695</v>
      </c>
      <c r="D550" s="58"/>
      <c r="E550" s="58"/>
      <c r="F550" s="58"/>
      <c r="G550" s="14" t="s">
        <v>449</v>
      </c>
      <c r="H550" s="2">
        <v>7</v>
      </c>
      <c r="I550" s="2">
        <v>0</v>
      </c>
      <c r="J550" s="2">
        <f t="shared" si="132"/>
        <v>0</v>
      </c>
      <c r="K550" s="2">
        <f t="shared" si="133"/>
        <v>0</v>
      </c>
      <c r="L550" s="2">
        <f t="shared" si="134"/>
        <v>0</v>
      </c>
      <c r="M550" s="7" t="s">
        <v>831</v>
      </c>
      <c r="Z550" s="2">
        <f t="shared" si="135"/>
        <v>0</v>
      </c>
      <c r="AB550" s="2">
        <f t="shared" si="136"/>
        <v>0</v>
      </c>
      <c r="AC550" s="2">
        <f t="shared" si="137"/>
        <v>0</v>
      </c>
      <c r="AD550" s="2">
        <f t="shared" si="138"/>
        <v>0</v>
      </c>
      <c r="AE550" s="2">
        <f t="shared" si="139"/>
        <v>0</v>
      </c>
      <c r="AF550" s="2">
        <f t="shared" si="140"/>
        <v>0</v>
      </c>
      <c r="AG550" s="2">
        <f t="shared" si="141"/>
        <v>0</v>
      </c>
      <c r="AH550" s="2">
        <f t="shared" si="142"/>
        <v>0</v>
      </c>
      <c r="AI550" s="19" t="s">
        <v>556</v>
      </c>
      <c r="AJ550" s="2">
        <f t="shared" si="143"/>
        <v>0</v>
      </c>
      <c r="AK550" s="2">
        <f t="shared" si="144"/>
        <v>0</v>
      </c>
      <c r="AL550" s="2">
        <f t="shared" si="145"/>
        <v>0</v>
      </c>
      <c r="AN550" s="2">
        <v>15</v>
      </c>
      <c r="AO550" s="2">
        <f>I550*0.542300290043642</f>
        <v>0</v>
      </c>
      <c r="AP550" s="2">
        <f>I550*(1-0.542300290043642)</f>
        <v>0</v>
      </c>
      <c r="AQ550" s="43" t="s">
        <v>1205</v>
      </c>
      <c r="AV550" s="2">
        <f t="shared" si="146"/>
        <v>0</v>
      </c>
      <c r="AW550" s="2">
        <f t="shared" si="147"/>
        <v>0</v>
      </c>
      <c r="AX550" s="2">
        <f t="shared" si="148"/>
        <v>0</v>
      </c>
      <c r="AY550" s="43" t="s">
        <v>1322</v>
      </c>
      <c r="AZ550" s="43" t="s">
        <v>436</v>
      </c>
      <c r="BA550" s="19" t="s">
        <v>131</v>
      </c>
      <c r="BC550" s="2">
        <f t="shared" si="149"/>
        <v>0</v>
      </c>
      <c r="BD550" s="2">
        <f t="shared" si="150"/>
        <v>0</v>
      </c>
      <c r="BE550" s="2">
        <v>0</v>
      </c>
      <c r="BF550" s="2">
        <f>550</f>
        <v>550</v>
      </c>
      <c r="BH550" s="2">
        <f t="shared" si="151"/>
        <v>0</v>
      </c>
      <c r="BI550" s="2">
        <f t="shared" si="152"/>
        <v>0</v>
      </c>
      <c r="BJ550" s="2">
        <f t="shared" si="153"/>
        <v>0</v>
      </c>
      <c r="BK550" s="2"/>
      <c r="BL550" s="2">
        <v>33</v>
      </c>
    </row>
    <row r="551" spans="1:64" ht="15" customHeight="1">
      <c r="A551" s="15" t="s">
        <v>1332</v>
      </c>
      <c r="B551" s="14" t="s">
        <v>1201</v>
      </c>
      <c r="C551" s="58" t="s">
        <v>1082</v>
      </c>
      <c r="D551" s="58"/>
      <c r="E551" s="58"/>
      <c r="F551" s="58"/>
      <c r="G551" s="14" t="s">
        <v>319</v>
      </c>
      <c r="H551" s="2">
        <v>41</v>
      </c>
      <c r="I551" s="2">
        <v>0</v>
      </c>
      <c r="J551" s="2">
        <f t="shared" si="132"/>
        <v>0</v>
      </c>
      <c r="K551" s="2">
        <f t="shared" si="133"/>
        <v>0</v>
      </c>
      <c r="L551" s="2">
        <f t="shared" si="134"/>
        <v>0</v>
      </c>
      <c r="M551" s="7" t="s">
        <v>831</v>
      </c>
      <c r="Z551" s="2">
        <f t="shared" si="135"/>
        <v>0</v>
      </c>
      <c r="AB551" s="2">
        <f t="shared" si="136"/>
        <v>0</v>
      </c>
      <c r="AC551" s="2">
        <f t="shared" si="137"/>
        <v>0</v>
      </c>
      <c r="AD551" s="2">
        <f t="shared" si="138"/>
        <v>0</v>
      </c>
      <c r="AE551" s="2">
        <f t="shared" si="139"/>
        <v>0</v>
      </c>
      <c r="AF551" s="2">
        <f t="shared" si="140"/>
        <v>0</v>
      </c>
      <c r="AG551" s="2">
        <f t="shared" si="141"/>
        <v>0</v>
      </c>
      <c r="AH551" s="2">
        <f t="shared" si="142"/>
        <v>0</v>
      </c>
      <c r="AI551" s="19" t="s">
        <v>556</v>
      </c>
      <c r="AJ551" s="2">
        <f t="shared" si="143"/>
        <v>0</v>
      </c>
      <c r="AK551" s="2">
        <f t="shared" si="144"/>
        <v>0</v>
      </c>
      <c r="AL551" s="2">
        <f t="shared" si="145"/>
        <v>0</v>
      </c>
      <c r="AN551" s="2">
        <v>15</v>
      </c>
      <c r="AO551" s="2">
        <f>I551*0.370311149524633</f>
        <v>0</v>
      </c>
      <c r="AP551" s="2">
        <f>I551*(1-0.370311149524633)</f>
        <v>0</v>
      </c>
      <c r="AQ551" s="43" t="s">
        <v>1205</v>
      </c>
      <c r="AV551" s="2">
        <f t="shared" si="146"/>
        <v>0</v>
      </c>
      <c r="AW551" s="2">
        <f t="shared" si="147"/>
        <v>0</v>
      </c>
      <c r="AX551" s="2">
        <f t="shared" si="148"/>
        <v>0</v>
      </c>
      <c r="AY551" s="43" t="s">
        <v>1322</v>
      </c>
      <c r="AZ551" s="43" t="s">
        <v>436</v>
      </c>
      <c r="BA551" s="19" t="s">
        <v>131</v>
      </c>
      <c r="BC551" s="2">
        <f t="shared" si="149"/>
        <v>0</v>
      </c>
      <c r="BD551" s="2">
        <f t="shared" si="150"/>
        <v>0</v>
      </c>
      <c r="BE551" s="2">
        <v>0</v>
      </c>
      <c r="BF551" s="2">
        <f>551</f>
        <v>551</v>
      </c>
      <c r="BH551" s="2">
        <f t="shared" si="151"/>
        <v>0</v>
      </c>
      <c r="BI551" s="2">
        <f t="shared" si="152"/>
        <v>0</v>
      </c>
      <c r="BJ551" s="2">
        <f t="shared" si="153"/>
        <v>0</v>
      </c>
      <c r="BK551" s="2"/>
      <c r="BL551" s="2">
        <v>33</v>
      </c>
    </row>
    <row r="552" spans="1:64" ht="15" customHeight="1">
      <c r="A552" s="15" t="s">
        <v>990</v>
      </c>
      <c r="B552" s="14" t="s">
        <v>163</v>
      </c>
      <c r="C552" s="58" t="s">
        <v>265</v>
      </c>
      <c r="D552" s="58"/>
      <c r="E552" s="58"/>
      <c r="F552" s="58"/>
      <c r="G552" s="14" t="s">
        <v>319</v>
      </c>
      <c r="H552" s="2">
        <v>4</v>
      </c>
      <c r="I552" s="2">
        <v>0</v>
      </c>
      <c r="J552" s="2">
        <f t="shared" si="132"/>
        <v>0</v>
      </c>
      <c r="K552" s="2">
        <f t="shared" si="133"/>
        <v>0</v>
      </c>
      <c r="L552" s="2">
        <f t="shared" si="134"/>
        <v>0</v>
      </c>
      <c r="M552" s="7" t="s">
        <v>831</v>
      </c>
      <c r="Z552" s="2">
        <f t="shared" si="135"/>
        <v>0</v>
      </c>
      <c r="AB552" s="2">
        <f t="shared" si="136"/>
        <v>0</v>
      </c>
      <c r="AC552" s="2">
        <f t="shared" si="137"/>
        <v>0</v>
      </c>
      <c r="AD552" s="2">
        <f t="shared" si="138"/>
        <v>0</v>
      </c>
      <c r="AE552" s="2">
        <f t="shared" si="139"/>
        <v>0</v>
      </c>
      <c r="AF552" s="2">
        <f t="shared" si="140"/>
        <v>0</v>
      </c>
      <c r="AG552" s="2">
        <f t="shared" si="141"/>
        <v>0</v>
      </c>
      <c r="AH552" s="2">
        <f t="shared" si="142"/>
        <v>0</v>
      </c>
      <c r="AI552" s="19" t="s">
        <v>556</v>
      </c>
      <c r="AJ552" s="2">
        <f t="shared" si="143"/>
        <v>0</v>
      </c>
      <c r="AK552" s="2">
        <f t="shared" si="144"/>
        <v>0</v>
      </c>
      <c r="AL552" s="2">
        <f t="shared" si="145"/>
        <v>0</v>
      </c>
      <c r="AN552" s="2">
        <v>15</v>
      </c>
      <c r="AO552" s="2">
        <f>I552*1</f>
        <v>0</v>
      </c>
      <c r="AP552" s="2">
        <f>I552*(1-1)</f>
        <v>0</v>
      </c>
      <c r="AQ552" s="43" t="s">
        <v>1205</v>
      </c>
      <c r="AV552" s="2">
        <f t="shared" si="146"/>
        <v>0</v>
      </c>
      <c r="AW552" s="2">
        <f t="shared" si="147"/>
        <v>0</v>
      </c>
      <c r="AX552" s="2">
        <f t="shared" si="148"/>
        <v>0</v>
      </c>
      <c r="AY552" s="43" t="s">
        <v>1322</v>
      </c>
      <c r="AZ552" s="43" t="s">
        <v>436</v>
      </c>
      <c r="BA552" s="19" t="s">
        <v>131</v>
      </c>
      <c r="BC552" s="2">
        <f t="shared" si="149"/>
        <v>0</v>
      </c>
      <c r="BD552" s="2">
        <f t="shared" si="150"/>
        <v>0</v>
      </c>
      <c r="BE552" s="2">
        <v>0</v>
      </c>
      <c r="BF552" s="2">
        <f>552</f>
        <v>552</v>
      </c>
      <c r="BH552" s="2">
        <f t="shared" si="151"/>
        <v>0</v>
      </c>
      <c r="BI552" s="2">
        <f t="shared" si="152"/>
        <v>0</v>
      </c>
      <c r="BJ552" s="2">
        <f t="shared" si="153"/>
        <v>0</v>
      </c>
      <c r="BK552" s="2"/>
      <c r="BL552" s="2">
        <v>33</v>
      </c>
    </row>
    <row r="553" spans="1:64" ht="15" customHeight="1">
      <c r="A553" s="15" t="s">
        <v>1356</v>
      </c>
      <c r="B553" s="14" t="s">
        <v>260</v>
      </c>
      <c r="C553" s="58" t="s">
        <v>674</v>
      </c>
      <c r="D553" s="58"/>
      <c r="E553" s="58"/>
      <c r="F553" s="58"/>
      <c r="G553" s="14" t="s">
        <v>319</v>
      </c>
      <c r="H553" s="2">
        <v>37</v>
      </c>
      <c r="I553" s="2">
        <v>0</v>
      </c>
      <c r="J553" s="2">
        <f t="shared" si="132"/>
        <v>0</v>
      </c>
      <c r="K553" s="2">
        <f t="shared" si="133"/>
        <v>0</v>
      </c>
      <c r="L553" s="2">
        <f t="shared" si="134"/>
        <v>0</v>
      </c>
      <c r="M553" s="7" t="s">
        <v>831</v>
      </c>
      <c r="Z553" s="2">
        <f t="shared" si="135"/>
        <v>0</v>
      </c>
      <c r="AB553" s="2">
        <f t="shared" si="136"/>
        <v>0</v>
      </c>
      <c r="AC553" s="2">
        <f t="shared" si="137"/>
        <v>0</v>
      </c>
      <c r="AD553" s="2">
        <f t="shared" si="138"/>
        <v>0</v>
      </c>
      <c r="AE553" s="2">
        <f t="shared" si="139"/>
        <v>0</v>
      </c>
      <c r="AF553" s="2">
        <f t="shared" si="140"/>
        <v>0</v>
      </c>
      <c r="AG553" s="2">
        <f t="shared" si="141"/>
        <v>0</v>
      </c>
      <c r="AH553" s="2">
        <f t="shared" si="142"/>
        <v>0</v>
      </c>
      <c r="AI553" s="19" t="s">
        <v>556</v>
      </c>
      <c r="AJ553" s="2">
        <f t="shared" si="143"/>
        <v>0</v>
      </c>
      <c r="AK553" s="2">
        <f t="shared" si="144"/>
        <v>0</v>
      </c>
      <c r="AL553" s="2">
        <f t="shared" si="145"/>
        <v>0</v>
      </c>
      <c r="AN553" s="2">
        <v>15</v>
      </c>
      <c r="AO553" s="2">
        <f>I553*1</f>
        <v>0</v>
      </c>
      <c r="AP553" s="2">
        <f>I553*(1-1)</f>
        <v>0</v>
      </c>
      <c r="AQ553" s="43" t="s">
        <v>1205</v>
      </c>
      <c r="AV553" s="2">
        <f t="shared" si="146"/>
        <v>0</v>
      </c>
      <c r="AW553" s="2">
        <f t="shared" si="147"/>
        <v>0</v>
      </c>
      <c r="AX553" s="2">
        <f t="shared" si="148"/>
        <v>0</v>
      </c>
      <c r="AY553" s="43" t="s">
        <v>1322</v>
      </c>
      <c r="AZ553" s="43" t="s">
        <v>436</v>
      </c>
      <c r="BA553" s="19" t="s">
        <v>131</v>
      </c>
      <c r="BC553" s="2">
        <f t="shared" si="149"/>
        <v>0</v>
      </c>
      <c r="BD553" s="2">
        <f t="shared" si="150"/>
        <v>0</v>
      </c>
      <c r="BE553" s="2">
        <v>0</v>
      </c>
      <c r="BF553" s="2">
        <f>553</f>
        <v>553</v>
      </c>
      <c r="BH553" s="2">
        <f t="shared" si="151"/>
        <v>0</v>
      </c>
      <c r="BI553" s="2">
        <f t="shared" si="152"/>
        <v>0</v>
      </c>
      <c r="BJ553" s="2">
        <f t="shared" si="153"/>
        <v>0</v>
      </c>
      <c r="BK553" s="2"/>
      <c r="BL553" s="2">
        <v>33</v>
      </c>
    </row>
    <row r="554" spans="1:47" ht="15" customHeight="1">
      <c r="A554" s="48" t="s">
        <v>844</v>
      </c>
      <c r="B554" s="17" t="s">
        <v>1341</v>
      </c>
      <c r="C554" s="74" t="s">
        <v>302</v>
      </c>
      <c r="D554" s="74"/>
      <c r="E554" s="74"/>
      <c r="F554" s="74"/>
      <c r="G554" s="40" t="s">
        <v>1110</v>
      </c>
      <c r="H554" s="40" t="s">
        <v>1110</v>
      </c>
      <c r="I554" s="40" t="s">
        <v>1110</v>
      </c>
      <c r="J554" s="23">
        <f>SUM(J555:J556)</f>
        <v>0</v>
      </c>
      <c r="K554" s="23">
        <f>SUM(K555:K556)</f>
        <v>0</v>
      </c>
      <c r="L554" s="23">
        <f>SUM(L555:L556)</f>
        <v>0</v>
      </c>
      <c r="M554" s="37" t="s">
        <v>844</v>
      </c>
      <c r="AI554" s="19" t="s">
        <v>556</v>
      </c>
      <c r="AS554" s="23">
        <f>SUM(AJ555:AJ556)</f>
        <v>0</v>
      </c>
      <c r="AT554" s="23">
        <f>SUM(AK555:AK556)</f>
        <v>0</v>
      </c>
      <c r="AU554" s="23">
        <f>SUM(AL555:AL556)</f>
        <v>0</v>
      </c>
    </row>
    <row r="555" spans="1:64" ht="15" customHeight="1">
      <c r="A555" s="15" t="s">
        <v>489</v>
      </c>
      <c r="B555" s="14" t="s">
        <v>642</v>
      </c>
      <c r="C555" s="58" t="s">
        <v>698</v>
      </c>
      <c r="D555" s="58"/>
      <c r="E555" s="58"/>
      <c r="F555" s="58"/>
      <c r="G555" s="14" t="s">
        <v>999</v>
      </c>
      <c r="H555" s="2">
        <v>15</v>
      </c>
      <c r="I555" s="2">
        <v>0</v>
      </c>
      <c r="J555" s="2">
        <f>H555*AO555</f>
        <v>0</v>
      </c>
      <c r="K555" s="2">
        <f>H555*AP555</f>
        <v>0</v>
      </c>
      <c r="L555" s="2">
        <f>H555*I555</f>
        <v>0</v>
      </c>
      <c r="M555" s="7" t="s">
        <v>831</v>
      </c>
      <c r="Z555" s="2">
        <f>IF(AQ555="5",BJ555,0)</f>
        <v>0</v>
      </c>
      <c r="AB555" s="2">
        <f>IF(AQ555="1",BH555,0)</f>
        <v>0</v>
      </c>
      <c r="AC555" s="2">
        <f>IF(AQ555="1",BI555,0)</f>
        <v>0</v>
      </c>
      <c r="AD555" s="2">
        <f>IF(AQ555="7",BH555,0)</f>
        <v>0</v>
      </c>
      <c r="AE555" s="2">
        <f>IF(AQ555="7",BI555,0)</f>
        <v>0</v>
      </c>
      <c r="AF555" s="2">
        <f>IF(AQ555="2",BH555,0)</f>
        <v>0</v>
      </c>
      <c r="AG555" s="2">
        <f>IF(AQ555="2",BI555,0)</f>
        <v>0</v>
      </c>
      <c r="AH555" s="2">
        <f>IF(AQ555="0",BJ555,0)</f>
        <v>0</v>
      </c>
      <c r="AI555" s="19" t="s">
        <v>556</v>
      </c>
      <c r="AJ555" s="2">
        <f>IF(AN555=0,L555,0)</f>
        <v>0</v>
      </c>
      <c r="AK555" s="2">
        <f>IF(AN555=15,L555,0)</f>
        <v>0</v>
      </c>
      <c r="AL555" s="2">
        <f>IF(AN555=21,L555,0)</f>
        <v>0</v>
      </c>
      <c r="AN555" s="2">
        <v>15</v>
      </c>
      <c r="AO555" s="2">
        <f>I555*0.79785372681675</f>
        <v>0</v>
      </c>
      <c r="AP555" s="2">
        <f>I555*(1-0.79785372681675)</f>
        <v>0</v>
      </c>
      <c r="AQ555" s="43" t="s">
        <v>1205</v>
      </c>
      <c r="AV555" s="2">
        <f>AW555+AX555</f>
        <v>0</v>
      </c>
      <c r="AW555" s="2">
        <f>H555*AO555</f>
        <v>0</v>
      </c>
      <c r="AX555" s="2">
        <f>H555*AP555</f>
        <v>0</v>
      </c>
      <c r="AY555" s="43" t="s">
        <v>861</v>
      </c>
      <c r="AZ555" s="43" t="s">
        <v>436</v>
      </c>
      <c r="BA555" s="19" t="s">
        <v>131</v>
      </c>
      <c r="BC555" s="2">
        <f>AW555+AX555</f>
        <v>0</v>
      </c>
      <c r="BD555" s="2">
        <f>I555/(100-BE555)*100</f>
        <v>0</v>
      </c>
      <c r="BE555" s="2">
        <v>0</v>
      </c>
      <c r="BF555" s="2">
        <f>555</f>
        <v>555</v>
      </c>
      <c r="BH555" s="2">
        <f>H555*AO555</f>
        <v>0</v>
      </c>
      <c r="BI555" s="2">
        <f>H555*AP555</f>
        <v>0</v>
      </c>
      <c r="BJ555" s="2">
        <f>H555*I555</f>
        <v>0</v>
      </c>
      <c r="BK555" s="2"/>
      <c r="BL555" s="2">
        <v>34</v>
      </c>
    </row>
    <row r="556" spans="1:64" ht="15" customHeight="1">
      <c r="A556" s="15" t="s">
        <v>243</v>
      </c>
      <c r="B556" s="14" t="s">
        <v>807</v>
      </c>
      <c r="C556" s="58" t="s">
        <v>506</v>
      </c>
      <c r="D556" s="58"/>
      <c r="E556" s="58"/>
      <c r="F556" s="58"/>
      <c r="G556" s="14" t="s">
        <v>1189</v>
      </c>
      <c r="H556" s="2">
        <v>5.36</v>
      </c>
      <c r="I556" s="2">
        <v>0</v>
      </c>
      <c r="J556" s="2">
        <f>H556*AO556</f>
        <v>0</v>
      </c>
      <c r="K556" s="2">
        <f>H556*AP556</f>
        <v>0</v>
      </c>
      <c r="L556" s="2">
        <f>H556*I556</f>
        <v>0</v>
      </c>
      <c r="M556" s="7" t="s">
        <v>831</v>
      </c>
      <c r="Z556" s="2">
        <f>IF(AQ556="5",BJ556,0)</f>
        <v>0</v>
      </c>
      <c r="AB556" s="2">
        <f>IF(AQ556="1",BH556,0)</f>
        <v>0</v>
      </c>
      <c r="AC556" s="2">
        <f>IF(AQ556="1",BI556,0)</f>
        <v>0</v>
      </c>
      <c r="AD556" s="2">
        <f>IF(AQ556="7",BH556,0)</f>
        <v>0</v>
      </c>
      <c r="AE556" s="2">
        <f>IF(AQ556="7",BI556,0)</f>
        <v>0</v>
      </c>
      <c r="AF556" s="2">
        <f>IF(AQ556="2",BH556,0)</f>
        <v>0</v>
      </c>
      <c r="AG556" s="2">
        <f>IF(AQ556="2",BI556,0)</f>
        <v>0</v>
      </c>
      <c r="AH556" s="2">
        <f>IF(AQ556="0",BJ556,0)</f>
        <v>0</v>
      </c>
      <c r="AI556" s="19" t="s">
        <v>556</v>
      </c>
      <c r="AJ556" s="2">
        <f>IF(AN556=0,L556,0)</f>
        <v>0</v>
      </c>
      <c r="AK556" s="2">
        <f>IF(AN556=15,L556,0)</f>
        <v>0</v>
      </c>
      <c r="AL556" s="2">
        <f>IF(AN556=21,L556,0)</f>
        <v>0</v>
      </c>
      <c r="AN556" s="2">
        <v>15</v>
      </c>
      <c r="AO556" s="2">
        <f>I556*0.676993548387097</f>
        <v>0</v>
      </c>
      <c r="AP556" s="2">
        <f>I556*(1-0.676993548387097)</f>
        <v>0</v>
      </c>
      <c r="AQ556" s="43" t="s">
        <v>1205</v>
      </c>
      <c r="AV556" s="2">
        <f>AW556+AX556</f>
        <v>0</v>
      </c>
      <c r="AW556" s="2">
        <f>H556*AO556</f>
        <v>0</v>
      </c>
      <c r="AX556" s="2">
        <f>H556*AP556</f>
        <v>0</v>
      </c>
      <c r="AY556" s="43" t="s">
        <v>861</v>
      </c>
      <c r="AZ556" s="43" t="s">
        <v>436</v>
      </c>
      <c r="BA556" s="19" t="s">
        <v>131</v>
      </c>
      <c r="BC556" s="2">
        <f>AW556+AX556</f>
        <v>0</v>
      </c>
      <c r="BD556" s="2">
        <f>I556/(100-BE556)*100</f>
        <v>0</v>
      </c>
      <c r="BE556" s="2">
        <v>0</v>
      </c>
      <c r="BF556" s="2">
        <f>556</f>
        <v>556</v>
      </c>
      <c r="BH556" s="2">
        <f>H556*AO556</f>
        <v>0</v>
      </c>
      <c r="BI556" s="2">
        <f>H556*AP556</f>
        <v>0</v>
      </c>
      <c r="BJ556" s="2">
        <f>H556*I556</f>
        <v>0</v>
      </c>
      <c r="BK556" s="2"/>
      <c r="BL556" s="2">
        <v>34</v>
      </c>
    </row>
    <row r="557" spans="1:47" ht="15" customHeight="1">
      <c r="A557" s="48" t="s">
        <v>844</v>
      </c>
      <c r="B557" s="17" t="s">
        <v>790</v>
      </c>
      <c r="C557" s="74" t="s">
        <v>427</v>
      </c>
      <c r="D557" s="74"/>
      <c r="E557" s="74"/>
      <c r="F557" s="74"/>
      <c r="G557" s="40" t="s">
        <v>1110</v>
      </c>
      <c r="H557" s="40" t="s">
        <v>1110</v>
      </c>
      <c r="I557" s="40" t="s">
        <v>1110</v>
      </c>
      <c r="J557" s="23">
        <f>SUM(J558:J558)</f>
        <v>0</v>
      </c>
      <c r="K557" s="23">
        <f>SUM(K558:K558)</f>
        <v>0</v>
      </c>
      <c r="L557" s="23">
        <f>SUM(L558:L558)</f>
        <v>0</v>
      </c>
      <c r="M557" s="37" t="s">
        <v>844</v>
      </c>
      <c r="AI557" s="19" t="s">
        <v>556</v>
      </c>
      <c r="AS557" s="23">
        <f>SUM(AJ558:AJ558)</f>
        <v>0</v>
      </c>
      <c r="AT557" s="23">
        <f>SUM(AK558:AK558)</f>
        <v>0</v>
      </c>
      <c r="AU557" s="23">
        <f>SUM(AL558:AL558)</f>
        <v>0</v>
      </c>
    </row>
    <row r="558" spans="1:64" ht="15" customHeight="1">
      <c r="A558" s="15" t="s">
        <v>1309</v>
      </c>
      <c r="B558" s="14" t="s">
        <v>343</v>
      </c>
      <c r="C558" s="58" t="s">
        <v>245</v>
      </c>
      <c r="D558" s="58"/>
      <c r="E558" s="58"/>
      <c r="F558" s="58"/>
      <c r="G558" s="14" t="s">
        <v>584</v>
      </c>
      <c r="H558" s="2">
        <v>337.781</v>
      </c>
      <c r="I558" s="2">
        <v>0</v>
      </c>
      <c r="J558" s="2">
        <f>H558*AO558</f>
        <v>0</v>
      </c>
      <c r="K558" s="2">
        <f>H558*AP558</f>
        <v>0</v>
      </c>
      <c r="L558" s="2">
        <f>H558*I558</f>
        <v>0</v>
      </c>
      <c r="M558" s="7" t="s">
        <v>831</v>
      </c>
      <c r="Z558" s="2">
        <f>IF(AQ558="5",BJ558,0)</f>
        <v>0</v>
      </c>
      <c r="AB558" s="2">
        <f>IF(AQ558="1",BH558,0)</f>
        <v>0</v>
      </c>
      <c r="AC558" s="2">
        <f>IF(AQ558="1",BI558,0)</f>
        <v>0</v>
      </c>
      <c r="AD558" s="2">
        <f>IF(AQ558="7",BH558,0)</f>
        <v>0</v>
      </c>
      <c r="AE558" s="2">
        <f>IF(AQ558="7",BI558,0)</f>
        <v>0</v>
      </c>
      <c r="AF558" s="2">
        <f>IF(AQ558="2",BH558,0)</f>
        <v>0</v>
      </c>
      <c r="AG558" s="2">
        <f>IF(AQ558="2",BI558,0)</f>
        <v>0</v>
      </c>
      <c r="AH558" s="2">
        <f>IF(AQ558="0",BJ558,0)</f>
        <v>0</v>
      </c>
      <c r="AI558" s="19" t="s">
        <v>556</v>
      </c>
      <c r="AJ558" s="2">
        <f>IF(AN558=0,L558,0)</f>
        <v>0</v>
      </c>
      <c r="AK558" s="2">
        <f>IF(AN558=15,L558,0)</f>
        <v>0</v>
      </c>
      <c r="AL558" s="2">
        <f>IF(AN558=21,L558,0)</f>
        <v>0</v>
      </c>
      <c r="AN558" s="2">
        <v>15</v>
      </c>
      <c r="AO558" s="2">
        <f>I558*0</f>
        <v>0</v>
      </c>
      <c r="AP558" s="2">
        <f>I558*(1-0)</f>
        <v>0</v>
      </c>
      <c r="AQ558" s="43" t="s">
        <v>655</v>
      </c>
      <c r="AV558" s="2">
        <f>AW558+AX558</f>
        <v>0</v>
      </c>
      <c r="AW558" s="2">
        <f>H558*AO558</f>
        <v>0</v>
      </c>
      <c r="AX558" s="2">
        <f>H558*AP558</f>
        <v>0</v>
      </c>
      <c r="AY558" s="43" t="s">
        <v>1234</v>
      </c>
      <c r="AZ558" s="43" t="s">
        <v>1139</v>
      </c>
      <c r="BA558" s="19" t="s">
        <v>131</v>
      </c>
      <c r="BC558" s="2">
        <f>AW558+AX558</f>
        <v>0</v>
      </c>
      <c r="BD558" s="2">
        <f>I558/(100-BE558)*100</f>
        <v>0</v>
      </c>
      <c r="BE558" s="2">
        <v>0</v>
      </c>
      <c r="BF558" s="2">
        <f>558</f>
        <v>558</v>
      </c>
      <c r="BH558" s="2">
        <f>H558*AO558</f>
        <v>0</v>
      </c>
      <c r="BI558" s="2">
        <f>H558*AP558</f>
        <v>0</v>
      </c>
      <c r="BJ558" s="2">
        <f>H558*I558</f>
        <v>0</v>
      </c>
      <c r="BK558" s="2"/>
      <c r="BL558" s="2"/>
    </row>
    <row r="559" spans="1:47" ht="15" customHeight="1">
      <c r="A559" s="48" t="s">
        <v>844</v>
      </c>
      <c r="B559" s="17" t="s">
        <v>570</v>
      </c>
      <c r="C559" s="74" t="s">
        <v>400</v>
      </c>
      <c r="D559" s="74"/>
      <c r="E559" s="74"/>
      <c r="F559" s="74"/>
      <c r="G559" s="40" t="s">
        <v>1110</v>
      </c>
      <c r="H559" s="40" t="s">
        <v>1110</v>
      </c>
      <c r="I559" s="40" t="s">
        <v>1110</v>
      </c>
      <c r="J559" s="23">
        <f>SUM(J560:J569)</f>
        <v>0</v>
      </c>
      <c r="K559" s="23">
        <f>SUM(K560:K569)</f>
        <v>0</v>
      </c>
      <c r="L559" s="23">
        <f>SUM(L560:L569)</f>
        <v>0</v>
      </c>
      <c r="M559" s="37" t="s">
        <v>844</v>
      </c>
      <c r="AI559" s="19" t="s">
        <v>556</v>
      </c>
      <c r="AS559" s="23">
        <f>SUM(AJ560:AJ569)</f>
        <v>0</v>
      </c>
      <c r="AT559" s="23">
        <f>SUM(AK560:AK569)</f>
        <v>0</v>
      </c>
      <c r="AU559" s="23">
        <f>SUM(AL560:AL569)</f>
        <v>0</v>
      </c>
    </row>
    <row r="560" spans="1:64" ht="15" customHeight="1">
      <c r="A560" s="15" t="s">
        <v>876</v>
      </c>
      <c r="B560" s="14" t="s">
        <v>826</v>
      </c>
      <c r="C560" s="58" t="s">
        <v>195</v>
      </c>
      <c r="D560" s="58"/>
      <c r="E560" s="58"/>
      <c r="F560" s="58"/>
      <c r="G560" s="14" t="s">
        <v>999</v>
      </c>
      <c r="H560" s="2">
        <v>103</v>
      </c>
      <c r="I560" s="2">
        <v>0</v>
      </c>
      <c r="J560" s="2">
        <f>H560*AO560</f>
        <v>0</v>
      </c>
      <c r="K560" s="2">
        <f>H560*AP560</f>
        <v>0</v>
      </c>
      <c r="L560" s="2">
        <f>H560*I560</f>
        <v>0</v>
      </c>
      <c r="M560" s="7" t="s">
        <v>831</v>
      </c>
      <c r="Z560" s="2">
        <f>IF(AQ560="5",BJ560,0)</f>
        <v>0</v>
      </c>
      <c r="AB560" s="2">
        <f>IF(AQ560="1",BH560,0)</f>
        <v>0</v>
      </c>
      <c r="AC560" s="2">
        <f>IF(AQ560="1",BI560,0)</f>
        <v>0</v>
      </c>
      <c r="AD560" s="2">
        <f>IF(AQ560="7",BH560,0)</f>
        <v>0</v>
      </c>
      <c r="AE560" s="2">
        <f>IF(AQ560="7",BI560,0)</f>
        <v>0</v>
      </c>
      <c r="AF560" s="2">
        <f>IF(AQ560="2",BH560,0)</f>
        <v>0</v>
      </c>
      <c r="AG560" s="2">
        <f>IF(AQ560="2",BI560,0)</f>
        <v>0</v>
      </c>
      <c r="AH560" s="2">
        <f>IF(AQ560="0",BJ560,0)</f>
        <v>0</v>
      </c>
      <c r="AI560" s="19" t="s">
        <v>556</v>
      </c>
      <c r="AJ560" s="2">
        <f>IF(AN560=0,L560,0)</f>
        <v>0</v>
      </c>
      <c r="AK560" s="2">
        <f>IF(AN560=15,L560,0)</f>
        <v>0</v>
      </c>
      <c r="AL560" s="2">
        <f>IF(AN560=21,L560,0)</f>
        <v>0</v>
      </c>
      <c r="AN560" s="2">
        <v>15</v>
      </c>
      <c r="AO560" s="2">
        <f>I560*0.511530944625407</f>
        <v>0</v>
      </c>
      <c r="AP560" s="2">
        <f>I560*(1-0.511530944625407)</f>
        <v>0</v>
      </c>
      <c r="AQ560" s="43" t="s">
        <v>1215</v>
      </c>
      <c r="AV560" s="2">
        <f>AW560+AX560</f>
        <v>0</v>
      </c>
      <c r="AW560" s="2">
        <f>H560*AO560</f>
        <v>0</v>
      </c>
      <c r="AX560" s="2">
        <f>H560*AP560</f>
        <v>0</v>
      </c>
      <c r="AY560" s="43" t="s">
        <v>377</v>
      </c>
      <c r="AZ560" s="43" t="s">
        <v>653</v>
      </c>
      <c r="BA560" s="19" t="s">
        <v>131</v>
      </c>
      <c r="BC560" s="2">
        <f>AW560+AX560</f>
        <v>0</v>
      </c>
      <c r="BD560" s="2">
        <f>I560/(100-BE560)*100</f>
        <v>0</v>
      </c>
      <c r="BE560" s="2">
        <v>0</v>
      </c>
      <c r="BF560" s="2">
        <f>560</f>
        <v>560</v>
      </c>
      <c r="BH560" s="2">
        <f>H560*AO560</f>
        <v>0</v>
      </c>
      <c r="BI560" s="2">
        <f>H560*AP560</f>
        <v>0</v>
      </c>
      <c r="BJ560" s="2">
        <f>H560*I560</f>
        <v>0</v>
      </c>
      <c r="BK560" s="2"/>
      <c r="BL560" s="2">
        <v>767</v>
      </c>
    </row>
    <row r="561" spans="1:13" ht="13.5" customHeight="1">
      <c r="A561" s="51"/>
      <c r="B561" s="32" t="s">
        <v>639</v>
      </c>
      <c r="C561" s="75" t="s">
        <v>525</v>
      </c>
      <c r="D561" s="76"/>
      <c r="E561" s="76"/>
      <c r="F561" s="76"/>
      <c r="G561" s="76"/>
      <c r="H561" s="76"/>
      <c r="I561" s="76"/>
      <c r="J561" s="76"/>
      <c r="K561" s="76"/>
      <c r="L561" s="76"/>
      <c r="M561" s="77"/>
    </row>
    <row r="562" spans="1:64" ht="15" customHeight="1">
      <c r="A562" s="15" t="s">
        <v>815</v>
      </c>
      <c r="B562" s="14" t="s">
        <v>451</v>
      </c>
      <c r="C562" s="58" t="s">
        <v>396</v>
      </c>
      <c r="D562" s="58"/>
      <c r="E562" s="58"/>
      <c r="F562" s="58"/>
      <c r="G562" s="14" t="s">
        <v>319</v>
      </c>
      <c r="H562" s="2">
        <v>1</v>
      </c>
      <c r="I562" s="2">
        <v>0</v>
      </c>
      <c r="J562" s="2">
        <f aca="true" t="shared" si="154" ref="J562:J567">H562*AO562</f>
        <v>0</v>
      </c>
      <c r="K562" s="2">
        <f aca="true" t="shared" si="155" ref="K562:K567">H562*AP562</f>
        <v>0</v>
      </c>
      <c r="L562" s="2">
        <f aca="true" t="shared" si="156" ref="L562:L567">H562*I562</f>
        <v>0</v>
      </c>
      <c r="M562" s="7" t="s">
        <v>831</v>
      </c>
      <c r="Z562" s="2">
        <f aca="true" t="shared" si="157" ref="Z562:Z567">IF(AQ562="5",BJ562,0)</f>
        <v>0</v>
      </c>
      <c r="AB562" s="2">
        <f aca="true" t="shared" si="158" ref="AB562:AB567">IF(AQ562="1",BH562,0)</f>
        <v>0</v>
      </c>
      <c r="AC562" s="2">
        <f aca="true" t="shared" si="159" ref="AC562:AC567">IF(AQ562="1",BI562,0)</f>
        <v>0</v>
      </c>
      <c r="AD562" s="2">
        <f aca="true" t="shared" si="160" ref="AD562:AD567">IF(AQ562="7",BH562,0)</f>
        <v>0</v>
      </c>
      <c r="AE562" s="2">
        <f aca="true" t="shared" si="161" ref="AE562:AE567">IF(AQ562="7",BI562,0)</f>
        <v>0</v>
      </c>
      <c r="AF562" s="2">
        <f aca="true" t="shared" si="162" ref="AF562:AF567">IF(AQ562="2",BH562,0)</f>
        <v>0</v>
      </c>
      <c r="AG562" s="2">
        <f aca="true" t="shared" si="163" ref="AG562:AG567">IF(AQ562="2",BI562,0)</f>
        <v>0</v>
      </c>
      <c r="AH562" s="2">
        <f aca="true" t="shared" si="164" ref="AH562:AH567">IF(AQ562="0",BJ562,0)</f>
        <v>0</v>
      </c>
      <c r="AI562" s="19" t="s">
        <v>556</v>
      </c>
      <c r="AJ562" s="2">
        <f aca="true" t="shared" si="165" ref="AJ562:AJ567">IF(AN562=0,L562,0)</f>
        <v>0</v>
      </c>
      <c r="AK562" s="2">
        <f aca="true" t="shared" si="166" ref="AK562:AK567">IF(AN562=15,L562,0)</f>
        <v>0</v>
      </c>
      <c r="AL562" s="2">
        <f aca="true" t="shared" si="167" ref="AL562:AL567">IF(AN562=21,L562,0)</f>
        <v>0</v>
      </c>
      <c r="AN562" s="2">
        <v>15</v>
      </c>
      <c r="AO562" s="2">
        <f>I562*0.0649549689440994</f>
        <v>0</v>
      </c>
      <c r="AP562" s="2">
        <f>I562*(1-0.0649549689440994)</f>
        <v>0</v>
      </c>
      <c r="AQ562" s="43" t="s">
        <v>1215</v>
      </c>
      <c r="AV562" s="2">
        <f aca="true" t="shared" si="168" ref="AV562:AV567">AW562+AX562</f>
        <v>0</v>
      </c>
      <c r="AW562" s="2">
        <f aca="true" t="shared" si="169" ref="AW562:AW567">H562*AO562</f>
        <v>0</v>
      </c>
      <c r="AX562" s="2">
        <f aca="true" t="shared" si="170" ref="AX562:AX567">H562*AP562</f>
        <v>0</v>
      </c>
      <c r="AY562" s="43" t="s">
        <v>377</v>
      </c>
      <c r="AZ562" s="43" t="s">
        <v>653</v>
      </c>
      <c r="BA562" s="19" t="s">
        <v>131</v>
      </c>
      <c r="BC562" s="2">
        <f aca="true" t="shared" si="171" ref="BC562:BC567">AW562+AX562</f>
        <v>0</v>
      </c>
      <c r="BD562" s="2">
        <f aca="true" t="shared" si="172" ref="BD562:BD567">I562/(100-BE562)*100</f>
        <v>0</v>
      </c>
      <c r="BE562" s="2">
        <v>0</v>
      </c>
      <c r="BF562" s="2">
        <f>562</f>
        <v>562</v>
      </c>
      <c r="BH562" s="2">
        <f aca="true" t="shared" si="173" ref="BH562:BH567">H562*AO562</f>
        <v>0</v>
      </c>
      <c r="BI562" s="2">
        <f aca="true" t="shared" si="174" ref="BI562:BI567">H562*AP562</f>
        <v>0</v>
      </c>
      <c r="BJ562" s="2">
        <f aca="true" t="shared" si="175" ref="BJ562:BJ567">H562*I562</f>
        <v>0</v>
      </c>
      <c r="BK562" s="2"/>
      <c r="BL562" s="2">
        <v>767</v>
      </c>
    </row>
    <row r="563" spans="1:64" ht="15" customHeight="1">
      <c r="A563" s="15" t="s">
        <v>1283</v>
      </c>
      <c r="B563" s="14" t="s">
        <v>394</v>
      </c>
      <c r="C563" s="58" t="s">
        <v>197</v>
      </c>
      <c r="D563" s="58"/>
      <c r="E563" s="58"/>
      <c r="F563" s="58"/>
      <c r="G563" s="14" t="s">
        <v>319</v>
      </c>
      <c r="H563" s="2">
        <v>1</v>
      </c>
      <c r="I563" s="2">
        <v>0</v>
      </c>
      <c r="J563" s="2">
        <f t="shared" si="154"/>
        <v>0</v>
      </c>
      <c r="K563" s="2">
        <f t="shared" si="155"/>
        <v>0</v>
      </c>
      <c r="L563" s="2">
        <f t="shared" si="156"/>
        <v>0</v>
      </c>
      <c r="M563" s="7" t="s">
        <v>831</v>
      </c>
      <c r="Z563" s="2">
        <f t="shared" si="157"/>
        <v>0</v>
      </c>
      <c r="AB563" s="2">
        <f t="shared" si="158"/>
        <v>0</v>
      </c>
      <c r="AC563" s="2">
        <f t="shared" si="159"/>
        <v>0</v>
      </c>
      <c r="AD563" s="2">
        <f t="shared" si="160"/>
        <v>0</v>
      </c>
      <c r="AE563" s="2">
        <f t="shared" si="161"/>
        <v>0</v>
      </c>
      <c r="AF563" s="2">
        <f t="shared" si="162"/>
        <v>0</v>
      </c>
      <c r="AG563" s="2">
        <f t="shared" si="163"/>
        <v>0</v>
      </c>
      <c r="AH563" s="2">
        <f t="shared" si="164"/>
        <v>0</v>
      </c>
      <c r="AI563" s="19" t="s">
        <v>556</v>
      </c>
      <c r="AJ563" s="2">
        <f t="shared" si="165"/>
        <v>0</v>
      </c>
      <c r="AK563" s="2">
        <f t="shared" si="166"/>
        <v>0</v>
      </c>
      <c r="AL563" s="2">
        <f t="shared" si="167"/>
        <v>0</v>
      </c>
      <c r="AN563" s="2">
        <v>15</v>
      </c>
      <c r="AO563" s="2">
        <f>I563*1</f>
        <v>0</v>
      </c>
      <c r="AP563" s="2">
        <f>I563*(1-1)</f>
        <v>0</v>
      </c>
      <c r="AQ563" s="43" t="s">
        <v>1215</v>
      </c>
      <c r="AV563" s="2">
        <f t="shared" si="168"/>
        <v>0</v>
      </c>
      <c r="AW563" s="2">
        <f t="shared" si="169"/>
        <v>0</v>
      </c>
      <c r="AX563" s="2">
        <f t="shared" si="170"/>
        <v>0</v>
      </c>
      <c r="AY563" s="43" t="s">
        <v>377</v>
      </c>
      <c r="AZ563" s="43" t="s">
        <v>653</v>
      </c>
      <c r="BA563" s="19" t="s">
        <v>131</v>
      </c>
      <c r="BC563" s="2">
        <f t="shared" si="171"/>
        <v>0</v>
      </c>
      <c r="BD563" s="2">
        <f t="shared" si="172"/>
        <v>0</v>
      </c>
      <c r="BE563" s="2">
        <v>0</v>
      </c>
      <c r="BF563" s="2">
        <f>563</f>
        <v>563</v>
      </c>
      <c r="BH563" s="2">
        <f t="shared" si="173"/>
        <v>0</v>
      </c>
      <c r="BI563" s="2">
        <f t="shared" si="174"/>
        <v>0</v>
      </c>
      <c r="BJ563" s="2">
        <f t="shared" si="175"/>
        <v>0</v>
      </c>
      <c r="BK563" s="2"/>
      <c r="BL563" s="2">
        <v>767</v>
      </c>
    </row>
    <row r="564" spans="1:64" ht="15" customHeight="1">
      <c r="A564" s="15" t="s">
        <v>1262</v>
      </c>
      <c r="B564" s="14" t="s">
        <v>803</v>
      </c>
      <c r="C564" s="58" t="s">
        <v>1001</v>
      </c>
      <c r="D564" s="58"/>
      <c r="E564" s="58"/>
      <c r="F564" s="58"/>
      <c r="G564" s="14" t="s">
        <v>319</v>
      </c>
      <c r="H564" s="2">
        <v>2</v>
      </c>
      <c r="I564" s="2">
        <v>0</v>
      </c>
      <c r="J564" s="2">
        <f t="shared" si="154"/>
        <v>0</v>
      </c>
      <c r="K564" s="2">
        <f t="shared" si="155"/>
        <v>0</v>
      </c>
      <c r="L564" s="2">
        <f t="shared" si="156"/>
        <v>0</v>
      </c>
      <c r="M564" s="7" t="s">
        <v>831</v>
      </c>
      <c r="Z564" s="2">
        <f t="shared" si="157"/>
        <v>0</v>
      </c>
      <c r="AB564" s="2">
        <f t="shared" si="158"/>
        <v>0</v>
      </c>
      <c r="AC564" s="2">
        <f t="shared" si="159"/>
        <v>0</v>
      </c>
      <c r="AD564" s="2">
        <f t="shared" si="160"/>
        <v>0</v>
      </c>
      <c r="AE564" s="2">
        <f t="shared" si="161"/>
        <v>0</v>
      </c>
      <c r="AF564" s="2">
        <f t="shared" si="162"/>
        <v>0</v>
      </c>
      <c r="AG564" s="2">
        <f t="shared" si="163"/>
        <v>0</v>
      </c>
      <c r="AH564" s="2">
        <f t="shared" si="164"/>
        <v>0</v>
      </c>
      <c r="AI564" s="19" t="s">
        <v>556</v>
      </c>
      <c r="AJ564" s="2">
        <f t="shared" si="165"/>
        <v>0</v>
      </c>
      <c r="AK564" s="2">
        <f t="shared" si="166"/>
        <v>0</v>
      </c>
      <c r="AL564" s="2">
        <f t="shared" si="167"/>
        <v>0</v>
      </c>
      <c r="AN564" s="2">
        <v>15</v>
      </c>
      <c r="AO564" s="2">
        <f>I564*0</f>
        <v>0</v>
      </c>
      <c r="AP564" s="2">
        <f>I564*(1-0)</f>
        <v>0</v>
      </c>
      <c r="AQ564" s="43" t="s">
        <v>1215</v>
      </c>
      <c r="AV564" s="2">
        <f t="shared" si="168"/>
        <v>0</v>
      </c>
      <c r="AW564" s="2">
        <f t="shared" si="169"/>
        <v>0</v>
      </c>
      <c r="AX564" s="2">
        <f t="shared" si="170"/>
        <v>0</v>
      </c>
      <c r="AY564" s="43" t="s">
        <v>377</v>
      </c>
      <c r="AZ564" s="43" t="s">
        <v>653</v>
      </c>
      <c r="BA564" s="19" t="s">
        <v>131</v>
      </c>
      <c r="BC564" s="2">
        <f t="shared" si="171"/>
        <v>0</v>
      </c>
      <c r="BD564" s="2">
        <f t="shared" si="172"/>
        <v>0</v>
      </c>
      <c r="BE564" s="2">
        <v>0</v>
      </c>
      <c r="BF564" s="2">
        <f>564</f>
        <v>564</v>
      </c>
      <c r="BH564" s="2">
        <f t="shared" si="173"/>
        <v>0</v>
      </c>
      <c r="BI564" s="2">
        <f t="shared" si="174"/>
        <v>0</v>
      </c>
      <c r="BJ564" s="2">
        <f t="shared" si="175"/>
        <v>0</v>
      </c>
      <c r="BK564" s="2"/>
      <c r="BL564" s="2">
        <v>767</v>
      </c>
    </row>
    <row r="565" spans="1:64" ht="15" customHeight="1">
      <c r="A565" s="15" t="s">
        <v>286</v>
      </c>
      <c r="B565" s="14" t="s">
        <v>148</v>
      </c>
      <c r="C565" s="58" t="s">
        <v>546</v>
      </c>
      <c r="D565" s="58"/>
      <c r="E565" s="58"/>
      <c r="F565" s="58"/>
      <c r="G565" s="14" t="s">
        <v>319</v>
      </c>
      <c r="H565" s="2">
        <v>1</v>
      </c>
      <c r="I565" s="2">
        <v>0</v>
      </c>
      <c r="J565" s="2">
        <f t="shared" si="154"/>
        <v>0</v>
      </c>
      <c r="K565" s="2">
        <f t="shared" si="155"/>
        <v>0</v>
      </c>
      <c r="L565" s="2">
        <f t="shared" si="156"/>
        <v>0</v>
      </c>
      <c r="M565" s="7" t="s">
        <v>831</v>
      </c>
      <c r="Z565" s="2">
        <f t="shared" si="157"/>
        <v>0</v>
      </c>
      <c r="AB565" s="2">
        <f t="shared" si="158"/>
        <v>0</v>
      </c>
      <c r="AC565" s="2">
        <f t="shared" si="159"/>
        <v>0</v>
      </c>
      <c r="AD565" s="2">
        <f t="shared" si="160"/>
        <v>0</v>
      </c>
      <c r="AE565" s="2">
        <f t="shared" si="161"/>
        <v>0</v>
      </c>
      <c r="AF565" s="2">
        <f t="shared" si="162"/>
        <v>0</v>
      </c>
      <c r="AG565" s="2">
        <f t="shared" si="163"/>
        <v>0</v>
      </c>
      <c r="AH565" s="2">
        <f t="shared" si="164"/>
        <v>0</v>
      </c>
      <c r="AI565" s="19" t="s">
        <v>556</v>
      </c>
      <c r="AJ565" s="2">
        <f t="shared" si="165"/>
        <v>0</v>
      </c>
      <c r="AK565" s="2">
        <f t="shared" si="166"/>
        <v>0</v>
      </c>
      <c r="AL565" s="2">
        <f t="shared" si="167"/>
        <v>0</v>
      </c>
      <c r="AN565" s="2">
        <v>15</v>
      </c>
      <c r="AO565" s="2">
        <f>I565*1</f>
        <v>0</v>
      </c>
      <c r="AP565" s="2">
        <f>I565*(1-1)</f>
        <v>0</v>
      </c>
      <c r="AQ565" s="43" t="s">
        <v>1215</v>
      </c>
      <c r="AV565" s="2">
        <f t="shared" si="168"/>
        <v>0</v>
      </c>
      <c r="AW565" s="2">
        <f t="shared" si="169"/>
        <v>0</v>
      </c>
      <c r="AX565" s="2">
        <f t="shared" si="170"/>
        <v>0</v>
      </c>
      <c r="AY565" s="43" t="s">
        <v>377</v>
      </c>
      <c r="AZ565" s="43" t="s">
        <v>653</v>
      </c>
      <c r="BA565" s="19" t="s">
        <v>131</v>
      </c>
      <c r="BC565" s="2">
        <f t="shared" si="171"/>
        <v>0</v>
      </c>
      <c r="BD565" s="2">
        <f t="shared" si="172"/>
        <v>0</v>
      </c>
      <c r="BE565" s="2">
        <v>0</v>
      </c>
      <c r="BF565" s="2">
        <f>565</f>
        <v>565</v>
      </c>
      <c r="BH565" s="2">
        <f t="shared" si="173"/>
        <v>0</v>
      </c>
      <c r="BI565" s="2">
        <f t="shared" si="174"/>
        <v>0</v>
      </c>
      <c r="BJ565" s="2">
        <f t="shared" si="175"/>
        <v>0</v>
      </c>
      <c r="BK565" s="2"/>
      <c r="BL565" s="2">
        <v>767</v>
      </c>
    </row>
    <row r="566" spans="1:64" ht="15" customHeight="1">
      <c r="A566" s="15" t="s">
        <v>1223</v>
      </c>
      <c r="B566" s="14" t="s">
        <v>148</v>
      </c>
      <c r="C566" s="58" t="s">
        <v>702</v>
      </c>
      <c r="D566" s="58"/>
      <c r="E566" s="58"/>
      <c r="F566" s="58"/>
      <c r="G566" s="14" t="s">
        <v>319</v>
      </c>
      <c r="H566" s="2">
        <v>1</v>
      </c>
      <c r="I566" s="2">
        <v>0</v>
      </c>
      <c r="J566" s="2">
        <f t="shared" si="154"/>
        <v>0</v>
      </c>
      <c r="K566" s="2">
        <f t="shared" si="155"/>
        <v>0</v>
      </c>
      <c r="L566" s="2">
        <f t="shared" si="156"/>
        <v>0</v>
      </c>
      <c r="M566" s="7" t="s">
        <v>831</v>
      </c>
      <c r="Z566" s="2">
        <f t="shared" si="157"/>
        <v>0</v>
      </c>
      <c r="AB566" s="2">
        <f t="shared" si="158"/>
        <v>0</v>
      </c>
      <c r="AC566" s="2">
        <f t="shared" si="159"/>
        <v>0</v>
      </c>
      <c r="AD566" s="2">
        <f t="shared" si="160"/>
        <v>0</v>
      </c>
      <c r="AE566" s="2">
        <f t="shared" si="161"/>
        <v>0</v>
      </c>
      <c r="AF566" s="2">
        <f t="shared" si="162"/>
        <v>0</v>
      </c>
      <c r="AG566" s="2">
        <f t="shared" si="163"/>
        <v>0</v>
      </c>
      <c r="AH566" s="2">
        <f t="shared" si="164"/>
        <v>0</v>
      </c>
      <c r="AI566" s="19" t="s">
        <v>556</v>
      </c>
      <c r="AJ566" s="2">
        <f t="shared" si="165"/>
        <v>0</v>
      </c>
      <c r="AK566" s="2">
        <f t="shared" si="166"/>
        <v>0</v>
      </c>
      <c r="AL566" s="2">
        <f t="shared" si="167"/>
        <v>0</v>
      </c>
      <c r="AN566" s="2">
        <v>15</v>
      </c>
      <c r="AO566" s="2">
        <f>I566*1</f>
        <v>0</v>
      </c>
      <c r="AP566" s="2">
        <f>I566*(1-1)</f>
        <v>0</v>
      </c>
      <c r="AQ566" s="43" t="s">
        <v>1215</v>
      </c>
      <c r="AV566" s="2">
        <f t="shared" si="168"/>
        <v>0</v>
      </c>
      <c r="AW566" s="2">
        <f t="shared" si="169"/>
        <v>0</v>
      </c>
      <c r="AX566" s="2">
        <f t="shared" si="170"/>
        <v>0</v>
      </c>
      <c r="AY566" s="43" t="s">
        <v>377</v>
      </c>
      <c r="AZ566" s="43" t="s">
        <v>653</v>
      </c>
      <c r="BA566" s="19" t="s">
        <v>131</v>
      </c>
      <c r="BC566" s="2">
        <f t="shared" si="171"/>
        <v>0</v>
      </c>
      <c r="BD566" s="2">
        <f t="shared" si="172"/>
        <v>0</v>
      </c>
      <c r="BE566" s="2">
        <v>0</v>
      </c>
      <c r="BF566" s="2">
        <f>566</f>
        <v>566</v>
      </c>
      <c r="BH566" s="2">
        <f t="shared" si="173"/>
        <v>0</v>
      </c>
      <c r="BI566" s="2">
        <f t="shared" si="174"/>
        <v>0</v>
      </c>
      <c r="BJ566" s="2">
        <f t="shared" si="175"/>
        <v>0</v>
      </c>
      <c r="BK566" s="2"/>
      <c r="BL566" s="2">
        <v>767</v>
      </c>
    </row>
    <row r="567" spans="1:64" ht="15" customHeight="1">
      <c r="A567" s="15" t="s">
        <v>865</v>
      </c>
      <c r="B567" s="14" t="s">
        <v>958</v>
      </c>
      <c r="C567" s="58" t="s">
        <v>1121</v>
      </c>
      <c r="D567" s="58"/>
      <c r="E567" s="58"/>
      <c r="F567" s="58"/>
      <c r="G567" s="14" t="s">
        <v>1130</v>
      </c>
      <c r="H567" s="2">
        <v>141.02</v>
      </c>
      <c r="I567" s="2">
        <v>0</v>
      </c>
      <c r="J567" s="2">
        <f t="shared" si="154"/>
        <v>0</v>
      </c>
      <c r="K567" s="2">
        <f t="shared" si="155"/>
        <v>0</v>
      </c>
      <c r="L567" s="2">
        <f t="shared" si="156"/>
        <v>0</v>
      </c>
      <c r="M567" s="7" t="s">
        <v>831</v>
      </c>
      <c r="Z567" s="2">
        <f t="shared" si="157"/>
        <v>0</v>
      </c>
      <c r="AB567" s="2">
        <f t="shared" si="158"/>
        <v>0</v>
      </c>
      <c r="AC567" s="2">
        <f t="shared" si="159"/>
        <v>0</v>
      </c>
      <c r="AD567" s="2">
        <f t="shared" si="160"/>
        <v>0</v>
      </c>
      <c r="AE567" s="2">
        <f t="shared" si="161"/>
        <v>0</v>
      </c>
      <c r="AF567" s="2">
        <f t="shared" si="162"/>
        <v>0</v>
      </c>
      <c r="AG567" s="2">
        <f t="shared" si="163"/>
        <v>0</v>
      </c>
      <c r="AH567" s="2">
        <f t="shared" si="164"/>
        <v>0</v>
      </c>
      <c r="AI567" s="19" t="s">
        <v>556</v>
      </c>
      <c r="AJ567" s="2">
        <f t="shared" si="165"/>
        <v>0</v>
      </c>
      <c r="AK567" s="2">
        <f t="shared" si="166"/>
        <v>0</v>
      </c>
      <c r="AL567" s="2">
        <f t="shared" si="167"/>
        <v>0</v>
      </c>
      <c r="AN567" s="2">
        <v>15</v>
      </c>
      <c r="AO567" s="2">
        <f>I567*0.543896997668325</f>
        <v>0</v>
      </c>
      <c r="AP567" s="2">
        <f>I567*(1-0.543896997668325)</f>
        <v>0</v>
      </c>
      <c r="AQ567" s="43" t="s">
        <v>1215</v>
      </c>
      <c r="AV567" s="2">
        <f t="shared" si="168"/>
        <v>0</v>
      </c>
      <c r="AW567" s="2">
        <f t="shared" si="169"/>
        <v>0</v>
      </c>
      <c r="AX567" s="2">
        <f t="shared" si="170"/>
        <v>0</v>
      </c>
      <c r="AY567" s="43" t="s">
        <v>377</v>
      </c>
      <c r="AZ567" s="43" t="s">
        <v>653</v>
      </c>
      <c r="BA567" s="19" t="s">
        <v>131</v>
      </c>
      <c r="BC567" s="2">
        <f t="shared" si="171"/>
        <v>0</v>
      </c>
      <c r="BD567" s="2">
        <f t="shared" si="172"/>
        <v>0</v>
      </c>
      <c r="BE567" s="2">
        <v>0</v>
      </c>
      <c r="BF567" s="2">
        <f>567</f>
        <v>567</v>
      </c>
      <c r="BH567" s="2">
        <f t="shared" si="173"/>
        <v>0</v>
      </c>
      <c r="BI567" s="2">
        <f t="shared" si="174"/>
        <v>0</v>
      </c>
      <c r="BJ567" s="2">
        <f t="shared" si="175"/>
        <v>0</v>
      </c>
      <c r="BK567" s="2"/>
      <c r="BL567" s="2">
        <v>767</v>
      </c>
    </row>
    <row r="568" spans="1:13" ht="13.5" customHeight="1">
      <c r="A568" s="51"/>
      <c r="B568" s="32" t="s">
        <v>639</v>
      </c>
      <c r="C568" s="75" t="s">
        <v>660</v>
      </c>
      <c r="D568" s="76"/>
      <c r="E568" s="76"/>
      <c r="F568" s="76"/>
      <c r="G568" s="76"/>
      <c r="H568" s="76"/>
      <c r="I568" s="76"/>
      <c r="J568" s="76"/>
      <c r="K568" s="76"/>
      <c r="L568" s="76"/>
      <c r="M568" s="77"/>
    </row>
    <row r="569" spans="1:64" ht="15" customHeight="1">
      <c r="A569" s="3" t="s">
        <v>167</v>
      </c>
      <c r="B569" s="11" t="s">
        <v>66</v>
      </c>
      <c r="C569" s="78" t="s">
        <v>795</v>
      </c>
      <c r="D569" s="78"/>
      <c r="E569" s="78"/>
      <c r="F569" s="78"/>
      <c r="G569" s="11" t="s">
        <v>584</v>
      </c>
      <c r="H569" s="49">
        <v>0.425</v>
      </c>
      <c r="I569" s="49">
        <v>0</v>
      </c>
      <c r="J569" s="49">
        <f>H569*AO569</f>
        <v>0</v>
      </c>
      <c r="K569" s="49">
        <f>H569*AP569</f>
        <v>0</v>
      </c>
      <c r="L569" s="49">
        <f>H569*I569</f>
        <v>0</v>
      </c>
      <c r="M569" s="28" t="s">
        <v>831</v>
      </c>
      <c r="Z569" s="2">
        <f>IF(AQ569="5",BJ569,0)</f>
        <v>0</v>
      </c>
      <c r="AB569" s="2">
        <f>IF(AQ569="1",BH569,0)</f>
        <v>0</v>
      </c>
      <c r="AC569" s="2">
        <f>IF(AQ569="1",BI569,0)</f>
        <v>0</v>
      </c>
      <c r="AD569" s="2">
        <f>IF(AQ569="7",BH569,0)</f>
        <v>0</v>
      </c>
      <c r="AE569" s="2">
        <f>IF(AQ569="7",BI569,0)</f>
        <v>0</v>
      </c>
      <c r="AF569" s="2">
        <f>IF(AQ569="2",BH569,0)</f>
        <v>0</v>
      </c>
      <c r="AG569" s="2">
        <f>IF(AQ569="2",BI569,0)</f>
        <v>0</v>
      </c>
      <c r="AH569" s="2">
        <f>IF(AQ569="0",BJ569,0)</f>
        <v>0</v>
      </c>
      <c r="AI569" s="19" t="s">
        <v>556</v>
      </c>
      <c r="AJ569" s="2">
        <f>IF(AN569=0,L569,0)</f>
        <v>0</v>
      </c>
      <c r="AK569" s="2">
        <f>IF(AN569=15,L569,0)</f>
        <v>0</v>
      </c>
      <c r="AL569" s="2">
        <f>IF(AN569=21,L569,0)</f>
        <v>0</v>
      </c>
      <c r="AN569" s="2">
        <v>15</v>
      </c>
      <c r="AO569" s="2">
        <f>I569*0</f>
        <v>0</v>
      </c>
      <c r="AP569" s="2">
        <f>I569*(1-0)</f>
        <v>0</v>
      </c>
      <c r="AQ569" s="43" t="s">
        <v>655</v>
      </c>
      <c r="AV569" s="2">
        <f>AW569+AX569</f>
        <v>0</v>
      </c>
      <c r="AW569" s="2">
        <f>H569*AO569</f>
        <v>0</v>
      </c>
      <c r="AX569" s="2">
        <f>H569*AP569</f>
        <v>0</v>
      </c>
      <c r="AY569" s="43" t="s">
        <v>377</v>
      </c>
      <c r="AZ569" s="43" t="s">
        <v>653</v>
      </c>
      <c r="BA569" s="19" t="s">
        <v>131</v>
      </c>
      <c r="BC569" s="2">
        <f>AW569+AX569</f>
        <v>0</v>
      </c>
      <c r="BD569" s="2">
        <f>I569/(100-BE569)*100</f>
        <v>0</v>
      </c>
      <c r="BE569" s="2">
        <v>0</v>
      </c>
      <c r="BF569" s="2">
        <f>569</f>
        <v>569</v>
      </c>
      <c r="BH569" s="2">
        <f>H569*AO569</f>
        <v>0</v>
      </c>
      <c r="BI569" s="2">
        <f>H569*AP569</f>
        <v>0</v>
      </c>
      <c r="BJ569" s="2">
        <f>H569*I569</f>
        <v>0</v>
      </c>
      <c r="BK569" s="2"/>
      <c r="BL569" s="2">
        <v>767</v>
      </c>
    </row>
    <row r="570" spans="10:12" ht="15" customHeight="1">
      <c r="J570" s="64" t="s">
        <v>957</v>
      </c>
      <c r="K570" s="64"/>
      <c r="L570" s="10">
        <f>ROUND(L13+L15+L17+L22+L25+L27+L29+L34+L54+L56+L79+L99+L103+L128+L131+L134+L137+L141+L153+L162+L167+L180+L182+L186+L192+L195+L197+L212+L227+L250+L289+L300+L306+L316+L319+L328+L331+L334+L359+L377+L381+L418+L424+L435+L440+L455+L460+L468+L470+L479+L483+L486+L488+L491+L497+L499+L512+L515+L524+L527+L530+L533+L537+L542+L546+L554+L557+L559,1)</f>
        <v>0</v>
      </c>
    </row>
    <row r="571" ht="15" customHeight="1">
      <c r="A571" s="22" t="s">
        <v>102</v>
      </c>
    </row>
    <row r="572" spans="1:13" ht="12.75" customHeight="1">
      <c r="A572" s="61" t="s">
        <v>844</v>
      </c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</row>
  </sheetData>
  <sheetProtection/>
  <mergeCells count="588">
    <mergeCell ref="C568:M568"/>
    <mergeCell ref="C569:F569"/>
    <mergeCell ref="J570:K570"/>
    <mergeCell ref="A572:M572"/>
    <mergeCell ref="C562:F562"/>
    <mergeCell ref="C563:F563"/>
    <mergeCell ref="C564:F564"/>
    <mergeCell ref="C565:F565"/>
    <mergeCell ref="C566:F566"/>
    <mergeCell ref="C567:F567"/>
    <mergeCell ref="C556:F556"/>
    <mergeCell ref="C557:F557"/>
    <mergeCell ref="C558:F558"/>
    <mergeCell ref="C559:F559"/>
    <mergeCell ref="C560:F560"/>
    <mergeCell ref="C561:M561"/>
    <mergeCell ref="C550:F550"/>
    <mergeCell ref="C551:F551"/>
    <mergeCell ref="C552:F552"/>
    <mergeCell ref="C553:F553"/>
    <mergeCell ref="C554:F554"/>
    <mergeCell ref="C555:F555"/>
    <mergeCell ref="C544:M544"/>
    <mergeCell ref="C545:F545"/>
    <mergeCell ref="C546:F546"/>
    <mergeCell ref="C547:F547"/>
    <mergeCell ref="C548:F548"/>
    <mergeCell ref="C549:F549"/>
    <mergeCell ref="C538:F538"/>
    <mergeCell ref="C539:F539"/>
    <mergeCell ref="C540:M540"/>
    <mergeCell ref="C541:F541"/>
    <mergeCell ref="C542:F542"/>
    <mergeCell ref="C543:F543"/>
    <mergeCell ref="C532:M532"/>
    <mergeCell ref="C533:F533"/>
    <mergeCell ref="C534:F534"/>
    <mergeCell ref="C535:M535"/>
    <mergeCell ref="C536:F536"/>
    <mergeCell ref="C537:F537"/>
    <mergeCell ref="C526:M526"/>
    <mergeCell ref="C527:F527"/>
    <mergeCell ref="C528:F528"/>
    <mergeCell ref="C529:F529"/>
    <mergeCell ref="C530:F530"/>
    <mergeCell ref="C531:F531"/>
    <mergeCell ref="C520:F520"/>
    <mergeCell ref="C521:M521"/>
    <mergeCell ref="C522:F522"/>
    <mergeCell ref="C523:F523"/>
    <mergeCell ref="C524:F524"/>
    <mergeCell ref="C525:F525"/>
    <mergeCell ref="C514:M514"/>
    <mergeCell ref="C515:F515"/>
    <mergeCell ref="C516:F516"/>
    <mergeCell ref="C517:M517"/>
    <mergeCell ref="C518:F518"/>
    <mergeCell ref="C519:M519"/>
    <mergeCell ref="C508:F508"/>
    <mergeCell ref="C509:M509"/>
    <mergeCell ref="C510:F510"/>
    <mergeCell ref="C511:M511"/>
    <mergeCell ref="C512:F512"/>
    <mergeCell ref="C513:F513"/>
    <mergeCell ref="C502:F502"/>
    <mergeCell ref="C503:F503"/>
    <mergeCell ref="C504:F504"/>
    <mergeCell ref="C505:M505"/>
    <mergeCell ref="C506:F506"/>
    <mergeCell ref="C507:F507"/>
    <mergeCell ref="C496:M496"/>
    <mergeCell ref="C497:F497"/>
    <mergeCell ref="C498:F498"/>
    <mergeCell ref="C499:F499"/>
    <mergeCell ref="C500:F500"/>
    <mergeCell ref="C501:M501"/>
    <mergeCell ref="C490:M490"/>
    <mergeCell ref="C491:F491"/>
    <mergeCell ref="C492:F492"/>
    <mergeCell ref="C493:F493"/>
    <mergeCell ref="C494:M494"/>
    <mergeCell ref="C495:F495"/>
    <mergeCell ref="C484:F484"/>
    <mergeCell ref="C485:M485"/>
    <mergeCell ref="C486:F486"/>
    <mergeCell ref="C487:F487"/>
    <mergeCell ref="C488:F488"/>
    <mergeCell ref="C489:F489"/>
    <mergeCell ref="C478:F478"/>
    <mergeCell ref="C479:F479"/>
    <mergeCell ref="C480:F480"/>
    <mergeCell ref="C481:M481"/>
    <mergeCell ref="C482:F482"/>
    <mergeCell ref="C483:F483"/>
    <mergeCell ref="C472:M472"/>
    <mergeCell ref="C473:F473"/>
    <mergeCell ref="C474:F474"/>
    <mergeCell ref="C475:M475"/>
    <mergeCell ref="C476:F476"/>
    <mergeCell ref="C477:M477"/>
    <mergeCell ref="C466:F466"/>
    <mergeCell ref="C467:M467"/>
    <mergeCell ref="C468:F468"/>
    <mergeCell ref="C469:F469"/>
    <mergeCell ref="C470:F470"/>
    <mergeCell ref="C471:F471"/>
    <mergeCell ref="C460:F460"/>
    <mergeCell ref="C461:F461"/>
    <mergeCell ref="C462:F462"/>
    <mergeCell ref="C463:M463"/>
    <mergeCell ref="C464:F464"/>
    <mergeCell ref="C465:M465"/>
    <mergeCell ref="C454:F454"/>
    <mergeCell ref="C455:F455"/>
    <mergeCell ref="C456:F456"/>
    <mergeCell ref="C457:M457"/>
    <mergeCell ref="C458:F458"/>
    <mergeCell ref="C459:M459"/>
    <mergeCell ref="C448:F448"/>
    <mergeCell ref="C449:F449"/>
    <mergeCell ref="C450:M450"/>
    <mergeCell ref="C451:F451"/>
    <mergeCell ref="C452:M452"/>
    <mergeCell ref="C453:F453"/>
    <mergeCell ref="C442:M442"/>
    <mergeCell ref="C443:F443"/>
    <mergeCell ref="C444:F444"/>
    <mergeCell ref="C445:F445"/>
    <mergeCell ref="C446:F446"/>
    <mergeCell ref="C447:M447"/>
    <mergeCell ref="C436:F436"/>
    <mergeCell ref="C437:M437"/>
    <mergeCell ref="C438:F438"/>
    <mergeCell ref="C439:F439"/>
    <mergeCell ref="C440:F440"/>
    <mergeCell ref="C441:F441"/>
    <mergeCell ref="C430:F430"/>
    <mergeCell ref="C431:F431"/>
    <mergeCell ref="C432:F432"/>
    <mergeCell ref="C433:F433"/>
    <mergeCell ref="C434:F434"/>
    <mergeCell ref="C435:F435"/>
    <mergeCell ref="C424:F424"/>
    <mergeCell ref="C425:F425"/>
    <mergeCell ref="C426:M426"/>
    <mergeCell ref="C427:F427"/>
    <mergeCell ref="C428:F428"/>
    <mergeCell ref="C429:F429"/>
    <mergeCell ref="C418:F418"/>
    <mergeCell ref="C419:F419"/>
    <mergeCell ref="C420:M420"/>
    <mergeCell ref="C421:F421"/>
    <mergeCell ref="C422:F422"/>
    <mergeCell ref="C423:F423"/>
    <mergeCell ref="C412:F412"/>
    <mergeCell ref="C413:F413"/>
    <mergeCell ref="C414:F414"/>
    <mergeCell ref="C415:F415"/>
    <mergeCell ref="C416:F416"/>
    <mergeCell ref="C417:F417"/>
    <mergeCell ref="C406:F406"/>
    <mergeCell ref="C407:F407"/>
    <mergeCell ref="C408:F408"/>
    <mergeCell ref="C409:F409"/>
    <mergeCell ref="C410:F410"/>
    <mergeCell ref="C411:F411"/>
    <mergeCell ref="C400:F400"/>
    <mergeCell ref="C401:F401"/>
    <mergeCell ref="C402:F402"/>
    <mergeCell ref="C403:F403"/>
    <mergeCell ref="C404:F404"/>
    <mergeCell ref="C405:F405"/>
    <mergeCell ref="C394:F394"/>
    <mergeCell ref="C395:F395"/>
    <mergeCell ref="C396:F396"/>
    <mergeCell ref="C397:F397"/>
    <mergeCell ref="C398:F398"/>
    <mergeCell ref="C399:F399"/>
    <mergeCell ref="C388:F388"/>
    <mergeCell ref="C389:F389"/>
    <mergeCell ref="C390:F390"/>
    <mergeCell ref="C391:F391"/>
    <mergeCell ref="C392:F392"/>
    <mergeCell ref="C393:F393"/>
    <mergeCell ref="C382:F382"/>
    <mergeCell ref="C383:M383"/>
    <mergeCell ref="C384:F384"/>
    <mergeCell ref="C385:F385"/>
    <mergeCell ref="C386:F386"/>
    <mergeCell ref="C387:F387"/>
    <mergeCell ref="C376:F376"/>
    <mergeCell ref="C377:F377"/>
    <mergeCell ref="C378:F378"/>
    <mergeCell ref="C379:F379"/>
    <mergeCell ref="C380:F380"/>
    <mergeCell ref="C381:F381"/>
    <mergeCell ref="C370:F370"/>
    <mergeCell ref="C371:F371"/>
    <mergeCell ref="C372:F372"/>
    <mergeCell ref="C373:M373"/>
    <mergeCell ref="C374:F374"/>
    <mergeCell ref="C375:M375"/>
    <mergeCell ref="C364:F364"/>
    <mergeCell ref="C365:F365"/>
    <mergeCell ref="C366:M366"/>
    <mergeCell ref="C367:F367"/>
    <mergeCell ref="C368:F368"/>
    <mergeCell ref="C369:M369"/>
    <mergeCell ref="C358:F358"/>
    <mergeCell ref="C359:F359"/>
    <mergeCell ref="C360:F360"/>
    <mergeCell ref="C361:M361"/>
    <mergeCell ref="C362:F362"/>
    <mergeCell ref="C363:F363"/>
    <mergeCell ref="C352:M352"/>
    <mergeCell ref="C353:F353"/>
    <mergeCell ref="C354:F354"/>
    <mergeCell ref="C355:F355"/>
    <mergeCell ref="C356:M356"/>
    <mergeCell ref="C357:F357"/>
    <mergeCell ref="C346:M346"/>
    <mergeCell ref="C347:F347"/>
    <mergeCell ref="C348:M348"/>
    <mergeCell ref="C349:F349"/>
    <mergeCell ref="C350:M350"/>
    <mergeCell ref="C351:F351"/>
    <mergeCell ref="C340:M340"/>
    <mergeCell ref="C341:F341"/>
    <mergeCell ref="C342:M342"/>
    <mergeCell ref="C343:F343"/>
    <mergeCell ref="C344:M344"/>
    <mergeCell ref="C345:F345"/>
    <mergeCell ref="C334:F334"/>
    <mergeCell ref="C335:F335"/>
    <mergeCell ref="C336:M336"/>
    <mergeCell ref="C337:F337"/>
    <mergeCell ref="C338:F338"/>
    <mergeCell ref="C339:F339"/>
    <mergeCell ref="C328:F328"/>
    <mergeCell ref="C329:F329"/>
    <mergeCell ref="C330:F330"/>
    <mergeCell ref="C331:F331"/>
    <mergeCell ref="C332:F332"/>
    <mergeCell ref="C333:F333"/>
    <mergeCell ref="C322:F322"/>
    <mergeCell ref="C323:F323"/>
    <mergeCell ref="C324:M324"/>
    <mergeCell ref="C325:F325"/>
    <mergeCell ref="C326:M326"/>
    <mergeCell ref="C327:F327"/>
    <mergeCell ref="C316:F316"/>
    <mergeCell ref="C317:F317"/>
    <mergeCell ref="C318:F318"/>
    <mergeCell ref="C319:F319"/>
    <mergeCell ref="C320:F320"/>
    <mergeCell ref="C321:F321"/>
    <mergeCell ref="C310:M310"/>
    <mergeCell ref="C311:F311"/>
    <mergeCell ref="C312:M312"/>
    <mergeCell ref="C313:F313"/>
    <mergeCell ref="C314:F314"/>
    <mergeCell ref="C315:M315"/>
    <mergeCell ref="C304:F304"/>
    <mergeCell ref="C305:F305"/>
    <mergeCell ref="C306:F306"/>
    <mergeCell ref="C307:F307"/>
    <mergeCell ref="C308:M308"/>
    <mergeCell ref="C309:F309"/>
    <mergeCell ref="C298:M298"/>
    <mergeCell ref="C299:F299"/>
    <mergeCell ref="C300:F300"/>
    <mergeCell ref="C301:F301"/>
    <mergeCell ref="C302:M302"/>
    <mergeCell ref="C303:F303"/>
    <mergeCell ref="C292:F292"/>
    <mergeCell ref="C293:F293"/>
    <mergeCell ref="C294:F294"/>
    <mergeCell ref="C295:F295"/>
    <mergeCell ref="C296:F296"/>
    <mergeCell ref="C297:F297"/>
    <mergeCell ref="C286:M286"/>
    <mergeCell ref="C287:F287"/>
    <mergeCell ref="C288:F288"/>
    <mergeCell ref="C289:F289"/>
    <mergeCell ref="C290:F290"/>
    <mergeCell ref="C291:F291"/>
    <mergeCell ref="C280:F280"/>
    <mergeCell ref="C281:M281"/>
    <mergeCell ref="C282:F282"/>
    <mergeCell ref="C283:F283"/>
    <mergeCell ref="C284:F284"/>
    <mergeCell ref="C285:F285"/>
    <mergeCell ref="C274:M274"/>
    <mergeCell ref="C275:F275"/>
    <mergeCell ref="C276:F276"/>
    <mergeCell ref="C277:M277"/>
    <mergeCell ref="C278:F278"/>
    <mergeCell ref="C279:M279"/>
    <mergeCell ref="C268:M268"/>
    <mergeCell ref="C269:F269"/>
    <mergeCell ref="C270:M270"/>
    <mergeCell ref="C271:F271"/>
    <mergeCell ref="C272:M272"/>
    <mergeCell ref="C273:F273"/>
    <mergeCell ref="C262:M262"/>
    <mergeCell ref="C263:F263"/>
    <mergeCell ref="C264:M264"/>
    <mergeCell ref="C265:F265"/>
    <mergeCell ref="C266:M266"/>
    <mergeCell ref="C267:F267"/>
    <mergeCell ref="C256:M256"/>
    <mergeCell ref="C257:F257"/>
    <mergeCell ref="C258:M258"/>
    <mergeCell ref="C259:F259"/>
    <mergeCell ref="C260:M260"/>
    <mergeCell ref="C261:F261"/>
    <mergeCell ref="C250:F250"/>
    <mergeCell ref="C251:F251"/>
    <mergeCell ref="C252:M252"/>
    <mergeCell ref="C253:F253"/>
    <mergeCell ref="C254:M254"/>
    <mergeCell ref="C255:F255"/>
    <mergeCell ref="C244:F244"/>
    <mergeCell ref="C245:F245"/>
    <mergeCell ref="C246:F246"/>
    <mergeCell ref="C247:F247"/>
    <mergeCell ref="C248:M248"/>
    <mergeCell ref="C249:F249"/>
    <mergeCell ref="C238:F238"/>
    <mergeCell ref="C239:F239"/>
    <mergeCell ref="C240:F240"/>
    <mergeCell ref="C241:F241"/>
    <mergeCell ref="C242:F242"/>
    <mergeCell ref="C243:F243"/>
    <mergeCell ref="C232:M232"/>
    <mergeCell ref="C233:F233"/>
    <mergeCell ref="C234:M234"/>
    <mergeCell ref="C235:F235"/>
    <mergeCell ref="C236:M236"/>
    <mergeCell ref="C237:F237"/>
    <mergeCell ref="C226:F226"/>
    <mergeCell ref="C227:F227"/>
    <mergeCell ref="C228:F228"/>
    <mergeCell ref="C229:F229"/>
    <mergeCell ref="C230:M230"/>
    <mergeCell ref="C231:F231"/>
    <mergeCell ref="C220:M220"/>
    <mergeCell ref="C221:F221"/>
    <mergeCell ref="C222:M222"/>
    <mergeCell ref="C223:F223"/>
    <mergeCell ref="C224:M224"/>
    <mergeCell ref="C225:F225"/>
    <mergeCell ref="C214:M214"/>
    <mergeCell ref="C215:F215"/>
    <mergeCell ref="C216:F216"/>
    <mergeCell ref="C217:F217"/>
    <mergeCell ref="C218:M218"/>
    <mergeCell ref="C219:F219"/>
    <mergeCell ref="C208:F208"/>
    <mergeCell ref="C209:F209"/>
    <mergeCell ref="C210:M210"/>
    <mergeCell ref="C211:F211"/>
    <mergeCell ref="C212:F212"/>
    <mergeCell ref="C213:F213"/>
    <mergeCell ref="C202:F202"/>
    <mergeCell ref="C203:F203"/>
    <mergeCell ref="C204:M204"/>
    <mergeCell ref="C205:F205"/>
    <mergeCell ref="C206:M206"/>
    <mergeCell ref="C207:F207"/>
    <mergeCell ref="C196:F196"/>
    <mergeCell ref="C197:F197"/>
    <mergeCell ref="C198:F198"/>
    <mergeCell ref="C199:M199"/>
    <mergeCell ref="C200:F200"/>
    <mergeCell ref="C201:F201"/>
    <mergeCell ref="C190:F190"/>
    <mergeCell ref="C191:F191"/>
    <mergeCell ref="C192:F192"/>
    <mergeCell ref="C193:F193"/>
    <mergeCell ref="C194:M194"/>
    <mergeCell ref="C195:F195"/>
    <mergeCell ref="C184:M184"/>
    <mergeCell ref="C185:F185"/>
    <mergeCell ref="C186:F186"/>
    <mergeCell ref="C187:F187"/>
    <mergeCell ref="C188:F188"/>
    <mergeCell ref="C189:F189"/>
    <mergeCell ref="C178:F178"/>
    <mergeCell ref="C179:M179"/>
    <mergeCell ref="C180:F180"/>
    <mergeCell ref="C181:F181"/>
    <mergeCell ref="C182:F182"/>
    <mergeCell ref="C183:F183"/>
    <mergeCell ref="C172:F172"/>
    <mergeCell ref="C173:M173"/>
    <mergeCell ref="C174:F174"/>
    <mergeCell ref="C175:M175"/>
    <mergeCell ref="C176:F176"/>
    <mergeCell ref="C177:M177"/>
    <mergeCell ref="C166:M166"/>
    <mergeCell ref="C167:F167"/>
    <mergeCell ref="C168:F168"/>
    <mergeCell ref="C169:M169"/>
    <mergeCell ref="C170:F170"/>
    <mergeCell ref="C171:M171"/>
    <mergeCell ref="C160:F160"/>
    <mergeCell ref="C161:F161"/>
    <mergeCell ref="C162:F162"/>
    <mergeCell ref="C163:F163"/>
    <mergeCell ref="C164:M164"/>
    <mergeCell ref="C165:F165"/>
    <mergeCell ref="C154:F154"/>
    <mergeCell ref="C155:M155"/>
    <mergeCell ref="C156:F156"/>
    <mergeCell ref="C157:M157"/>
    <mergeCell ref="C158:F158"/>
    <mergeCell ref="C159:F159"/>
    <mergeCell ref="C148:F148"/>
    <mergeCell ref="C149:F149"/>
    <mergeCell ref="C150:M150"/>
    <mergeCell ref="C151:F151"/>
    <mergeCell ref="C152:M152"/>
    <mergeCell ref="C153:F153"/>
    <mergeCell ref="C142:F142"/>
    <mergeCell ref="C143:M143"/>
    <mergeCell ref="C144:F144"/>
    <mergeCell ref="C145:M145"/>
    <mergeCell ref="C146:F146"/>
    <mergeCell ref="C147:F147"/>
    <mergeCell ref="C136:M136"/>
    <mergeCell ref="C137:F137"/>
    <mergeCell ref="C138:F138"/>
    <mergeCell ref="C139:M139"/>
    <mergeCell ref="C140:F140"/>
    <mergeCell ref="C141:F141"/>
    <mergeCell ref="C130:M130"/>
    <mergeCell ref="C131:F131"/>
    <mergeCell ref="C132:F132"/>
    <mergeCell ref="C133:M133"/>
    <mergeCell ref="C134:F134"/>
    <mergeCell ref="C135:F135"/>
    <mergeCell ref="C124:M124"/>
    <mergeCell ref="C125:F125"/>
    <mergeCell ref="C126:F126"/>
    <mergeCell ref="C127:F127"/>
    <mergeCell ref="C128:F128"/>
    <mergeCell ref="C129:F129"/>
    <mergeCell ref="C118:F118"/>
    <mergeCell ref="C119:F119"/>
    <mergeCell ref="C120:F120"/>
    <mergeCell ref="C121:M121"/>
    <mergeCell ref="C122:F122"/>
    <mergeCell ref="C123:F123"/>
    <mergeCell ref="C112:F112"/>
    <mergeCell ref="C113:F113"/>
    <mergeCell ref="C114:F114"/>
    <mergeCell ref="C115:F115"/>
    <mergeCell ref="C116:M116"/>
    <mergeCell ref="C117:F117"/>
    <mergeCell ref="C106:F106"/>
    <mergeCell ref="C107:M107"/>
    <mergeCell ref="C108:F108"/>
    <mergeCell ref="C109:M109"/>
    <mergeCell ref="C110:F110"/>
    <mergeCell ref="C111:M111"/>
    <mergeCell ref="C100:F100"/>
    <mergeCell ref="C101:M101"/>
    <mergeCell ref="C102:F102"/>
    <mergeCell ref="C103:F103"/>
    <mergeCell ref="C104:F104"/>
    <mergeCell ref="C105:F105"/>
    <mergeCell ref="C94:F94"/>
    <mergeCell ref="C95:F95"/>
    <mergeCell ref="C96:M96"/>
    <mergeCell ref="C97:F97"/>
    <mergeCell ref="C98:M98"/>
    <mergeCell ref="C99:F99"/>
    <mergeCell ref="C88:F88"/>
    <mergeCell ref="C89:M89"/>
    <mergeCell ref="C90:F90"/>
    <mergeCell ref="C91:M91"/>
    <mergeCell ref="C92:F92"/>
    <mergeCell ref="C93:M93"/>
    <mergeCell ref="C82:M82"/>
    <mergeCell ref="C83:F83"/>
    <mergeCell ref="C84:M84"/>
    <mergeCell ref="C85:F85"/>
    <mergeCell ref="C86:M86"/>
    <mergeCell ref="C87:F87"/>
    <mergeCell ref="C76:M76"/>
    <mergeCell ref="C77:F77"/>
    <mergeCell ref="C78:F78"/>
    <mergeCell ref="C79:F79"/>
    <mergeCell ref="C80:F80"/>
    <mergeCell ref="C81:F81"/>
    <mergeCell ref="C70:F70"/>
    <mergeCell ref="C71:F71"/>
    <mergeCell ref="C72:F72"/>
    <mergeCell ref="C73:F73"/>
    <mergeCell ref="C74:F74"/>
    <mergeCell ref="C75:F75"/>
    <mergeCell ref="C64:M64"/>
    <mergeCell ref="C65:F65"/>
    <mergeCell ref="C66:F66"/>
    <mergeCell ref="C67:F67"/>
    <mergeCell ref="C68:F68"/>
    <mergeCell ref="C69:F69"/>
    <mergeCell ref="C58:F58"/>
    <mergeCell ref="C59:F59"/>
    <mergeCell ref="C60:F60"/>
    <mergeCell ref="C61:F61"/>
    <mergeCell ref="C62:F62"/>
    <mergeCell ref="C63:F63"/>
    <mergeCell ref="C52:M52"/>
    <mergeCell ref="C53:F53"/>
    <mergeCell ref="C54:F54"/>
    <mergeCell ref="C55:F55"/>
    <mergeCell ref="C56:F56"/>
    <mergeCell ref="C57:F57"/>
    <mergeCell ref="C46:M46"/>
    <mergeCell ref="C47:F47"/>
    <mergeCell ref="C48:M48"/>
    <mergeCell ref="C49:F49"/>
    <mergeCell ref="C50:M50"/>
    <mergeCell ref="C51:F51"/>
    <mergeCell ref="C40:F40"/>
    <mergeCell ref="C41:M41"/>
    <mergeCell ref="C42:F42"/>
    <mergeCell ref="C43:F43"/>
    <mergeCell ref="C44:M44"/>
    <mergeCell ref="C45:F45"/>
    <mergeCell ref="C34:F34"/>
    <mergeCell ref="C35:F35"/>
    <mergeCell ref="C36:M36"/>
    <mergeCell ref="C37:F37"/>
    <mergeCell ref="C38:F38"/>
    <mergeCell ref="C39:F39"/>
    <mergeCell ref="C28:F28"/>
    <mergeCell ref="C29:F29"/>
    <mergeCell ref="C30:F30"/>
    <mergeCell ref="C31:M31"/>
    <mergeCell ref="C32:F32"/>
    <mergeCell ref="C33:M33"/>
    <mergeCell ref="C22:F22"/>
    <mergeCell ref="C23:F23"/>
    <mergeCell ref="C24:M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1:F11"/>
    <mergeCell ref="J10:L10"/>
    <mergeCell ref="C12:F12"/>
    <mergeCell ref="C13:F13"/>
    <mergeCell ref="C14:F14"/>
    <mergeCell ref="C15:F15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OutlineSymbols="0" zoomScalePageLayoutView="0" workbookViewId="0" topLeftCell="A1">
      <pane ySplit="11" topLeftCell="A12" activePane="bottomLeft" state="frozen"/>
      <selection pane="topLeft" activeCell="C81" sqref="C81:D81"/>
      <selection pane="bottomLeft" activeCell="A1" sqref="A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4" width="14.16015625" style="0" customWidth="1"/>
    <col min="5" max="7" width="32.5" style="0" customWidth="1"/>
    <col min="8" max="9" width="0" style="0" hidden="1" customWidth="1"/>
  </cols>
  <sheetData>
    <row r="1" spans="1:7" ht="54.75" customHeight="1">
      <c r="A1" s="54" t="s">
        <v>1002</v>
      </c>
      <c r="B1" s="54"/>
      <c r="C1" s="54"/>
      <c r="D1" s="54"/>
      <c r="E1" s="54"/>
      <c r="F1" s="54"/>
      <c r="G1" s="54"/>
    </row>
    <row r="2" spans="1:7" ht="15" customHeight="1">
      <c r="A2" s="55" t="s">
        <v>84</v>
      </c>
      <c r="B2" s="56"/>
      <c r="C2" s="62" t="str">
        <f>'Stavební rozpočet'!C2</f>
        <v>Novostavba rodinného domu</v>
      </c>
      <c r="D2" s="56" t="s">
        <v>8</v>
      </c>
      <c r="E2" s="56" t="s">
        <v>1110</v>
      </c>
      <c r="F2" s="60" t="s">
        <v>1018</v>
      </c>
      <c r="G2" s="79" t="str">
        <f>'Stavební rozpočet'!J2</f>
        <v>Ing.Luboš Vondráček</v>
      </c>
    </row>
    <row r="3" spans="1:7" ht="15" customHeight="1">
      <c r="A3" s="57"/>
      <c r="B3" s="58"/>
      <c r="C3" s="64"/>
      <c r="D3" s="58"/>
      <c r="E3" s="58"/>
      <c r="F3" s="58"/>
      <c r="G3" s="66"/>
    </row>
    <row r="4" spans="1:7" ht="15" customHeight="1">
      <c r="A4" s="59" t="s">
        <v>670</v>
      </c>
      <c r="B4" s="58"/>
      <c r="C4" s="61" t="str">
        <f>'Stavební rozpočet'!C4</f>
        <v> </v>
      </c>
      <c r="D4" s="58" t="s">
        <v>1070</v>
      </c>
      <c r="E4" s="58" t="s">
        <v>1110</v>
      </c>
      <c r="F4" s="61" t="s">
        <v>839</v>
      </c>
      <c r="G4" s="80" t="str">
        <f>'Stavební rozpočet'!J4</f>
        <v>Ateliér Civilista s.r.o</v>
      </c>
    </row>
    <row r="5" spans="1:7" ht="15" customHeight="1">
      <c r="A5" s="57"/>
      <c r="B5" s="58"/>
      <c r="C5" s="58"/>
      <c r="D5" s="58"/>
      <c r="E5" s="58"/>
      <c r="F5" s="58"/>
      <c r="G5" s="66"/>
    </row>
    <row r="6" spans="1:7" ht="15" customHeight="1">
      <c r="A6" s="59" t="s">
        <v>106</v>
      </c>
      <c r="B6" s="58"/>
      <c r="C6" s="61" t="str">
        <f>'Stavební rozpočet'!C6</f>
        <v>poz.parc.č.1009/121, k.ú.Velká Dobrá</v>
      </c>
      <c r="D6" s="58" t="s">
        <v>416</v>
      </c>
      <c r="E6" s="58" t="s">
        <v>1110</v>
      </c>
      <c r="F6" s="61" t="s">
        <v>1056</v>
      </c>
      <c r="G6" s="80" t="str">
        <f>'Stavební rozpočet'!J6</f>
        <v>Dle výběrového řízení</v>
      </c>
    </row>
    <row r="7" spans="1:7" ht="15" customHeight="1">
      <c r="A7" s="57"/>
      <c r="B7" s="58"/>
      <c r="C7" s="58"/>
      <c r="D7" s="58"/>
      <c r="E7" s="58"/>
      <c r="F7" s="58"/>
      <c r="G7" s="66"/>
    </row>
    <row r="8" spans="1:7" ht="15" customHeight="1">
      <c r="A8" s="59" t="s">
        <v>805</v>
      </c>
      <c r="B8" s="58"/>
      <c r="C8" s="61" t="str">
        <f>'Stavební rozpočet'!J8</f>
        <v> </v>
      </c>
      <c r="D8" s="58" t="s">
        <v>687</v>
      </c>
      <c r="E8" s="58" t="s">
        <v>1272</v>
      </c>
      <c r="F8" s="58" t="s">
        <v>687</v>
      </c>
      <c r="G8" s="80" t="str">
        <f>'Stavební rozpočet'!G8</f>
        <v>24.03.2023</v>
      </c>
    </row>
    <row r="9" spans="1:7" ht="15" customHeight="1">
      <c r="A9" s="57"/>
      <c r="B9" s="58"/>
      <c r="C9" s="58"/>
      <c r="D9" s="78"/>
      <c r="E9" s="58"/>
      <c r="F9" s="58"/>
      <c r="G9" s="66"/>
    </row>
    <row r="10" spans="1:7" ht="15" customHeight="1">
      <c r="A10" s="16" t="s">
        <v>897</v>
      </c>
      <c r="B10" s="13" t="s">
        <v>424</v>
      </c>
      <c r="C10" s="1" t="s">
        <v>1312</v>
      </c>
      <c r="E10" s="53" t="s">
        <v>623</v>
      </c>
      <c r="F10" s="45" t="s">
        <v>1361</v>
      </c>
      <c r="G10" s="45" t="s">
        <v>68</v>
      </c>
    </row>
    <row r="11" spans="1:9" ht="15" customHeight="1">
      <c r="A11" s="15" t="s">
        <v>255</v>
      </c>
      <c r="B11" s="14" t="s">
        <v>844</v>
      </c>
      <c r="C11" s="58" t="s">
        <v>95</v>
      </c>
      <c r="D11" s="58"/>
      <c r="E11" s="2">
        <f>'Stavební rozpočet'!J12</f>
        <v>0</v>
      </c>
      <c r="F11" s="2">
        <f>'Stavební rozpočet'!K12</f>
        <v>0</v>
      </c>
      <c r="G11" s="2">
        <f>'Stavební rozpočet'!L12</f>
        <v>0</v>
      </c>
      <c r="H11" s="43" t="s">
        <v>561</v>
      </c>
      <c r="I11" s="2">
        <f aca="true" t="shared" si="0" ref="I11:I42">IF(H11="F",0,G11)</f>
        <v>0</v>
      </c>
    </row>
    <row r="12" spans="1:9" ht="15" customHeight="1">
      <c r="A12" s="15" t="s">
        <v>255</v>
      </c>
      <c r="B12" s="14" t="s">
        <v>1009</v>
      </c>
      <c r="C12" s="58" t="s">
        <v>671</v>
      </c>
      <c r="D12" s="58"/>
      <c r="E12" s="2">
        <f>'Stavební rozpočet'!J13</f>
        <v>0</v>
      </c>
      <c r="F12" s="2">
        <f>'Stavební rozpočet'!K13</f>
        <v>0</v>
      </c>
      <c r="G12" s="2">
        <f>'Stavební rozpočet'!L13</f>
        <v>0</v>
      </c>
      <c r="H12" s="43" t="s">
        <v>1170</v>
      </c>
      <c r="I12" s="2">
        <f t="shared" si="0"/>
        <v>0</v>
      </c>
    </row>
    <row r="13" spans="1:9" ht="15" customHeight="1">
      <c r="A13" s="15" t="s">
        <v>255</v>
      </c>
      <c r="B13" s="14" t="s">
        <v>891</v>
      </c>
      <c r="C13" s="58" t="s">
        <v>321</v>
      </c>
      <c r="D13" s="58"/>
      <c r="E13" s="2">
        <f>'Stavební rozpočet'!J15</f>
        <v>0</v>
      </c>
      <c r="F13" s="2">
        <f>'Stavební rozpočet'!K15</f>
        <v>0</v>
      </c>
      <c r="G13" s="2">
        <f>'Stavební rozpočet'!L15</f>
        <v>0</v>
      </c>
      <c r="H13" s="43" t="s">
        <v>1170</v>
      </c>
      <c r="I13" s="2">
        <f t="shared" si="0"/>
        <v>0</v>
      </c>
    </row>
    <row r="14" spans="1:9" ht="15" customHeight="1">
      <c r="A14" s="15" t="s">
        <v>255</v>
      </c>
      <c r="B14" s="14" t="s">
        <v>388</v>
      </c>
      <c r="C14" s="58" t="s">
        <v>9</v>
      </c>
      <c r="D14" s="58"/>
      <c r="E14" s="2">
        <f>'Stavební rozpočet'!J17</f>
        <v>0</v>
      </c>
      <c r="F14" s="2">
        <f>'Stavební rozpočet'!K17</f>
        <v>0</v>
      </c>
      <c r="G14" s="2">
        <f>'Stavební rozpočet'!L17</f>
        <v>0</v>
      </c>
      <c r="H14" s="43" t="s">
        <v>1170</v>
      </c>
      <c r="I14" s="2">
        <f t="shared" si="0"/>
        <v>0</v>
      </c>
    </row>
    <row r="15" spans="1:9" ht="15" customHeight="1">
      <c r="A15" s="15" t="s">
        <v>255</v>
      </c>
      <c r="B15" s="14" t="s">
        <v>111</v>
      </c>
      <c r="C15" s="58" t="s">
        <v>1007</v>
      </c>
      <c r="D15" s="58"/>
      <c r="E15" s="2">
        <f>'Stavební rozpočet'!J22</f>
        <v>0</v>
      </c>
      <c r="F15" s="2">
        <f>'Stavební rozpočet'!K22</f>
        <v>0</v>
      </c>
      <c r="G15" s="2">
        <f>'Stavební rozpočet'!L22</f>
        <v>0</v>
      </c>
      <c r="H15" s="43" t="s">
        <v>1170</v>
      </c>
      <c r="I15" s="2">
        <f t="shared" si="0"/>
        <v>0</v>
      </c>
    </row>
    <row r="16" spans="1:9" ht="15" customHeight="1">
      <c r="A16" s="15" t="s">
        <v>255</v>
      </c>
      <c r="B16" s="14" t="s">
        <v>849</v>
      </c>
      <c r="C16" s="58" t="s">
        <v>182</v>
      </c>
      <c r="D16" s="58"/>
      <c r="E16" s="2">
        <f>'Stavební rozpočet'!J25</f>
        <v>0</v>
      </c>
      <c r="F16" s="2">
        <f>'Stavební rozpočet'!K25</f>
        <v>0</v>
      </c>
      <c r="G16" s="2">
        <f>'Stavební rozpočet'!L25</f>
        <v>0</v>
      </c>
      <c r="H16" s="43" t="s">
        <v>1170</v>
      </c>
      <c r="I16" s="2">
        <f t="shared" si="0"/>
        <v>0</v>
      </c>
    </row>
    <row r="17" spans="1:9" ht="15" customHeight="1">
      <c r="A17" s="15" t="s">
        <v>255</v>
      </c>
      <c r="B17" s="14" t="s">
        <v>965</v>
      </c>
      <c r="C17" s="58" t="s">
        <v>1230</v>
      </c>
      <c r="D17" s="58"/>
      <c r="E17" s="2">
        <f>'Stavební rozpočet'!J27</f>
        <v>0</v>
      </c>
      <c r="F17" s="2">
        <f>'Stavební rozpočet'!K27</f>
        <v>0</v>
      </c>
      <c r="G17" s="2">
        <f>'Stavební rozpočet'!L27</f>
        <v>0</v>
      </c>
      <c r="H17" s="43" t="s">
        <v>1170</v>
      </c>
      <c r="I17" s="2">
        <f t="shared" si="0"/>
        <v>0</v>
      </c>
    </row>
    <row r="18" spans="1:9" ht="15" customHeight="1">
      <c r="A18" s="15" t="s">
        <v>255</v>
      </c>
      <c r="B18" s="14" t="s">
        <v>859</v>
      </c>
      <c r="C18" s="58" t="s">
        <v>445</v>
      </c>
      <c r="D18" s="58"/>
      <c r="E18" s="2">
        <f>'Stavební rozpočet'!J29</f>
        <v>0</v>
      </c>
      <c r="F18" s="2">
        <f>'Stavební rozpočet'!K29</f>
        <v>0</v>
      </c>
      <c r="G18" s="2">
        <f>'Stavební rozpočet'!L29</f>
        <v>0</v>
      </c>
      <c r="H18" s="43" t="s">
        <v>1170</v>
      </c>
      <c r="I18" s="2">
        <f t="shared" si="0"/>
        <v>0</v>
      </c>
    </row>
    <row r="19" spans="1:9" ht="15" customHeight="1">
      <c r="A19" s="15" t="s">
        <v>255</v>
      </c>
      <c r="B19" s="14" t="s">
        <v>1182</v>
      </c>
      <c r="C19" s="58" t="s">
        <v>989</v>
      </c>
      <c r="D19" s="58"/>
      <c r="E19" s="2">
        <f>'Stavební rozpočet'!J34</f>
        <v>0</v>
      </c>
      <c r="F19" s="2">
        <f>'Stavební rozpočet'!K34</f>
        <v>0</v>
      </c>
      <c r="G19" s="2">
        <f>'Stavební rozpočet'!L34</f>
        <v>0</v>
      </c>
      <c r="H19" s="43" t="s">
        <v>1170</v>
      </c>
      <c r="I19" s="2">
        <f t="shared" si="0"/>
        <v>0</v>
      </c>
    </row>
    <row r="20" spans="1:9" ht="15" customHeight="1">
      <c r="A20" s="15" t="s">
        <v>255</v>
      </c>
      <c r="B20" s="14" t="s">
        <v>1314</v>
      </c>
      <c r="C20" s="58" t="s">
        <v>676</v>
      </c>
      <c r="D20" s="58"/>
      <c r="E20" s="2">
        <f>'Stavební rozpočet'!J54</f>
        <v>0</v>
      </c>
      <c r="F20" s="2">
        <f>'Stavební rozpočet'!K54</f>
        <v>0</v>
      </c>
      <c r="G20" s="2">
        <f>'Stavební rozpočet'!L54</f>
        <v>0</v>
      </c>
      <c r="H20" s="43" t="s">
        <v>1170</v>
      </c>
      <c r="I20" s="2">
        <f t="shared" si="0"/>
        <v>0</v>
      </c>
    </row>
    <row r="21" spans="1:9" ht="15" customHeight="1">
      <c r="A21" s="15" t="s">
        <v>255</v>
      </c>
      <c r="B21" s="14" t="s">
        <v>725</v>
      </c>
      <c r="C21" s="58" t="s">
        <v>1156</v>
      </c>
      <c r="D21" s="58"/>
      <c r="E21" s="2">
        <f>'Stavební rozpočet'!J56</f>
        <v>0</v>
      </c>
      <c r="F21" s="2">
        <f>'Stavební rozpočet'!K56</f>
        <v>0</v>
      </c>
      <c r="G21" s="2">
        <f>'Stavební rozpočet'!L56</f>
        <v>0</v>
      </c>
      <c r="H21" s="43" t="s">
        <v>1170</v>
      </c>
      <c r="I21" s="2">
        <f t="shared" si="0"/>
        <v>0</v>
      </c>
    </row>
    <row r="22" spans="1:9" ht="15" customHeight="1">
      <c r="A22" s="15" t="s">
        <v>255</v>
      </c>
      <c r="B22" s="14" t="s">
        <v>1341</v>
      </c>
      <c r="C22" s="58" t="s">
        <v>302</v>
      </c>
      <c r="D22" s="58"/>
      <c r="E22" s="2">
        <f>'Stavební rozpočet'!J79</f>
        <v>0</v>
      </c>
      <c r="F22" s="2">
        <f>'Stavební rozpočet'!K79</f>
        <v>0</v>
      </c>
      <c r="G22" s="2">
        <f>'Stavební rozpočet'!L79</f>
        <v>0</v>
      </c>
      <c r="H22" s="43" t="s">
        <v>1170</v>
      </c>
      <c r="I22" s="2">
        <f t="shared" si="0"/>
        <v>0</v>
      </c>
    </row>
    <row r="23" spans="1:9" ht="15" customHeight="1">
      <c r="A23" s="15" t="s">
        <v>255</v>
      </c>
      <c r="B23" s="14" t="s">
        <v>735</v>
      </c>
      <c r="C23" s="58" t="s">
        <v>825</v>
      </c>
      <c r="D23" s="58"/>
      <c r="E23" s="2">
        <f>'Stavební rozpočet'!J99</f>
        <v>0</v>
      </c>
      <c r="F23" s="2">
        <f>'Stavební rozpočet'!K99</f>
        <v>0</v>
      </c>
      <c r="G23" s="2">
        <f>'Stavební rozpočet'!L99</f>
        <v>0</v>
      </c>
      <c r="H23" s="43" t="s">
        <v>1170</v>
      </c>
      <c r="I23" s="2">
        <f t="shared" si="0"/>
        <v>0</v>
      </c>
    </row>
    <row r="24" spans="1:9" ht="15" customHeight="1">
      <c r="A24" s="15" t="s">
        <v>255</v>
      </c>
      <c r="B24" s="14" t="s">
        <v>1191</v>
      </c>
      <c r="C24" s="58" t="s">
        <v>900</v>
      </c>
      <c r="D24" s="58"/>
      <c r="E24" s="2">
        <f>'Stavební rozpočet'!J103</f>
        <v>0</v>
      </c>
      <c r="F24" s="2">
        <f>'Stavební rozpočet'!K103</f>
        <v>0</v>
      </c>
      <c r="G24" s="2">
        <f>'Stavební rozpočet'!L103</f>
        <v>0</v>
      </c>
      <c r="H24" s="43" t="s">
        <v>1170</v>
      </c>
      <c r="I24" s="2">
        <f t="shared" si="0"/>
        <v>0</v>
      </c>
    </row>
    <row r="25" spans="1:9" ht="15" customHeight="1">
      <c r="A25" s="15" t="s">
        <v>255</v>
      </c>
      <c r="B25" s="14" t="s">
        <v>426</v>
      </c>
      <c r="C25" s="58" t="s">
        <v>498</v>
      </c>
      <c r="D25" s="58"/>
      <c r="E25" s="2">
        <f>'Stavební rozpočet'!J128</f>
        <v>0</v>
      </c>
      <c r="F25" s="2">
        <f>'Stavební rozpočet'!K128</f>
        <v>0</v>
      </c>
      <c r="G25" s="2">
        <f>'Stavební rozpočet'!L128</f>
        <v>0</v>
      </c>
      <c r="H25" s="43" t="s">
        <v>1170</v>
      </c>
      <c r="I25" s="2">
        <f t="shared" si="0"/>
        <v>0</v>
      </c>
    </row>
    <row r="26" spans="1:9" ht="15" customHeight="1">
      <c r="A26" s="15" t="s">
        <v>255</v>
      </c>
      <c r="B26" s="14" t="s">
        <v>768</v>
      </c>
      <c r="C26" s="58" t="s">
        <v>811</v>
      </c>
      <c r="D26" s="58"/>
      <c r="E26" s="2">
        <f>'Stavební rozpočet'!J131</f>
        <v>0</v>
      </c>
      <c r="F26" s="2">
        <f>'Stavební rozpočet'!K131</f>
        <v>0</v>
      </c>
      <c r="G26" s="2">
        <f>'Stavební rozpočet'!L131</f>
        <v>0</v>
      </c>
      <c r="H26" s="43" t="s">
        <v>1170</v>
      </c>
      <c r="I26" s="2">
        <f t="shared" si="0"/>
        <v>0</v>
      </c>
    </row>
    <row r="27" spans="1:9" ht="15" customHeight="1">
      <c r="A27" s="15" t="s">
        <v>255</v>
      </c>
      <c r="B27" s="14" t="s">
        <v>1134</v>
      </c>
      <c r="C27" s="58" t="s">
        <v>633</v>
      </c>
      <c r="D27" s="58"/>
      <c r="E27" s="2">
        <f>'Stavební rozpočet'!J134</f>
        <v>0</v>
      </c>
      <c r="F27" s="2">
        <f>'Stavební rozpočet'!K134</f>
        <v>0</v>
      </c>
      <c r="G27" s="2">
        <f>'Stavební rozpočet'!L134</f>
        <v>0</v>
      </c>
      <c r="H27" s="43" t="s">
        <v>1170</v>
      </c>
      <c r="I27" s="2">
        <f t="shared" si="0"/>
        <v>0</v>
      </c>
    </row>
    <row r="28" spans="1:9" ht="15" customHeight="1">
      <c r="A28" s="15" t="s">
        <v>255</v>
      </c>
      <c r="B28" s="14" t="s">
        <v>574</v>
      </c>
      <c r="C28" s="58" t="s">
        <v>1127</v>
      </c>
      <c r="D28" s="58"/>
      <c r="E28" s="2">
        <f>'Stavební rozpočet'!J137</f>
        <v>0</v>
      </c>
      <c r="F28" s="2">
        <f>'Stavební rozpočet'!K137</f>
        <v>0</v>
      </c>
      <c r="G28" s="2">
        <f>'Stavební rozpočet'!L137</f>
        <v>0</v>
      </c>
      <c r="H28" s="43" t="s">
        <v>1170</v>
      </c>
      <c r="I28" s="2">
        <f t="shared" si="0"/>
        <v>0</v>
      </c>
    </row>
    <row r="29" spans="1:9" ht="15" customHeight="1">
      <c r="A29" s="15" t="s">
        <v>255</v>
      </c>
      <c r="B29" s="14" t="s">
        <v>875</v>
      </c>
      <c r="C29" s="58" t="s">
        <v>867</v>
      </c>
      <c r="D29" s="58"/>
      <c r="E29" s="2">
        <f>'Stavební rozpočet'!J141</f>
        <v>0</v>
      </c>
      <c r="F29" s="2">
        <f>'Stavební rozpočet'!K141</f>
        <v>0</v>
      </c>
      <c r="G29" s="2">
        <f>'Stavební rozpočet'!L141</f>
        <v>0</v>
      </c>
      <c r="H29" s="43" t="s">
        <v>1170</v>
      </c>
      <c r="I29" s="2">
        <f t="shared" si="0"/>
        <v>0</v>
      </c>
    </row>
    <row r="30" spans="1:9" ht="15" customHeight="1">
      <c r="A30" s="15" t="s">
        <v>255</v>
      </c>
      <c r="B30" s="14" t="s">
        <v>1343</v>
      </c>
      <c r="C30" s="58" t="s">
        <v>982</v>
      </c>
      <c r="D30" s="58"/>
      <c r="E30" s="2">
        <f>'Stavební rozpočet'!J153</f>
        <v>0</v>
      </c>
      <c r="F30" s="2">
        <f>'Stavební rozpočet'!K153</f>
        <v>0</v>
      </c>
      <c r="G30" s="2">
        <f>'Stavební rozpočet'!L153</f>
        <v>0</v>
      </c>
      <c r="H30" s="43" t="s">
        <v>1170</v>
      </c>
      <c r="I30" s="2">
        <f t="shared" si="0"/>
        <v>0</v>
      </c>
    </row>
    <row r="31" spans="1:9" ht="15" customHeight="1">
      <c r="A31" s="15" t="s">
        <v>255</v>
      </c>
      <c r="B31" s="14" t="s">
        <v>296</v>
      </c>
      <c r="C31" s="58" t="s">
        <v>1228</v>
      </c>
      <c r="D31" s="58"/>
      <c r="E31" s="2">
        <f>'Stavební rozpočet'!J162</f>
        <v>0</v>
      </c>
      <c r="F31" s="2">
        <f>'Stavební rozpočet'!K162</f>
        <v>0</v>
      </c>
      <c r="G31" s="2">
        <f>'Stavební rozpočet'!L162</f>
        <v>0</v>
      </c>
      <c r="H31" s="43" t="s">
        <v>1170</v>
      </c>
      <c r="I31" s="2">
        <f t="shared" si="0"/>
        <v>0</v>
      </c>
    </row>
    <row r="32" spans="1:9" ht="15" customHeight="1">
      <c r="A32" s="15" t="s">
        <v>255</v>
      </c>
      <c r="B32" s="14" t="s">
        <v>614</v>
      </c>
      <c r="C32" s="58" t="s">
        <v>1241</v>
      </c>
      <c r="D32" s="58"/>
      <c r="E32" s="2">
        <f>'Stavební rozpočet'!J167</f>
        <v>0</v>
      </c>
      <c r="F32" s="2">
        <f>'Stavební rozpočet'!K167</f>
        <v>0</v>
      </c>
      <c r="G32" s="2">
        <f>'Stavební rozpočet'!L167</f>
        <v>0</v>
      </c>
      <c r="H32" s="43" t="s">
        <v>1170</v>
      </c>
      <c r="I32" s="2">
        <f t="shared" si="0"/>
        <v>0</v>
      </c>
    </row>
    <row r="33" spans="1:9" ht="15" customHeight="1">
      <c r="A33" s="15" t="s">
        <v>255</v>
      </c>
      <c r="B33" s="14" t="s">
        <v>1093</v>
      </c>
      <c r="C33" s="58" t="s">
        <v>497</v>
      </c>
      <c r="D33" s="58"/>
      <c r="E33" s="2">
        <f>'Stavební rozpočet'!J180</f>
        <v>0</v>
      </c>
      <c r="F33" s="2">
        <f>'Stavební rozpočet'!K180</f>
        <v>0</v>
      </c>
      <c r="G33" s="2">
        <f>'Stavební rozpočet'!L180</f>
        <v>0</v>
      </c>
      <c r="H33" s="43" t="s">
        <v>1170</v>
      </c>
      <c r="I33" s="2">
        <f t="shared" si="0"/>
        <v>0</v>
      </c>
    </row>
    <row r="34" spans="1:9" ht="15" customHeight="1">
      <c r="A34" s="15" t="s">
        <v>255</v>
      </c>
      <c r="B34" s="14" t="s">
        <v>149</v>
      </c>
      <c r="C34" s="58" t="s">
        <v>857</v>
      </c>
      <c r="D34" s="58"/>
      <c r="E34" s="2">
        <f>'Stavební rozpočet'!J182</f>
        <v>0</v>
      </c>
      <c r="F34" s="2">
        <f>'Stavební rozpočet'!K182</f>
        <v>0</v>
      </c>
      <c r="G34" s="2">
        <f>'Stavební rozpočet'!L182</f>
        <v>0</v>
      </c>
      <c r="H34" s="43" t="s">
        <v>1170</v>
      </c>
      <c r="I34" s="2">
        <f t="shared" si="0"/>
        <v>0</v>
      </c>
    </row>
    <row r="35" spans="1:9" ht="15" customHeight="1">
      <c r="A35" s="15" t="s">
        <v>255</v>
      </c>
      <c r="B35" s="14" t="s">
        <v>505</v>
      </c>
      <c r="C35" s="58" t="s">
        <v>898</v>
      </c>
      <c r="D35" s="58"/>
      <c r="E35" s="2">
        <f>'Stavební rozpočet'!J186</f>
        <v>0</v>
      </c>
      <c r="F35" s="2">
        <f>'Stavební rozpočet'!K186</f>
        <v>0</v>
      </c>
      <c r="G35" s="2">
        <f>'Stavební rozpočet'!L186</f>
        <v>0</v>
      </c>
      <c r="H35" s="43" t="s">
        <v>1170</v>
      </c>
      <c r="I35" s="2">
        <f t="shared" si="0"/>
        <v>0</v>
      </c>
    </row>
    <row r="36" spans="1:9" ht="15" customHeight="1">
      <c r="A36" s="15" t="s">
        <v>255</v>
      </c>
      <c r="B36" s="14" t="s">
        <v>146</v>
      </c>
      <c r="C36" s="58" t="s">
        <v>1333</v>
      </c>
      <c r="D36" s="58"/>
      <c r="E36" s="2">
        <f>'Stavební rozpočet'!J192</f>
        <v>0</v>
      </c>
      <c r="F36" s="2">
        <f>'Stavební rozpočet'!K192</f>
        <v>0</v>
      </c>
      <c r="G36" s="2">
        <f>'Stavební rozpočet'!L192</f>
        <v>0</v>
      </c>
      <c r="H36" s="43" t="s">
        <v>1170</v>
      </c>
      <c r="I36" s="2">
        <f t="shared" si="0"/>
        <v>0</v>
      </c>
    </row>
    <row r="37" spans="1:9" ht="15" customHeight="1">
      <c r="A37" s="15" t="s">
        <v>255</v>
      </c>
      <c r="B37" s="14" t="s">
        <v>790</v>
      </c>
      <c r="C37" s="58" t="s">
        <v>427</v>
      </c>
      <c r="D37" s="58"/>
      <c r="E37" s="2">
        <f>'Stavební rozpočet'!J195</f>
        <v>0</v>
      </c>
      <c r="F37" s="2">
        <f>'Stavební rozpočet'!K195</f>
        <v>0</v>
      </c>
      <c r="G37" s="2">
        <f>'Stavební rozpočet'!L195</f>
        <v>0</v>
      </c>
      <c r="H37" s="43" t="s">
        <v>1170</v>
      </c>
      <c r="I37" s="2">
        <f t="shared" si="0"/>
        <v>0</v>
      </c>
    </row>
    <row r="38" spans="1:9" ht="15" customHeight="1">
      <c r="A38" s="15" t="s">
        <v>255</v>
      </c>
      <c r="B38" s="14" t="s">
        <v>69</v>
      </c>
      <c r="C38" s="58" t="s">
        <v>1350</v>
      </c>
      <c r="D38" s="58"/>
      <c r="E38" s="2">
        <f>'Stavební rozpočet'!J197</f>
        <v>0</v>
      </c>
      <c r="F38" s="2">
        <f>'Stavební rozpočet'!K197</f>
        <v>0</v>
      </c>
      <c r="G38" s="2">
        <f>'Stavební rozpočet'!L197</f>
        <v>0</v>
      </c>
      <c r="H38" s="43" t="s">
        <v>1170</v>
      </c>
      <c r="I38" s="2">
        <f t="shared" si="0"/>
        <v>0</v>
      </c>
    </row>
    <row r="39" spans="1:9" ht="15" customHeight="1">
      <c r="A39" s="15" t="s">
        <v>255</v>
      </c>
      <c r="B39" s="14" t="s">
        <v>973</v>
      </c>
      <c r="C39" s="58" t="s">
        <v>1038</v>
      </c>
      <c r="D39" s="58"/>
      <c r="E39" s="2">
        <f>'Stavební rozpočet'!J212</f>
        <v>0</v>
      </c>
      <c r="F39" s="2">
        <f>'Stavební rozpočet'!K212</f>
        <v>0</v>
      </c>
      <c r="G39" s="2">
        <f>'Stavební rozpočet'!L212</f>
        <v>0</v>
      </c>
      <c r="H39" s="43" t="s">
        <v>1170</v>
      </c>
      <c r="I39" s="2">
        <f t="shared" si="0"/>
        <v>0</v>
      </c>
    </row>
    <row r="40" spans="1:9" ht="15" customHeight="1">
      <c r="A40" s="15" t="s">
        <v>255</v>
      </c>
      <c r="B40" s="14" t="s">
        <v>780</v>
      </c>
      <c r="C40" s="58" t="s">
        <v>1366</v>
      </c>
      <c r="D40" s="58"/>
      <c r="E40" s="2">
        <f>'Stavební rozpočet'!J227</f>
        <v>0</v>
      </c>
      <c r="F40" s="2">
        <f>'Stavební rozpočet'!K227</f>
        <v>0</v>
      </c>
      <c r="G40" s="2">
        <f>'Stavební rozpočet'!L227</f>
        <v>0</v>
      </c>
      <c r="H40" s="43" t="s">
        <v>1170</v>
      </c>
      <c r="I40" s="2">
        <f t="shared" si="0"/>
        <v>0</v>
      </c>
    </row>
    <row r="41" spans="1:9" ht="15" customHeight="1">
      <c r="A41" s="15" t="s">
        <v>255</v>
      </c>
      <c r="B41" s="14" t="s">
        <v>1089</v>
      </c>
      <c r="C41" s="58" t="s">
        <v>752</v>
      </c>
      <c r="D41" s="58"/>
      <c r="E41" s="2">
        <f>'Stavební rozpočet'!J250</f>
        <v>0</v>
      </c>
      <c r="F41" s="2">
        <f>'Stavební rozpočet'!K250</f>
        <v>0</v>
      </c>
      <c r="G41" s="2">
        <f>'Stavební rozpočet'!L250</f>
        <v>0</v>
      </c>
      <c r="H41" s="43" t="s">
        <v>1170</v>
      </c>
      <c r="I41" s="2">
        <f t="shared" si="0"/>
        <v>0</v>
      </c>
    </row>
    <row r="42" spans="1:9" ht="15" customHeight="1">
      <c r="A42" s="15" t="s">
        <v>255</v>
      </c>
      <c r="B42" s="14" t="s">
        <v>1166</v>
      </c>
      <c r="C42" s="58" t="s">
        <v>726</v>
      </c>
      <c r="D42" s="58"/>
      <c r="E42" s="2">
        <f>'Stavební rozpočet'!J289</f>
        <v>0</v>
      </c>
      <c r="F42" s="2">
        <f>'Stavební rozpočet'!K289</f>
        <v>0</v>
      </c>
      <c r="G42" s="2">
        <f>'Stavební rozpočet'!L289</f>
        <v>0</v>
      </c>
      <c r="H42" s="43" t="s">
        <v>1170</v>
      </c>
      <c r="I42" s="2">
        <f t="shared" si="0"/>
        <v>0</v>
      </c>
    </row>
    <row r="43" spans="1:9" ht="15" customHeight="1">
      <c r="A43" s="15" t="s">
        <v>255</v>
      </c>
      <c r="B43" s="14" t="s">
        <v>690</v>
      </c>
      <c r="C43" s="58" t="s">
        <v>1277</v>
      </c>
      <c r="D43" s="58"/>
      <c r="E43" s="2">
        <f>'Stavební rozpočet'!J300</f>
        <v>0</v>
      </c>
      <c r="F43" s="2">
        <f>'Stavební rozpočet'!K300</f>
        <v>0</v>
      </c>
      <c r="G43" s="2">
        <f>'Stavební rozpočet'!L300</f>
        <v>0</v>
      </c>
      <c r="H43" s="43" t="s">
        <v>1170</v>
      </c>
      <c r="I43" s="2">
        <f aca="true" t="shared" si="1" ref="I43:I74">IF(H43="F",0,G43)</f>
        <v>0</v>
      </c>
    </row>
    <row r="44" spans="1:9" ht="15" customHeight="1">
      <c r="A44" s="15" t="s">
        <v>255</v>
      </c>
      <c r="B44" s="14" t="s">
        <v>487</v>
      </c>
      <c r="C44" s="58" t="s">
        <v>552</v>
      </c>
      <c r="D44" s="58"/>
      <c r="E44" s="2">
        <f>'Stavební rozpočet'!J306</f>
        <v>0</v>
      </c>
      <c r="F44" s="2">
        <f>'Stavební rozpočet'!K306</f>
        <v>0</v>
      </c>
      <c r="G44" s="2">
        <f>'Stavební rozpočet'!L306</f>
        <v>0</v>
      </c>
      <c r="H44" s="43" t="s">
        <v>1170</v>
      </c>
      <c r="I44" s="2">
        <f t="shared" si="1"/>
        <v>0</v>
      </c>
    </row>
    <row r="45" spans="1:9" ht="15" customHeight="1">
      <c r="A45" s="15" t="s">
        <v>255</v>
      </c>
      <c r="B45" s="14" t="s">
        <v>806</v>
      </c>
      <c r="C45" s="58" t="s">
        <v>1213</v>
      </c>
      <c r="D45" s="58"/>
      <c r="E45" s="2">
        <f>'Stavební rozpočet'!J316</f>
        <v>0</v>
      </c>
      <c r="F45" s="2">
        <f>'Stavební rozpočet'!K316</f>
        <v>0</v>
      </c>
      <c r="G45" s="2">
        <f>'Stavební rozpočet'!L316</f>
        <v>0</v>
      </c>
      <c r="H45" s="43" t="s">
        <v>1170</v>
      </c>
      <c r="I45" s="2">
        <f t="shared" si="1"/>
        <v>0</v>
      </c>
    </row>
    <row r="46" spans="1:9" ht="15" customHeight="1">
      <c r="A46" s="15" t="s">
        <v>255</v>
      </c>
      <c r="B46" s="14" t="s">
        <v>1245</v>
      </c>
      <c r="C46" s="58" t="s">
        <v>1014</v>
      </c>
      <c r="D46" s="58"/>
      <c r="E46" s="2">
        <f>'Stavební rozpočet'!J319</f>
        <v>0</v>
      </c>
      <c r="F46" s="2">
        <f>'Stavební rozpočet'!K319</f>
        <v>0</v>
      </c>
      <c r="G46" s="2">
        <f>'Stavební rozpočet'!L319</f>
        <v>0</v>
      </c>
      <c r="H46" s="43" t="s">
        <v>1170</v>
      </c>
      <c r="I46" s="2">
        <f t="shared" si="1"/>
        <v>0</v>
      </c>
    </row>
    <row r="47" spans="1:9" ht="15" customHeight="1">
      <c r="A47" s="15" t="s">
        <v>255</v>
      </c>
      <c r="B47" s="14" t="s">
        <v>1252</v>
      </c>
      <c r="C47" s="58" t="s">
        <v>905</v>
      </c>
      <c r="D47" s="58"/>
      <c r="E47" s="2">
        <f>'Stavební rozpočet'!J328</f>
        <v>0</v>
      </c>
      <c r="F47" s="2">
        <f>'Stavební rozpočet'!K328</f>
        <v>0</v>
      </c>
      <c r="G47" s="2">
        <f>'Stavební rozpočet'!L328</f>
        <v>0</v>
      </c>
      <c r="H47" s="43" t="s">
        <v>1170</v>
      </c>
      <c r="I47" s="2">
        <f t="shared" si="1"/>
        <v>0</v>
      </c>
    </row>
    <row r="48" spans="1:9" ht="15" customHeight="1">
      <c r="A48" s="15" t="s">
        <v>255</v>
      </c>
      <c r="B48" s="14" t="s">
        <v>494</v>
      </c>
      <c r="C48" s="58" t="s">
        <v>1326</v>
      </c>
      <c r="D48" s="58"/>
      <c r="E48" s="2">
        <f>'Stavební rozpočet'!J331</f>
        <v>0</v>
      </c>
      <c r="F48" s="2">
        <f>'Stavební rozpočet'!K331</f>
        <v>0</v>
      </c>
      <c r="G48" s="2">
        <f>'Stavební rozpočet'!L331</f>
        <v>0</v>
      </c>
      <c r="H48" s="43" t="s">
        <v>1170</v>
      </c>
      <c r="I48" s="2">
        <f t="shared" si="1"/>
        <v>0</v>
      </c>
    </row>
    <row r="49" spans="1:9" ht="15" customHeight="1">
      <c r="A49" s="15" t="s">
        <v>255</v>
      </c>
      <c r="B49" s="14" t="s">
        <v>760</v>
      </c>
      <c r="C49" s="58" t="s">
        <v>1281</v>
      </c>
      <c r="D49" s="58"/>
      <c r="E49" s="2">
        <f>'Stavební rozpočet'!J334</f>
        <v>0</v>
      </c>
      <c r="F49" s="2">
        <f>'Stavební rozpočet'!K334</f>
        <v>0</v>
      </c>
      <c r="G49" s="2">
        <f>'Stavební rozpočet'!L334</f>
        <v>0</v>
      </c>
      <c r="H49" s="43" t="s">
        <v>1170</v>
      </c>
      <c r="I49" s="2">
        <f t="shared" si="1"/>
        <v>0</v>
      </c>
    </row>
    <row r="50" spans="1:9" ht="15" customHeight="1">
      <c r="A50" s="15" t="s">
        <v>255</v>
      </c>
      <c r="B50" s="14" t="s">
        <v>94</v>
      </c>
      <c r="C50" s="58" t="s">
        <v>185</v>
      </c>
      <c r="D50" s="58"/>
      <c r="E50" s="2">
        <f>'Stavební rozpočet'!J359</f>
        <v>0</v>
      </c>
      <c r="F50" s="2">
        <f>'Stavební rozpočet'!K359</f>
        <v>0</v>
      </c>
      <c r="G50" s="2">
        <f>'Stavební rozpočet'!L359</f>
        <v>0</v>
      </c>
      <c r="H50" s="43" t="s">
        <v>1170</v>
      </c>
      <c r="I50" s="2">
        <f t="shared" si="1"/>
        <v>0</v>
      </c>
    </row>
    <row r="51" spans="1:9" ht="15" customHeight="1">
      <c r="A51" s="15" t="s">
        <v>255</v>
      </c>
      <c r="B51" s="14" t="s">
        <v>364</v>
      </c>
      <c r="C51" s="58" t="s">
        <v>1042</v>
      </c>
      <c r="D51" s="58"/>
      <c r="E51" s="2">
        <f>'Stavební rozpočet'!J377</f>
        <v>0</v>
      </c>
      <c r="F51" s="2">
        <f>'Stavební rozpočet'!K377</f>
        <v>0</v>
      </c>
      <c r="G51" s="2">
        <f>'Stavební rozpočet'!L377</f>
        <v>0</v>
      </c>
      <c r="H51" s="43" t="s">
        <v>1170</v>
      </c>
      <c r="I51" s="2">
        <f t="shared" si="1"/>
        <v>0</v>
      </c>
    </row>
    <row r="52" spans="1:9" ht="15" customHeight="1">
      <c r="A52" s="15" t="s">
        <v>255</v>
      </c>
      <c r="B52" s="14" t="s">
        <v>524</v>
      </c>
      <c r="C52" s="58" t="s">
        <v>595</v>
      </c>
      <c r="D52" s="58"/>
      <c r="E52" s="2">
        <f>'Stavební rozpočet'!J381</f>
        <v>0</v>
      </c>
      <c r="F52" s="2">
        <f>'Stavební rozpočet'!K381</f>
        <v>0</v>
      </c>
      <c r="G52" s="2">
        <f>'Stavební rozpočet'!L381</f>
        <v>0</v>
      </c>
      <c r="H52" s="43" t="s">
        <v>1170</v>
      </c>
      <c r="I52" s="2">
        <f t="shared" si="1"/>
        <v>0</v>
      </c>
    </row>
    <row r="53" spans="1:9" ht="15" customHeight="1">
      <c r="A53" s="15" t="s">
        <v>255</v>
      </c>
      <c r="B53" s="14" t="s">
        <v>570</v>
      </c>
      <c r="C53" s="58" t="s">
        <v>400</v>
      </c>
      <c r="D53" s="58"/>
      <c r="E53" s="2">
        <f>'Stavební rozpočet'!J418</f>
        <v>0</v>
      </c>
      <c r="F53" s="2">
        <f>'Stavební rozpočet'!K418</f>
        <v>0</v>
      </c>
      <c r="G53" s="2">
        <f>'Stavební rozpočet'!L418</f>
        <v>0</v>
      </c>
      <c r="H53" s="43" t="s">
        <v>1170</v>
      </c>
      <c r="I53" s="2">
        <f t="shared" si="1"/>
        <v>0</v>
      </c>
    </row>
    <row r="54" spans="1:9" ht="15" customHeight="1">
      <c r="A54" s="15" t="s">
        <v>255</v>
      </c>
      <c r="B54" s="14" t="s">
        <v>1324</v>
      </c>
      <c r="C54" s="58" t="s">
        <v>1060</v>
      </c>
      <c r="D54" s="58"/>
      <c r="E54" s="2">
        <f>'Stavební rozpočet'!J424</f>
        <v>0</v>
      </c>
      <c r="F54" s="2">
        <f>'Stavební rozpočet'!K424</f>
        <v>0</v>
      </c>
      <c r="G54" s="2">
        <f>'Stavební rozpočet'!L424</f>
        <v>0</v>
      </c>
      <c r="H54" s="43" t="s">
        <v>1170</v>
      </c>
      <c r="I54" s="2">
        <f t="shared" si="1"/>
        <v>0</v>
      </c>
    </row>
    <row r="55" spans="1:9" ht="15" customHeight="1">
      <c r="A55" s="15" t="s">
        <v>255</v>
      </c>
      <c r="B55" s="14" t="s">
        <v>471</v>
      </c>
      <c r="C55" s="58" t="s">
        <v>164</v>
      </c>
      <c r="D55" s="58"/>
      <c r="E55" s="2">
        <f>'Stavební rozpočet'!J435</f>
        <v>0</v>
      </c>
      <c r="F55" s="2">
        <f>'Stavební rozpočet'!K435</f>
        <v>0</v>
      </c>
      <c r="G55" s="2">
        <f>'Stavební rozpočet'!L435</f>
        <v>0</v>
      </c>
      <c r="H55" s="43" t="s">
        <v>1170</v>
      </c>
      <c r="I55" s="2">
        <f t="shared" si="1"/>
        <v>0</v>
      </c>
    </row>
    <row r="56" spans="1:9" ht="15" customHeight="1">
      <c r="A56" s="15" t="s">
        <v>255</v>
      </c>
      <c r="B56" s="14" t="s">
        <v>971</v>
      </c>
      <c r="C56" s="58" t="s">
        <v>548</v>
      </c>
      <c r="D56" s="58"/>
      <c r="E56" s="2">
        <f>'Stavební rozpočet'!J440</f>
        <v>0</v>
      </c>
      <c r="F56" s="2">
        <f>'Stavební rozpočet'!K440</f>
        <v>0</v>
      </c>
      <c r="G56" s="2">
        <f>'Stavební rozpočet'!L440</f>
        <v>0</v>
      </c>
      <c r="H56" s="43" t="s">
        <v>1170</v>
      </c>
      <c r="I56" s="2">
        <f t="shared" si="1"/>
        <v>0</v>
      </c>
    </row>
    <row r="57" spans="1:9" ht="15" customHeight="1">
      <c r="A57" s="15" t="s">
        <v>255</v>
      </c>
      <c r="B57" s="14" t="s">
        <v>704</v>
      </c>
      <c r="C57" s="58" t="s">
        <v>961</v>
      </c>
      <c r="D57" s="58"/>
      <c r="E57" s="2">
        <f>'Stavební rozpočet'!J455</f>
        <v>0</v>
      </c>
      <c r="F57" s="2">
        <f>'Stavební rozpočet'!K455</f>
        <v>0</v>
      </c>
      <c r="G57" s="2">
        <f>'Stavební rozpočet'!L455</f>
        <v>0</v>
      </c>
      <c r="H57" s="43" t="s">
        <v>1170</v>
      </c>
      <c r="I57" s="2">
        <f t="shared" si="1"/>
        <v>0</v>
      </c>
    </row>
    <row r="58" spans="1:9" ht="15" customHeight="1">
      <c r="A58" s="15" t="s">
        <v>255</v>
      </c>
      <c r="B58" s="14" t="s">
        <v>680</v>
      </c>
      <c r="C58" s="58" t="s">
        <v>27</v>
      </c>
      <c r="D58" s="58"/>
      <c r="E58" s="2">
        <f>'Stavební rozpočet'!J460</f>
        <v>0</v>
      </c>
      <c r="F58" s="2">
        <f>'Stavební rozpočet'!K460</f>
        <v>0</v>
      </c>
      <c r="G58" s="2">
        <f>'Stavební rozpočet'!L460</f>
        <v>0</v>
      </c>
      <c r="H58" s="43" t="s">
        <v>1170</v>
      </c>
      <c r="I58" s="2">
        <f t="shared" si="1"/>
        <v>0</v>
      </c>
    </row>
    <row r="59" spans="1:9" ht="15" customHeight="1">
      <c r="A59" s="15" t="s">
        <v>255</v>
      </c>
      <c r="B59" s="14" t="s">
        <v>1288</v>
      </c>
      <c r="C59" s="58" t="s">
        <v>418</v>
      </c>
      <c r="D59" s="58"/>
      <c r="E59" s="2">
        <f>'Stavební rozpočet'!J468</f>
        <v>0</v>
      </c>
      <c r="F59" s="2">
        <f>'Stavební rozpočet'!K468</f>
        <v>0</v>
      </c>
      <c r="G59" s="2">
        <f>'Stavební rozpočet'!L468</f>
        <v>0</v>
      </c>
      <c r="H59" s="43" t="s">
        <v>1170</v>
      </c>
      <c r="I59" s="2">
        <f t="shared" si="1"/>
        <v>0</v>
      </c>
    </row>
    <row r="60" spans="1:9" ht="15" customHeight="1">
      <c r="A60" s="15" t="s">
        <v>255</v>
      </c>
      <c r="B60" s="14" t="s">
        <v>200</v>
      </c>
      <c r="C60" s="58" t="s">
        <v>921</v>
      </c>
      <c r="D60" s="58"/>
      <c r="E60" s="2">
        <f>'Stavební rozpočet'!J470</f>
        <v>0</v>
      </c>
      <c r="F60" s="2">
        <f>'Stavební rozpočet'!K470</f>
        <v>0</v>
      </c>
      <c r="G60" s="2">
        <f>'Stavební rozpočet'!L470</f>
        <v>0</v>
      </c>
      <c r="H60" s="43" t="s">
        <v>1170</v>
      </c>
      <c r="I60" s="2">
        <f t="shared" si="1"/>
        <v>0</v>
      </c>
    </row>
    <row r="61" spans="1:9" ht="15" customHeight="1">
      <c r="A61" s="15" t="s">
        <v>533</v>
      </c>
      <c r="B61" s="14" t="s">
        <v>844</v>
      </c>
      <c r="C61" s="58" t="s">
        <v>557</v>
      </c>
      <c r="D61" s="58"/>
      <c r="E61" s="2">
        <f>'Stavební rozpočet'!J478</f>
        <v>0</v>
      </c>
      <c r="F61" s="2">
        <f>'Stavební rozpočet'!K478</f>
        <v>0</v>
      </c>
      <c r="G61" s="2">
        <f>'Stavební rozpočet'!L478</f>
        <v>0</v>
      </c>
      <c r="H61" s="43" t="s">
        <v>561</v>
      </c>
      <c r="I61" s="2">
        <f t="shared" si="1"/>
        <v>0</v>
      </c>
    </row>
    <row r="62" spans="1:9" ht="15" customHeight="1">
      <c r="A62" s="15" t="s">
        <v>533</v>
      </c>
      <c r="B62" s="14" t="s">
        <v>388</v>
      </c>
      <c r="C62" s="58" t="s">
        <v>9</v>
      </c>
      <c r="D62" s="58"/>
      <c r="E62" s="2">
        <f>'Stavební rozpočet'!J479</f>
        <v>0</v>
      </c>
      <c r="F62" s="2">
        <f>'Stavební rozpočet'!K479</f>
        <v>0</v>
      </c>
      <c r="G62" s="2">
        <f>'Stavební rozpočet'!L479</f>
        <v>0</v>
      </c>
      <c r="H62" s="43" t="s">
        <v>1170</v>
      </c>
      <c r="I62" s="2">
        <f t="shared" si="1"/>
        <v>0</v>
      </c>
    </row>
    <row r="63" spans="1:9" ht="15" customHeight="1">
      <c r="A63" s="15" t="s">
        <v>533</v>
      </c>
      <c r="B63" s="14" t="s">
        <v>849</v>
      </c>
      <c r="C63" s="58" t="s">
        <v>182</v>
      </c>
      <c r="D63" s="58"/>
      <c r="E63" s="2">
        <f>'Stavební rozpočet'!J483</f>
        <v>0</v>
      </c>
      <c r="F63" s="2">
        <f>'Stavební rozpočet'!K483</f>
        <v>0</v>
      </c>
      <c r="G63" s="2">
        <f>'Stavební rozpočet'!L483</f>
        <v>0</v>
      </c>
      <c r="H63" s="43" t="s">
        <v>1170</v>
      </c>
      <c r="I63" s="2">
        <f t="shared" si="1"/>
        <v>0</v>
      </c>
    </row>
    <row r="64" spans="1:9" ht="15" customHeight="1">
      <c r="A64" s="15" t="s">
        <v>533</v>
      </c>
      <c r="B64" s="14" t="s">
        <v>859</v>
      </c>
      <c r="C64" s="58" t="s">
        <v>445</v>
      </c>
      <c r="D64" s="58"/>
      <c r="E64" s="2">
        <f>'Stavební rozpočet'!J486</f>
        <v>0</v>
      </c>
      <c r="F64" s="2">
        <f>'Stavební rozpočet'!K486</f>
        <v>0</v>
      </c>
      <c r="G64" s="2">
        <f>'Stavební rozpočet'!L486</f>
        <v>0</v>
      </c>
      <c r="H64" s="43" t="s">
        <v>1170</v>
      </c>
      <c r="I64" s="2">
        <f t="shared" si="1"/>
        <v>0</v>
      </c>
    </row>
    <row r="65" spans="1:9" ht="15" customHeight="1">
      <c r="A65" s="15" t="s">
        <v>533</v>
      </c>
      <c r="B65" s="14" t="s">
        <v>426</v>
      </c>
      <c r="C65" s="58" t="s">
        <v>498</v>
      </c>
      <c r="D65" s="58"/>
      <c r="E65" s="2">
        <f>'Stavební rozpočet'!J488</f>
        <v>0</v>
      </c>
      <c r="F65" s="2">
        <f>'Stavební rozpočet'!K488</f>
        <v>0</v>
      </c>
      <c r="G65" s="2">
        <f>'Stavební rozpočet'!L488</f>
        <v>0</v>
      </c>
      <c r="H65" s="43" t="s">
        <v>1170</v>
      </c>
      <c r="I65" s="2">
        <f t="shared" si="1"/>
        <v>0</v>
      </c>
    </row>
    <row r="66" spans="1:9" ht="15" customHeight="1">
      <c r="A66" s="15" t="s">
        <v>533</v>
      </c>
      <c r="B66" s="14" t="s">
        <v>768</v>
      </c>
      <c r="C66" s="58" t="s">
        <v>811</v>
      </c>
      <c r="D66" s="58"/>
      <c r="E66" s="2">
        <f>'Stavební rozpočet'!J491</f>
        <v>0</v>
      </c>
      <c r="F66" s="2">
        <f>'Stavební rozpočet'!K491</f>
        <v>0</v>
      </c>
      <c r="G66" s="2">
        <f>'Stavební rozpočet'!L491</f>
        <v>0</v>
      </c>
      <c r="H66" s="43" t="s">
        <v>1170</v>
      </c>
      <c r="I66" s="2">
        <f t="shared" si="1"/>
        <v>0</v>
      </c>
    </row>
    <row r="67" spans="1:9" ht="15" customHeight="1">
      <c r="A67" s="15" t="s">
        <v>533</v>
      </c>
      <c r="B67" s="14" t="s">
        <v>1134</v>
      </c>
      <c r="C67" s="58" t="s">
        <v>633</v>
      </c>
      <c r="D67" s="58"/>
      <c r="E67" s="2">
        <f>'Stavební rozpočet'!J497</f>
        <v>0</v>
      </c>
      <c r="F67" s="2">
        <f>'Stavební rozpočet'!K497</f>
        <v>0</v>
      </c>
      <c r="G67" s="2">
        <f>'Stavební rozpočet'!L497</f>
        <v>0</v>
      </c>
      <c r="H67" s="43" t="s">
        <v>1170</v>
      </c>
      <c r="I67" s="2">
        <f t="shared" si="1"/>
        <v>0</v>
      </c>
    </row>
    <row r="68" spans="1:9" ht="15" customHeight="1">
      <c r="A68" s="15" t="s">
        <v>533</v>
      </c>
      <c r="B68" s="14" t="s">
        <v>574</v>
      </c>
      <c r="C68" s="58" t="s">
        <v>1127</v>
      </c>
      <c r="D68" s="58"/>
      <c r="E68" s="2">
        <f>'Stavební rozpočet'!J499</f>
        <v>0</v>
      </c>
      <c r="F68" s="2">
        <f>'Stavební rozpočet'!K499</f>
        <v>0</v>
      </c>
      <c r="G68" s="2">
        <f>'Stavební rozpočet'!L499</f>
        <v>0</v>
      </c>
      <c r="H68" s="43" t="s">
        <v>1170</v>
      </c>
      <c r="I68" s="2">
        <f t="shared" si="1"/>
        <v>0</v>
      </c>
    </row>
    <row r="69" spans="1:9" ht="15" customHeight="1">
      <c r="A69" s="15" t="s">
        <v>533</v>
      </c>
      <c r="B69" s="14" t="s">
        <v>296</v>
      </c>
      <c r="C69" s="58" t="s">
        <v>1228</v>
      </c>
      <c r="D69" s="58"/>
      <c r="E69" s="2">
        <f>'Stavební rozpočet'!J512</f>
        <v>0</v>
      </c>
      <c r="F69" s="2">
        <f>'Stavební rozpočet'!K512</f>
        <v>0</v>
      </c>
      <c r="G69" s="2">
        <f>'Stavební rozpočet'!L512</f>
        <v>0</v>
      </c>
      <c r="H69" s="43" t="s">
        <v>1170</v>
      </c>
      <c r="I69" s="2">
        <f t="shared" si="1"/>
        <v>0</v>
      </c>
    </row>
    <row r="70" spans="1:9" ht="15" customHeight="1">
      <c r="A70" s="15" t="s">
        <v>533</v>
      </c>
      <c r="B70" s="14" t="s">
        <v>1236</v>
      </c>
      <c r="C70" s="58" t="s">
        <v>216</v>
      </c>
      <c r="D70" s="58"/>
      <c r="E70" s="2">
        <f>'Stavební rozpočet'!J515</f>
        <v>0</v>
      </c>
      <c r="F70" s="2">
        <f>'Stavební rozpočet'!K515</f>
        <v>0</v>
      </c>
      <c r="G70" s="2">
        <f>'Stavební rozpočet'!L515</f>
        <v>0</v>
      </c>
      <c r="H70" s="43" t="s">
        <v>1170</v>
      </c>
      <c r="I70" s="2">
        <f t="shared" si="1"/>
        <v>0</v>
      </c>
    </row>
    <row r="71" spans="1:9" ht="15" customHeight="1">
      <c r="A71" s="15" t="s">
        <v>533</v>
      </c>
      <c r="B71" s="14" t="s">
        <v>50</v>
      </c>
      <c r="C71" s="58" t="s">
        <v>464</v>
      </c>
      <c r="D71" s="58"/>
      <c r="E71" s="2">
        <f>'Stavební rozpočet'!J524</f>
        <v>0</v>
      </c>
      <c r="F71" s="2">
        <f>'Stavební rozpočet'!K524</f>
        <v>0</v>
      </c>
      <c r="G71" s="2">
        <f>'Stavební rozpočet'!L524</f>
        <v>0</v>
      </c>
      <c r="H71" s="43" t="s">
        <v>1170</v>
      </c>
      <c r="I71" s="2">
        <f t="shared" si="1"/>
        <v>0</v>
      </c>
    </row>
    <row r="72" spans="1:9" ht="15" customHeight="1">
      <c r="A72" s="15" t="s">
        <v>533</v>
      </c>
      <c r="B72" s="14" t="s">
        <v>889</v>
      </c>
      <c r="C72" s="58" t="s">
        <v>732</v>
      </c>
      <c r="D72" s="58"/>
      <c r="E72" s="2">
        <f>'Stavební rozpočet'!J527</f>
        <v>0</v>
      </c>
      <c r="F72" s="2">
        <f>'Stavební rozpočet'!K527</f>
        <v>0</v>
      </c>
      <c r="G72" s="2">
        <f>'Stavební rozpočet'!L527</f>
        <v>0</v>
      </c>
      <c r="H72" s="43" t="s">
        <v>1170</v>
      </c>
      <c r="I72" s="2">
        <f t="shared" si="1"/>
        <v>0</v>
      </c>
    </row>
    <row r="73" spans="1:9" ht="15" customHeight="1">
      <c r="A73" s="15" t="s">
        <v>556</v>
      </c>
      <c r="B73" s="14" t="s">
        <v>844</v>
      </c>
      <c r="C73" s="58" t="s">
        <v>1000</v>
      </c>
      <c r="D73" s="58"/>
      <c r="E73" s="2">
        <f>'Stavební rozpočet'!J529</f>
        <v>0</v>
      </c>
      <c r="F73" s="2">
        <f>'Stavební rozpočet'!K529</f>
        <v>0</v>
      </c>
      <c r="G73" s="2">
        <f>'Stavební rozpočet'!L529</f>
        <v>0</v>
      </c>
      <c r="H73" s="43" t="s">
        <v>561</v>
      </c>
      <c r="I73" s="2">
        <f t="shared" si="1"/>
        <v>0</v>
      </c>
    </row>
    <row r="74" spans="1:9" ht="15" customHeight="1">
      <c r="A74" s="15" t="s">
        <v>556</v>
      </c>
      <c r="B74" s="14" t="s">
        <v>891</v>
      </c>
      <c r="C74" s="58" t="s">
        <v>321</v>
      </c>
      <c r="D74" s="58"/>
      <c r="E74" s="2">
        <f>'Stavební rozpočet'!J530</f>
        <v>0</v>
      </c>
      <c r="F74" s="2">
        <f>'Stavební rozpočet'!K530</f>
        <v>0</v>
      </c>
      <c r="G74" s="2">
        <f>'Stavební rozpočet'!L530</f>
        <v>0</v>
      </c>
      <c r="H74" s="43" t="s">
        <v>1170</v>
      </c>
      <c r="I74" s="2">
        <f t="shared" si="1"/>
        <v>0</v>
      </c>
    </row>
    <row r="75" spans="1:9" ht="15" customHeight="1">
      <c r="A75" s="15" t="s">
        <v>556</v>
      </c>
      <c r="B75" s="14" t="s">
        <v>388</v>
      </c>
      <c r="C75" s="58" t="s">
        <v>9</v>
      </c>
      <c r="D75" s="58"/>
      <c r="E75" s="2">
        <f>'Stavební rozpočet'!J533</f>
        <v>0</v>
      </c>
      <c r="F75" s="2">
        <f>'Stavební rozpočet'!K533</f>
        <v>0</v>
      </c>
      <c r="G75" s="2">
        <f>'Stavební rozpočet'!L533</f>
        <v>0</v>
      </c>
      <c r="H75" s="43" t="s">
        <v>1170</v>
      </c>
      <c r="I75" s="2">
        <f>IF(H75="F",0,G75)</f>
        <v>0</v>
      </c>
    </row>
    <row r="76" spans="1:9" ht="15" customHeight="1">
      <c r="A76" s="15" t="s">
        <v>556</v>
      </c>
      <c r="B76" s="14" t="s">
        <v>1182</v>
      </c>
      <c r="C76" s="58" t="s">
        <v>989</v>
      </c>
      <c r="D76" s="58"/>
      <c r="E76" s="2">
        <f>'Stavební rozpočet'!J537</f>
        <v>0</v>
      </c>
      <c r="F76" s="2">
        <f>'Stavební rozpočet'!K537</f>
        <v>0</v>
      </c>
      <c r="G76" s="2">
        <f>'Stavební rozpočet'!L537</f>
        <v>0</v>
      </c>
      <c r="H76" s="43" t="s">
        <v>1170</v>
      </c>
      <c r="I76" s="2">
        <f>IF(H76="F",0,G76)</f>
        <v>0</v>
      </c>
    </row>
    <row r="77" spans="1:9" ht="15" customHeight="1">
      <c r="A77" s="15" t="s">
        <v>556</v>
      </c>
      <c r="B77" s="14" t="s">
        <v>725</v>
      </c>
      <c r="C77" s="58" t="s">
        <v>1156</v>
      </c>
      <c r="D77" s="58"/>
      <c r="E77" s="2">
        <f>'Stavební rozpočet'!J542</f>
        <v>0</v>
      </c>
      <c r="F77" s="2">
        <f>'Stavební rozpočet'!K542</f>
        <v>0</v>
      </c>
      <c r="G77" s="2">
        <f>'Stavební rozpočet'!L542</f>
        <v>0</v>
      </c>
      <c r="H77" s="43" t="s">
        <v>1170</v>
      </c>
      <c r="I77" s="2">
        <f>IF(H77="F",0,G77)</f>
        <v>0</v>
      </c>
    </row>
    <row r="78" spans="1:9" ht="15" customHeight="1">
      <c r="A78" s="15" t="s">
        <v>556</v>
      </c>
      <c r="B78" s="14" t="s">
        <v>278</v>
      </c>
      <c r="C78" s="58" t="s">
        <v>662</v>
      </c>
      <c r="D78" s="58"/>
      <c r="E78" s="2">
        <f>'Stavební rozpočet'!J546</f>
        <v>0</v>
      </c>
      <c r="F78" s="2">
        <f>'Stavební rozpočet'!K546</f>
        <v>0</v>
      </c>
      <c r="G78" s="2">
        <f>'Stavební rozpočet'!L546</f>
        <v>0</v>
      </c>
      <c r="H78" s="43" t="s">
        <v>1170</v>
      </c>
      <c r="I78" s="2">
        <f>IF(H78="F",0,G78)</f>
        <v>0</v>
      </c>
    </row>
    <row r="79" spans="1:9" ht="15" customHeight="1">
      <c r="A79" s="15" t="s">
        <v>556</v>
      </c>
      <c r="B79" s="14" t="s">
        <v>1341</v>
      </c>
      <c r="C79" s="58" t="s">
        <v>302</v>
      </c>
      <c r="D79" s="58"/>
      <c r="E79" s="2">
        <f>'Stavební rozpočet'!J554</f>
        <v>0</v>
      </c>
      <c r="F79" s="2">
        <f>'Stavební rozpočet'!K554</f>
        <v>0</v>
      </c>
      <c r="G79" s="2">
        <f>'Stavební rozpočet'!L554</f>
        <v>0</v>
      </c>
      <c r="H79" s="43" t="s">
        <v>1170</v>
      </c>
      <c r="I79" s="2">
        <f>IF(H79="F",0,G79)</f>
        <v>0</v>
      </c>
    </row>
    <row r="80" spans="1:9" ht="15" customHeight="1">
      <c r="A80" s="15" t="s">
        <v>556</v>
      </c>
      <c r="B80" s="14" t="s">
        <v>790</v>
      </c>
      <c r="C80" s="58" t="s">
        <v>427</v>
      </c>
      <c r="D80" s="58"/>
      <c r="E80" s="2">
        <f>'Stavební rozpočet'!J557</f>
        <v>0</v>
      </c>
      <c r="F80" s="2">
        <f>'Stavební rozpočet'!K557</f>
        <v>0</v>
      </c>
      <c r="G80" s="2">
        <f>'Stavební rozpočet'!L557</f>
        <v>0</v>
      </c>
      <c r="H80" s="43" t="s">
        <v>1170</v>
      </c>
      <c r="I80" s="2">
        <f>IF(H80="F",0,G80)</f>
        <v>0</v>
      </c>
    </row>
    <row r="81" spans="1:9" ht="15" customHeight="1">
      <c r="A81" s="15" t="s">
        <v>556</v>
      </c>
      <c r="B81" s="14" t="s">
        <v>570</v>
      </c>
      <c r="C81" s="58" t="s">
        <v>400</v>
      </c>
      <c r="D81" s="58"/>
      <c r="E81" s="2">
        <f>'Stavební rozpočet'!J559</f>
        <v>0</v>
      </c>
      <c r="F81" s="2">
        <f>'Stavební rozpočet'!K559</f>
        <v>0</v>
      </c>
      <c r="G81" s="2">
        <f>'Stavební rozpočet'!L559</f>
        <v>0</v>
      </c>
      <c r="H81" s="43" t="s">
        <v>1170</v>
      </c>
      <c r="I81" s="2">
        <f>IF(H81="F",0,G81)</f>
        <v>0</v>
      </c>
    </row>
    <row r="82" spans="6:7" ht="15" customHeight="1">
      <c r="F82" s="44" t="s">
        <v>957</v>
      </c>
      <c r="G82" s="10">
        <f>ROUND(SUM(I11:I81),1)</f>
        <v>0</v>
      </c>
    </row>
  </sheetData>
  <sheetProtection/>
  <mergeCells count="96"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E8:E9"/>
    <mergeCell ref="G2:G3"/>
    <mergeCell ref="G4:G5"/>
    <mergeCell ref="G6:G7"/>
    <mergeCell ref="G8:G9"/>
    <mergeCell ref="C11:D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1" t="s">
        <v>292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55" t="s">
        <v>84</v>
      </c>
      <c r="B2" s="56"/>
      <c r="C2" s="62" t="str">
        <f>'Stavební rozpočet'!C2</f>
        <v>Novostavba rodinného domu</v>
      </c>
      <c r="D2" s="63"/>
      <c r="E2" s="60" t="s">
        <v>1018</v>
      </c>
      <c r="F2" s="60" t="str">
        <f>'Stavební rozpočet'!J2</f>
        <v>Ing.Luboš Vondráček</v>
      </c>
      <c r="G2" s="56"/>
      <c r="H2" s="60" t="s">
        <v>789</v>
      </c>
      <c r="I2" s="65" t="s">
        <v>844</v>
      </c>
    </row>
    <row r="3" spans="1:9" ht="15" customHeight="1">
      <c r="A3" s="57"/>
      <c r="B3" s="58"/>
      <c r="C3" s="64"/>
      <c r="D3" s="64"/>
      <c r="E3" s="58"/>
      <c r="F3" s="58"/>
      <c r="G3" s="58"/>
      <c r="H3" s="58"/>
      <c r="I3" s="66"/>
    </row>
    <row r="4" spans="1:9" ht="15" customHeight="1">
      <c r="A4" s="59" t="s">
        <v>670</v>
      </c>
      <c r="B4" s="58"/>
      <c r="C4" s="61" t="str">
        <f>'Stavební rozpočet'!C4</f>
        <v> </v>
      </c>
      <c r="D4" s="58"/>
      <c r="E4" s="61" t="s">
        <v>839</v>
      </c>
      <c r="F4" s="61" t="str">
        <f>'Stavební rozpočet'!J4</f>
        <v>Ateliér Civilista s.r.o</v>
      </c>
      <c r="G4" s="58"/>
      <c r="H4" s="61" t="s">
        <v>789</v>
      </c>
      <c r="I4" s="66" t="s">
        <v>844</v>
      </c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66"/>
    </row>
    <row r="6" spans="1:9" ht="15" customHeight="1">
      <c r="A6" s="59" t="s">
        <v>106</v>
      </c>
      <c r="B6" s="58"/>
      <c r="C6" s="61" t="str">
        <f>'Stavební rozpočet'!C6</f>
        <v>poz.parc.č.1009/121, k.ú.Velká Dobrá</v>
      </c>
      <c r="D6" s="58"/>
      <c r="E6" s="61" t="s">
        <v>1056</v>
      </c>
      <c r="F6" s="61" t="str">
        <f>'Stavební rozpočet'!J6</f>
        <v>Dle výběrového řízení</v>
      </c>
      <c r="G6" s="58"/>
      <c r="H6" s="61" t="s">
        <v>789</v>
      </c>
      <c r="I6" s="66" t="s">
        <v>844</v>
      </c>
    </row>
    <row r="7" spans="1:9" ht="15" customHeight="1">
      <c r="A7" s="57"/>
      <c r="B7" s="58"/>
      <c r="C7" s="58"/>
      <c r="D7" s="58"/>
      <c r="E7" s="58"/>
      <c r="F7" s="58"/>
      <c r="G7" s="58"/>
      <c r="H7" s="58"/>
      <c r="I7" s="66"/>
    </row>
    <row r="8" spans="1:9" ht="15" customHeight="1">
      <c r="A8" s="59" t="s">
        <v>1070</v>
      </c>
      <c r="B8" s="58"/>
      <c r="C8" s="61" t="str">
        <f>'Stavební rozpočet'!G4</f>
        <v> </v>
      </c>
      <c r="D8" s="58"/>
      <c r="E8" s="61" t="s">
        <v>416</v>
      </c>
      <c r="F8" s="61" t="str">
        <f>'Stavební rozpočet'!G6</f>
        <v> </v>
      </c>
      <c r="G8" s="58"/>
      <c r="H8" s="58" t="s">
        <v>1225</v>
      </c>
      <c r="I8" s="83">
        <v>352</v>
      </c>
    </row>
    <row r="9" spans="1:9" ht="15" customHeight="1">
      <c r="A9" s="57"/>
      <c r="B9" s="58"/>
      <c r="C9" s="58"/>
      <c r="D9" s="58"/>
      <c r="E9" s="58"/>
      <c r="F9" s="58"/>
      <c r="G9" s="58"/>
      <c r="H9" s="58"/>
      <c r="I9" s="66"/>
    </row>
    <row r="10" spans="1:9" ht="15" customHeight="1">
      <c r="A10" s="59" t="s">
        <v>608</v>
      </c>
      <c r="B10" s="58"/>
      <c r="C10" s="61" t="str">
        <f>'Stavební rozpočet'!C8</f>
        <v> </v>
      </c>
      <c r="D10" s="58"/>
      <c r="E10" s="61" t="s">
        <v>805</v>
      </c>
      <c r="F10" s="61" t="str">
        <f>'Stavební rozpočet'!J8</f>
        <v> </v>
      </c>
      <c r="G10" s="58"/>
      <c r="H10" s="58" t="s">
        <v>1174</v>
      </c>
      <c r="I10" s="80" t="str">
        <f>'Stavební rozpočet'!G8</f>
        <v>24.03.2023</v>
      </c>
    </row>
    <row r="11" spans="1:9" ht="15" customHeight="1">
      <c r="A11" s="82"/>
      <c r="B11" s="78"/>
      <c r="C11" s="78"/>
      <c r="D11" s="78"/>
      <c r="E11" s="78"/>
      <c r="F11" s="78"/>
      <c r="G11" s="78"/>
      <c r="H11" s="78"/>
      <c r="I11" s="84"/>
    </row>
    <row r="12" spans="1:9" ht="22.5" customHeight="1">
      <c r="A12" s="85" t="s">
        <v>219</v>
      </c>
      <c r="B12" s="85"/>
      <c r="C12" s="85"/>
      <c r="D12" s="85"/>
      <c r="E12" s="85"/>
      <c r="F12" s="85"/>
      <c r="G12" s="85"/>
      <c r="H12" s="85"/>
      <c r="I12" s="85"/>
    </row>
    <row r="13" spans="1:9" ht="26.25" customHeight="1">
      <c r="A13" s="39" t="s">
        <v>1078</v>
      </c>
      <c r="B13" s="86" t="s">
        <v>165</v>
      </c>
      <c r="C13" s="87"/>
      <c r="D13" s="38" t="s">
        <v>239</v>
      </c>
      <c r="E13" s="86" t="s">
        <v>465</v>
      </c>
      <c r="F13" s="87"/>
      <c r="G13" s="38" t="s">
        <v>776</v>
      </c>
      <c r="H13" s="86" t="s">
        <v>242</v>
      </c>
      <c r="I13" s="87"/>
    </row>
    <row r="14" spans="1:9" ht="15" customHeight="1">
      <c r="A14" s="36" t="s">
        <v>478</v>
      </c>
      <c r="B14" s="26" t="s">
        <v>324</v>
      </c>
      <c r="C14" s="47">
        <f>SUM('Stavební rozpočet'!AB12:AB569)</f>
        <v>0</v>
      </c>
      <c r="D14" s="94" t="s">
        <v>868</v>
      </c>
      <c r="E14" s="95"/>
      <c r="F14" s="47">
        <v>0</v>
      </c>
      <c r="G14" s="94" t="s">
        <v>129</v>
      </c>
      <c r="H14" s="95"/>
      <c r="I14" s="50" t="s">
        <v>650</v>
      </c>
    </row>
    <row r="15" spans="1:9" ht="15" customHeight="1">
      <c r="A15" s="21" t="s">
        <v>844</v>
      </c>
      <c r="B15" s="26" t="s">
        <v>252</v>
      </c>
      <c r="C15" s="47">
        <f>SUM('Stavební rozpočet'!AC12:AC569)</f>
        <v>0</v>
      </c>
      <c r="D15" s="94" t="s">
        <v>120</v>
      </c>
      <c r="E15" s="95"/>
      <c r="F15" s="47">
        <v>0</v>
      </c>
      <c r="G15" s="94" t="s">
        <v>960</v>
      </c>
      <c r="H15" s="95"/>
      <c r="I15" s="50" t="s">
        <v>650</v>
      </c>
    </row>
    <row r="16" spans="1:9" ht="15" customHeight="1">
      <c r="A16" s="36" t="s">
        <v>114</v>
      </c>
      <c r="B16" s="26" t="s">
        <v>324</v>
      </c>
      <c r="C16" s="47">
        <f>SUM('Stavební rozpočet'!AD12:AD569)</f>
        <v>0</v>
      </c>
      <c r="D16" s="94" t="s">
        <v>896</v>
      </c>
      <c r="E16" s="95"/>
      <c r="F16" s="47">
        <v>0</v>
      </c>
      <c r="G16" s="94" t="s">
        <v>1154</v>
      </c>
      <c r="H16" s="95"/>
      <c r="I16" s="50" t="s">
        <v>650</v>
      </c>
    </row>
    <row r="17" spans="1:9" ht="15" customHeight="1">
      <c r="A17" s="21" t="s">
        <v>844</v>
      </c>
      <c r="B17" s="26" t="s">
        <v>252</v>
      </c>
      <c r="C17" s="47">
        <f>SUM('Stavební rozpočet'!AE12:AE569)</f>
        <v>0</v>
      </c>
      <c r="D17" s="94" t="s">
        <v>844</v>
      </c>
      <c r="E17" s="95"/>
      <c r="F17" s="50" t="s">
        <v>844</v>
      </c>
      <c r="G17" s="94" t="s">
        <v>654</v>
      </c>
      <c r="H17" s="95"/>
      <c r="I17" s="50" t="s">
        <v>650</v>
      </c>
    </row>
    <row r="18" spans="1:9" ht="15" customHeight="1">
      <c r="A18" s="36" t="s">
        <v>399</v>
      </c>
      <c r="B18" s="26" t="s">
        <v>324</v>
      </c>
      <c r="C18" s="47">
        <f>SUM('Stavební rozpočet'!AF12:AF569)</f>
        <v>0</v>
      </c>
      <c r="D18" s="94" t="s">
        <v>844</v>
      </c>
      <c r="E18" s="95"/>
      <c r="F18" s="50" t="s">
        <v>844</v>
      </c>
      <c r="G18" s="94" t="s">
        <v>791</v>
      </c>
      <c r="H18" s="95"/>
      <c r="I18" s="50" t="s">
        <v>650</v>
      </c>
    </row>
    <row r="19" spans="1:9" ht="15" customHeight="1">
      <c r="A19" s="21" t="s">
        <v>844</v>
      </c>
      <c r="B19" s="26" t="s">
        <v>252</v>
      </c>
      <c r="C19" s="47">
        <f>SUM('Stavební rozpočet'!AG12:AG569)</f>
        <v>0</v>
      </c>
      <c r="D19" s="94" t="s">
        <v>844</v>
      </c>
      <c r="E19" s="95"/>
      <c r="F19" s="50" t="s">
        <v>844</v>
      </c>
      <c r="G19" s="94" t="s">
        <v>1197</v>
      </c>
      <c r="H19" s="95"/>
      <c r="I19" s="50" t="s">
        <v>650</v>
      </c>
    </row>
    <row r="20" spans="1:9" ht="15" customHeight="1">
      <c r="A20" s="88" t="s">
        <v>89</v>
      </c>
      <c r="B20" s="89"/>
      <c r="C20" s="47">
        <f>SUM('Stavební rozpočet'!AH12:AH569)</f>
        <v>0</v>
      </c>
      <c r="D20" s="94" t="s">
        <v>844</v>
      </c>
      <c r="E20" s="95"/>
      <c r="F20" s="50" t="s">
        <v>844</v>
      </c>
      <c r="G20" s="94" t="s">
        <v>844</v>
      </c>
      <c r="H20" s="95"/>
      <c r="I20" s="50" t="s">
        <v>844</v>
      </c>
    </row>
    <row r="21" spans="1:9" ht="15" customHeight="1">
      <c r="A21" s="90" t="s">
        <v>1196</v>
      </c>
      <c r="B21" s="91"/>
      <c r="C21" s="30">
        <f>SUM('Stavební rozpočet'!Z12:Z569)</f>
        <v>0</v>
      </c>
      <c r="D21" s="96" t="s">
        <v>844</v>
      </c>
      <c r="E21" s="97"/>
      <c r="F21" s="46" t="s">
        <v>844</v>
      </c>
      <c r="G21" s="96" t="s">
        <v>844</v>
      </c>
      <c r="H21" s="97"/>
      <c r="I21" s="46" t="s">
        <v>844</v>
      </c>
    </row>
    <row r="22" spans="1:9" ht="16.5" customHeight="1">
      <c r="A22" s="92" t="s">
        <v>261</v>
      </c>
      <c r="B22" s="93"/>
      <c r="C22" s="31">
        <f>ROUND(SUM(C14:C21),1)</f>
        <v>0</v>
      </c>
      <c r="D22" s="98" t="s">
        <v>640</v>
      </c>
      <c r="E22" s="93"/>
      <c r="F22" s="31">
        <f>SUM(F14:F21)</f>
        <v>0</v>
      </c>
      <c r="G22" s="98" t="s">
        <v>1227</v>
      </c>
      <c r="H22" s="93"/>
      <c r="I22" s="31">
        <f>ROUND(C22*(5/100),2)</f>
        <v>0</v>
      </c>
    </row>
    <row r="23" spans="4:9" ht="15" customHeight="1">
      <c r="D23" s="88" t="s">
        <v>966</v>
      </c>
      <c r="E23" s="89"/>
      <c r="F23" s="34">
        <v>0</v>
      </c>
      <c r="G23" s="99" t="s">
        <v>61</v>
      </c>
      <c r="H23" s="89"/>
      <c r="I23" s="47">
        <v>0</v>
      </c>
    </row>
    <row r="24" spans="7:8" ht="15" customHeight="1">
      <c r="G24" s="88" t="s">
        <v>841</v>
      </c>
      <c r="H24" s="89"/>
    </row>
    <row r="25" spans="7:9" ht="15" customHeight="1">
      <c r="G25" s="88" t="s">
        <v>934</v>
      </c>
      <c r="H25" s="89"/>
      <c r="I25" s="31">
        <v>0</v>
      </c>
    </row>
    <row r="27" spans="1:3" ht="15" customHeight="1">
      <c r="A27" s="100" t="s">
        <v>514</v>
      </c>
      <c r="B27" s="101"/>
      <c r="C27" s="4">
        <f>ROUND(SUM('Stavební rozpočet'!AJ12:AJ569),1)</f>
        <v>0</v>
      </c>
    </row>
    <row r="28" spans="1:9" ht="15" customHeight="1">
      <c r="A28" s="102" t="s">
        <v>26</v>
      </c>
      <c r="B28" s="103"/>
      <c r="C28" s="41">
        <f>ROUND(SUM('Stavební rozpočet'!AK12:AK569)+(F22+I22+F23+I23+I24+I25),1)</f>
        <v>0</v>
      </c>
      <c r="D28" s="101" t="s">
        <v>284</v>
      </c>
      <c r="E28" s="101"/>
      <c r="F28" s="4">
        <f>ROUND(C28*(15/100),2)</f>
        <v>0</v>
      </c>
      <c r="G28" s="101" t="s">
        <v>188</v>
      </c>
      <c r="H28" s="101"/>
      <c r="I28" s="4">
        <f>ROUND(SUM(C27:C29),1)</f>
        <v>0</v>
      </c>
    </row>
    <row r="29" spans="1:9" ht="15" customHeight="1">
      <c r="A29" s="102" t="s">
        <v>55</v>
      </c>
      <c r="B29" s="103"/>
      <c r="C29" s="41">
        <f>ROUND(SUM('Stavební rozpočet'!AL12:AL569),1)</f>
        <v>0</v>
      </c>
      <c r="D29" s="103" t="s">
        <v>908</v>
      </c>
      <c r="E29" s="103"/>
      <c r="F29" s="41">
        <f>ROUND(C29*(21/100),2)</f>
        <v>0</v>
      </c>
      <c r="G29" s="103" t="s">
        <v>511</v>
      </c>
      <c r="H29" s="103"/>
      <c r="I29" s="41">
        <f>ROUND(SUM(F28:F29)+I28,1)</f>
        <v>0</v>
      </c>
    </row>
    <row r="31" spans="1:9" ht="15" customHeight="1">
      <c r="A31" s="104" t="s">
        <v>17</v>
      </c>
      <c r="B31" s="105"/>
      <c r="C31" s="106"/>
      <c r="D31" s="105" t="s">
        <v>1132</v>
      </c>
      <c r="E31" s="105"/>
      <c r="F31" s="106"/>
      <c r="G31" s="105" t="s">
        <v>829</v>
      </c>
      <c r="H31" s="105"/>
      <c r="I31" s="106"/>
    </row>
    <row r="32" spans="1:9" ht="15" customHeight="1">
      <c r="A32" s="107" t="s">
        <v>844</v>
      </c>
      <c r="B32" s="96"/>
      <c r="C32" s="108"/>
      <c r="D32" s="96" t="s">
        <v>844</v>
      </c>
      <c r="E32" s="96"/>
      <c r="F32" s="108"/>
      <c r="G32" s="96" t="s">
        <v>844</v>
      </c>
      <c r="H32" s="96"/>
      <c r="I32" s="108"/>
    </row>
    <row r="33" spans="1:9" ht="15" customHeight="1">
      <c r="A33" s="107" t="s">
        <v>844</v>
      </c>
      <c r="B33" s="96"/>
      <c r="C33" s="108"/>
      <c r="D33" s="96" t="s">
        <v>844</v>
      </c>
      <c r="E33" s="96"/>
      <c r="F33" s="108"/>
      <c r="G33" s="96" t="s">
        <v>844</v>
      </c>
      <c r="H33" s="96"/>
      <c r="I33" s="108"/>
    </row>
    <row r="34" spans="1:9" ht="15" customHeight="1">
      <c r="A34" s="107" t="s">
        <v>844</v>
      </c>
      <c r="B34" s="96"/>
      <c r="C34" s="108"/>
      <c r="D34" s="96" t="s">
        <v>844</v>
      </c>
      <c r="E34" s="96"/>
      <c r="F34" s="108"/>
      <c r="G34" s="96" t="s">
        <v>844</v>
      </c>
      <c r="H34" s="96"/>
      <c r="I34" s="108"/>
    </row>
    <row r="35" spans="1:9" ht="15" customHeight="1">
      <c r="A35" s="109" t="s">
        <v>258</v>
      </c>
      <c r="B35" s="110"/>
      <c r="C35" s="111"/>
      <c r="D35" s="110" t="s">
        <v>258</v>
      </c>
      <c r="E35" s="110"/>
      <c r="F35" s="111"/>
      <c r="G35" s="110" t="s">
        <v>258</v>
      </c>
      <c r="H35" s="110"/>
      <c r="I35" s="111"/>
    </row>
    <row r="36" ht="15" customHeight="1">
      <c r="A36" s="22" t="s">
        <v>102</v>
      </c>
    </row>
    <row r="37" spans="1:9" ht="12.75" customHeight="1">
      <c r="A37" s="61" t="s">
        <v>844</v>
      </c>
      <c r="B37" s="58"/>
      <c r="C37" s="58"/>
      <c r="D37" s="58"/>
      <c r="E37" s="58"/>
      <c r="F37" s="58"/>
      <c r="G37" s="58"/>
      <c r="H37" s="58"/>
      <c r="I37" s="58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Plicka</cp:lastModifiedBy>
  <dcterms:created xsi:type="dcterms:W3CDTF">2021-06-10T20:06:38Z</dcterms:created>
  <dcterms:modified xsi:type="dcterms:W3CDTF">2023-04-24T13:33:50Z</dcterms:modified>
  <cp:category/>
  <cp:version/>
  <cp:contentType/>
  <cp:contentStatus/>
</cp:coreProperties>
</file>