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počet - vybrané sloupce" sheetId="1" r:id="rId1"/>
    <sheet name="Stavební rozpočet - součet" sheetId="2" r:id="rId2"/>
    <sheet name="Výkaz výměr" sheetId="3" r:id="rId3"/>
    <sheet name="Krycí list rozpočtu" sheetId="4" r:id="rId4"/>
    <sheet name="Stavební rozpočet" sheetId="5" state="hidden" r:id="rId5"/>
  </sheets>
  <definedNames/>
  <calcPr fullCalcOnLoad="1"/>
</workbook>
</file>

<file path=xl/sharedStrings.xml><?xml version="1.0" encoding="utf-8"?>
<sst xmlns="http://schemas.openxmlformats.org/spreadsheetml/2006/main" count="914" uniqueCount="243">
  <si>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</si>
  <si>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</si>
  <si>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</si>
  <si>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</si>
  <si>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</si>
  <si>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</si>
  <si>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</si>
  <si>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</si>
  <si>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</si>
  <si>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</si>
  <si>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</si>
  <si>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</si>
  <si>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</si>
  <si>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</si>
  <si>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</si>
  <si>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</si>
  <si>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M.j.</t>
  </si>
  <si>
    <t>Sazba DPH</t>
  </si>
  <si>
    <t>Množství</t>
  </si>
  <si>
    <t>Jednotková cena (Kč)</t>
  </si>
  <si>
    <t>Náklady celkem (Kč)</t>
  </si>
  <si>
    <t xml:space="preserve"> </t>
  </si>
  <si>
    <t>722</t>
  </si>
  <si>
    <t>Vnitřní vodovod</t>
  </si>
  <si>
    <t>1</t>
  </si>
  <si>
    <t>722170801R00</t>
  </si>
  <si>
    <t>Demontáž rozvodů vody z plastů do D 32</t>
  </si>
  <si>
    <t>m</t>
  </si>
  <si>
    <t>15</t>
  </si>
  <si>
    <t>2</t>
  </si>
  <si>
    <t>722170804R00</t>
  </si>
  <si>
    <t>Demontáž rozvodů vody z plastů do D 63</t>
  </si>
  <si>
    <t>3</t>
  </si>
  <si>
    <t>722172635R00</t>
  </si>
  <si>
    <t>Potrubí z PPR Instaplast, D 50x8,3 mm</t>
  </si>
  <si>
    <t>4</t>
  </si>
  <si>
    <t>722172634R00</t>
  </si>
  <si>
    <t>Potrubí z PPR Instaplast, D 40x6,7 mm</t>
  </si>
  <si>
    <t>5</t>
  </si>
  <si>
    <t>722172633R00</t>
  </si>
  <si>
    <t>Potrubí z PPR Instaplast, D 32x5,4 mm</t>
  </si>
  <si>
    <t>6</t>
  </si>
  <si>
    <t>722172632R00</t>
  </si>
  <si>
    <t>Potrubí z PPR Instaplast, D 25x4,2 mm</t>
  </si>
  <si>
    <t>7</t>
  </si>
  <si>
    <t>722181213RW6</t>
  </si>
  <si>
    <t>Izolace návleková MIRELON PRO tl. stěny 13 mm, vnitřní průměr 50 mm</t>
  </si>
  <si>
    <t>8</t>
  </si>
  <si>
    <t>722181213RV9</t>
  </si>
  <si>
    <t>Izolace návleková MIRELON PRO tl. stěny 13 mm, vnitřní průměr 40 mm</t>
  </si>
  <si>
    <t>9</t>
  </si>
  <si>
    <t>722181213RU1</t>
  </si>
  <si>
    <t>Izolace návleková MIRELON PRO tl. stěny 13 mm, vnitřní průměr 32 mm</t>
  </si>
  <si>
    <t>10</t>
  </si>
  <si>
    <t>722181213RT8</t>
  </si>
  <si>
    <t>Izolace návleková MIRELON PRO tl. stěny 13 mm, vnitřní průměr 25 mm</t>
  </si>
  <si>
    <t>11</t>
  </si>
  <si>
    <t>722172364R00</t>
  </si>
  <si>
    <t>Smyčka kompenzační z PPR, D 40 x 6,7 mm, PN 20</t>
  </si>
  <si>
    <t>kus</t>
  </si>
  <si>
    <t>12</t>
  </si>
  <si>
    <t>722172363R00</t>
  </si>
  <si>
    <t>Smyčka kompenzační z PPR, D 32 x 5,4 mm, PN 20</t>
  </si>
  <si>
    <t>13</t>
  </si>
  <si>
    <t>722172362R00</t>
  </si>
  <si>
    <t>Smyčka kompenzační z PPR, D 25 x 4,2 mm, PN 20</t>
  </si>
  <si>
    <t>14</t>
  </si>
  <si>
    <t>28654297</t>
  </si>
  <si>
    <t>Přechodka dGK kovový závit vnější d 20x3/4" PPR</t>
  </si>
  <si>
    <t>28654343</t>
  </si>
  <si>
    <t>Přechodka kov s převlečnou maticí d 20x3/4" PPR</t>
  </si>
  <si>
    <t>16</t>
  </si>
  <si>
    <t>722260811R00</t>
  </si>
  <si>
    <t>Demontáž vodoměrů závitových G 1/2</t>
  </si>
  <si>
    <t>17</t>
  </si>
  <si>
    <t>722260921R00</t>
  </si>
  <si>
    <t>Zpětná montáž vodoměrů závitových G 1/2</t>
  </si>
  <si>
    <t>18</t>
  </si>
  <si>
    <t>722237162R00</t>
  </si>
  <si>
    <t>Kohout vod.kul.,šroub.,GIACOMINI R259D DN15 x DN20</t>
  </si>
  <si>
    <t>19</t>
  </si>
  <si>
    <t>722172912R00</t>
  </si>
  <si>
    <t>Propojení plastového potrubí D 20 mm - bytový vodovod</t>
  </si>
  <si>
    <t>20</t>
  </si>
  <si>
    <t>722280108R00</t>
  </si>
  <si>
    <t>Tlaková zkouška vodovodního potrubí DN 50</t>
  </si>
  <si>
    <t>21</t>
  </si>
  <si>
    <t>722290824R00</t>
  </si>
  <si>
    <t>Přesun vybouraných hmot - vodovody, H 24 - 36 m</t>
  </si>
  <si>
    <t>t</t>
  </si>
  <si>
    <t>22</t>
  </si>
  <si>
    <t>722269101R00</t>
  </si>
  <si>
    <t>Plombování vodoměrů</t>
  </si>
  <si>
    <t>723</t>
  </si>
  <si>
    <t>Vnitřní plynovod</t>
  </si>
  <si>
    <t>23</t>
  </si>
  <si>
    <t>723260801R00</t>
  </si>
  <si>
    <t>Demontáž plynoměrů PS 2, PS 6, PS 10</t>
  </si>
  <si>
    <t>24</t>
  </si>
  <si>
    <t>723261912R00</t>
  </si>
  <si>
    <t>Oprava - montáž plynoměrů PS-2, PS-6</t>
  </si>
  <si>
    <t>25</t>
  </si>
  <si>
    <t>723190907R00</t>
  </si>
  <si>
    <t>Odvzdušnění bytového rozvodu</t>
  </si>
  <si>
    <t>ks</t>
  </si>
  <si>
    <t>26</t>
  </si>
  <si>
    <t>723999001R01VD</t>
  </si>
  <si>
    <t>Plombování plynoměrů vč. vyplnění protokolu</t>
  </si>
  <si>
    <t>200VD</t>
  </si>
  <si>
    <t>Kotvící a pozinkové prvky</t>
  </si>
  <si>
    <t>27</t>
  </si>
  <si>
    <t>200185200RV4VD</t>
  </si>
  <si>
    <t>Objímka dvoušroubová s gumovou vložkou D48-53</t>
  </si>
  <si>
    <t>28</t>
  </si>
  <si>
    <t>200185200RV5VD</t>
  </si>
  <si>
    <t>Objímka dvoušroubová s gumovou vložkou D40-46</t>
  </si>
  <si>
    <t>29</t>
  </si>
  <si>
    <t>200185200RV6VD</t>
  </si>
  <si>
    <t>Objímka dvoušroubová s gumovou vložkou D31-38</t>
  </si>
  <si>
    <t>30</t>
  </si>
  <si>
    <t>200185200RV7VD</t>
  </si>
  <si>
    <t>Objímka dvoušroubová s gumovou vložkou D25-30</t>
  </si>
  <si>
    <t>61</t>
  </si>
  <si>
    <t>Úprava povrchů vnitřní</t>
  </si>
  <si>
    <t>31</t>
  </si>
  <si>
    <t>610991111R00</t>
  </si>
  <si>
    <t>Zakrývání podlah bytů</t>
  </si>
  <si>
    <t>m2</t>
  </si>
  <si>
    <t>32</t>
  </si>
  <si>
    <t>952902110R00</t>
  </si>
  <si>
    <t>Čištění zametáním v místnostech a chodbách</t>
  </si>
  <si>
    <t>H111VD</t>
  </si>
  <si>
    <t>Mimostaveništní doprava a přesun hmot</t>
  </si>
  <si>
    <t>33</t>
  </si>
  <si>
    <t>111VD</t>
  </si>
  <si>
    <t>Mimostaveništní doprava a manipulace</t>
  </si>
  <si>
    <t>soubor</t>
  </si>
  <si>
    <t>H01</t>
  </si>
  <si>
    <t>Likvidace odpadů</t>
  </si>
  <si>
    <t>34</t>
  </si>
  <si>
    <t>998015092R00</t>
  </si>
  <si>
    <t>Odvoz a likvidace plastového odpadu</t>
  </si>
  <si>
    <t>Celkem bez DPH:</t>
  </si>
  <si>
    <t>Stavební rozpočet - rekapitulace</t>
  </si>
  <si>
    <t>Objekt</t>
  </si>
  <si>
    <t>Náklady (Kč) - dodávka</t>
  </si>
  <si>
    <t>Náklady (Kč) - Montáž</t>
  </si>
  <si>
    <t>Náklady (Kč) - celkem</t>
  </si>
  <si>
    <t>Celková hmotnost (t)</t>
  </si>
  <si>
    <t>T</t>
  </si>
  <si>
    <t>Celkem:</t>
  </si>
  <si>
    <t>Výkaz výměr</t>
  </si>
  <si>
    <t>Rozměry</t>
  </si>
  <si>
    <t>Cenová soustava</t>
  </si>
  <si>
    <t>RTS I / 2018</t>
  </si>
  <si>
    <t>Poznámka:</t>
  </si>
  <si>
    <t>Krycí list rozpočtu</t>
  </si>
  <si>
    <t>IČ/DIČ:</t>
  </si>
  <si>
    <t>02745623/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</si>
  <si>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</si>
  <si>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</si>
  <si>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</si>
  <si>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</si>
  <si>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</si>
  <si>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</si>
  <si>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</si>
  <si>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</si>
  <si>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</si>
  <si>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</si>
  <si>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</si>
  <si>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</si>
  <si>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</si>
  <si>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</si>
  <si>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</si>
  <si>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</si>
  <si>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</si>
  <si>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</si>
  <si>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</si>
  <si>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</si>
  <si>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</si>
  <si>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</si>
  <si>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</si>
  <si>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</si>
  <si>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</si>
  <si>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</si>
  <si>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</si>
  <si>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</si>
  <si>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</si>
  <si>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</si>
  <si>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</si>
  <si>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</si>
  <si>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</si>
  <si>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</si>
  <si>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</si>
  <si>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</si>
  <si>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</si>
  <si>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</si>
  <si>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</si>
  <si>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</si>
  <si>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</si>
  <si>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</si>
  <si>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</si>
  <si>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SVJ Jablonecká 698-711</t>
  </si>
  <si>
    <t>BD Jablonecká 704/22, Praha 9</t>
  </si>
  <si>
    <t>Výměna vodovodních stoupaček SV, TUV a cirkulace</t>
  </si>
  <si>
    <t> </t>
  </si>
  <si>
    <t>Pavel Haltuf</t>
  </si>
  <si>
    <t>Praha 9</t>
  </si>
  <si>
    <t>KALFAS s.r.o.</t>
  </si>
  <si>
    <t>10.11.2018</t>
  </si>
  <si>
    <t>Jednot.</t>
  </si>
  <si>
    <t>Náklady (Kč)</t>
  </si>
  <si>
    <t>Hmotnost (t)</t>
  </si>
  <si>
    <t>Cenová</t>
  </si>
  <si>
    <t>cena 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</si>
  <si>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</si>
  <si>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</si>
  <si>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</si>
  <si>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</si>
  <si>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</si>
  <si>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</si>
  <si>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</si>
  <si>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</si>
  <si>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</si>
  <si>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</si>
  <si>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</si>
  <si>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</si>
  <si>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</si>
  <si>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</si>
  <si>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</si>
  <si>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722_</t>
  </si>
  <si>
    <t>72_</t>
  </si>
  <si>
    <t>_</t>
  </si>
  <si>
    <t>723_</t>
  </si>
  <si>
    <t>RTS II / 2015</t>
  </si>
  <si>
    <t>200VD_</t>
  </si>
  <si>
    <t>2_</t>
  </si>
  <si>
    <t>61_</t>
  </si>
  <si>
    <t>6_</t>
  </si>
  <si>
    <t>H111VD_</t>
  </si>
  <si>
    <t>9_</t>
  </si>
  <si>
    <t>RTS II / 2018</t>
  </si>
  <si>
    <t>H01_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</si>
</sst>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#,##0.00"/>
    <numFmt numFmtId="168" formatCode="#,##0.00&quot; Kč&quot;;[RED]\-#,##0.00&quot; Kč&quot;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9"/>
      <name val="Calibri"/>
      <family val="2"/>
    </font>
    <font>
      <sz val="18"/>
      <color indexed="23"/>
      <name val="Calibri Light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11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0" borderId="1" applyNumberFormat="0" applyFill="0" applyAlignment="0" applyProtection="0"/>
    <xf numFmtId="164" fontId="3" fillId="11" borderId="2" applyNumberFormat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9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5" borderId="6" applyNumberFormat="0" applyAlignment="0" applyProtection="0"/>
    <xf numFmtId="164" fontId="9" fillId="0" borderId="7" applyNumberFormat="0" applyFill="0" applyAlignment="0" applyProtection="0"/>
    <xf numFmtId="164" fontId="10" fillId="7" borderId="0" applyNumberFormat="0" applyBorder="0" applyAlignment="0" applyProtection="0"/>
    <xf numFmtId="164" fontId="9" fillId="0" borderId="0" applyNumberFormat="0" applyFill="0" applyBorder="0" applyAlignment="0" applyProtection="0"/>
    <xf numFmtId="164" fontId="11" fillId="3" borderId="8" applyNumberFormat="0" applyAlignment="0" applyProtection="0"/>
    <xf numFmtId="164" fontId="12" fillId="0" borderId="0" applyNumberFormat="0" applyFill="0" applyBorder="0" applyAlignment="0" applyProtection="0"/>
    <xf numFmtId="164" fontId="13" fillId="4" borderId="8" applyNumberFormat="0" applyAlignment="0" applyProtection="0"/>
    <xf numFmtId="164" fontId="2" fillId="4" borderId="9" applyNumberFormat="0" applyAlignment="0" applyProtection="0"/>
    <xf numFmtId="164" fontId="14" fillId="10" borderId="0" applyNumberFormat="0" applyBorder="0" applyAlignment="0" applyProtection="0"/>
    <xf numFmtId="164" fontId="14" fillId="12" borderId="0" applyNumberFormat="0" applyBorder="0" applyAlignment="0" applyProtection="0"/>
    <xf numFmtId="164" fontId="14" fillId="11" borderId="0" applyNumberFormat="0" applyBorder="0" applyAlignment="0" applyProtection="0"/>
    <xf numFmtId="164" fontId="14" fillId="13" borderId="0" applyNumberFormat="0" applyBorder="0" applyAlignment="0" applyProtection="0"/>
    <xf numFmtId="164" fontId="14" fillId="10" borderId="0" applyNumberFormat="0" applyBorder="0" applyAlignment="0" applyProtection="0"/>
    <xf numFmtId="164" fontId="14" fillId="10" borderId="0" applyNumberFormat="0" applyBorder="0" applyAlignment="0" applyProtection="0"/>
    <xf numFmtId="164" fontId="15" fillId="1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16" fillId="0" borderId="0" xfId="0" applyFont="1" applyAlignment="1">
      <alignment vertical="center"/>
    </xf>
    <xf numFmtId="165" fontId="17" fillId="0" borderId="10" xfId="0" applyNumberFormat="1" applyFont="1" applyFill="1" applyBorder="1" applyAlignment="1" applyProtection="1">
      <alignment horizontal="center"/>
      <protection/>
    </xf>
    <xf numFmtId="164" fontId="16" fillId="0" borderId="11" xfId="0" applyNumberFormat="1" applyFont="1" applyFill="1" applyBorder="1" applyAlignment="1" applyProtection="1">
      <alignment horizontal="left" vertical="center" wrapText="1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5" fontId="16" fillId="0" borderId="12" xfId="0" applyNumberFormat="1" applyFont="1" applyFill="1" applyBorder="1" applyAlignment="1" applyProtection="1">
      <alignment horizontal="left" vertical="center"/>
      <protection/>
    </xf>
    <xf numFmtId="164" fontId="16" fillId="0" borderId="12" xfId="0" applyNumberFormat="1" applyFont="1" applyFill="1" applyBorder="1" applyAlignment="1" applyProtection="1">
      <alignment horizontal="left"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left" vertical="center" wrapText="1"/>
      <protection/>
    </xf>
    <xf numFmtId="164" fontId="16" fillId="0" borderId="14" xfId="0" applyNumberFormat="1" applyFont="1" applyFill="1" applyBorder="1" applyAlignment="1" applyProtection="1">
      <alignment vertical="center"/>
      <protection/>
    </xf>
    <xf numFmtId="164" fontId="16" fillId="0" borderId="14" xfId="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165" fontId="16" fillId="0" borderId="0" xfId="0" applyNumberFormat="1" applyFont="1" applyFill="1" applyBorder="1" applyAlignment="1" applyProtection="1">
      <alignment horizontal="left" vertical="center"/>
      <protection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164" fontId="16" fillId="0" borderId="15" xfId="0" applyNumberFormat="1" applyFont="1" applyFill="1" applyBorder="1" applyAlignment="1" applyProtection="1">
      <alignment horizontal="left" vertical="center" wrapText="1"/>
      <protection/>
    </xf>
    <xf numFmtId="164" fontId="16" fillId="0" borderId="16" xfId="0" applyNumberFormat="1" applyFont="1" applyFill="1" applyBorder="1" applyAlignment="1" applyProtection="1">
      <alignment horizontal="left" vertical="center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5" fontId="18" fillId="0" borderId="18" xfId="0" applyNumberFormat="1" applyFont="1" applyFill="1" applyBorder="1" applyAlignment="1" applyProtection="1">
      <alignment horizontal="left" vertical="center"/>
      <protection/>
    </xf>
    <xf numFmtId="165" fontId="18" fillId="0" borderId="19" xfId="0" applyNumberFormat="1" applyFont="1" applyFill="1" applyBorder="1" applyAlignment="1" applyProtection="1">
      <alignment horizontal="left" vertical="center"/>
      <protection/>
    </xf>
    <xf numFmtId="165" fontId="18" fillId="11" borderId="20" xfId="0" applyNumberFormat="1" applyFont="1" applyFill="1" applyBorder="1" applyAlignment="1" applyProtection="1">
      <alignment horizontal="left" vertical="center"/>
      <protection/>
    </xf>
    <xf numFmtId="165" fontId="18" fillId="11" borderId="20" xfId="0" applyNumberFormat="1" applyFont="1" applyFill="1" applyBorder="1" applyAlignment="1" applyProtection="1">
      <alignment horizontal="right" vertical="center"/>
      <protection/>
    </xf>
    <xf numFmtId="167" fontId="18" fillId="11" borderId="20" xfId="0" applyNumberFormat="1" applyFont="1" applyFill="1" applyBorder="1" applyAlignment="1" applyProtection="1">
      <alignment horizontal="right" vertical="center"/>
      <protection/>
    </xf>
    <xf numFmtId="167" fontId="16" fillId="0" borderId="0" xfId="0" applyNumberFormat="1" applyFont="1" applyFill="1" applyBorder="1" applyAlignment="1" applyProtection="1">
      <alignment horizontal="right" vertical="center"/>
      <protection/>
    </xf>
    <xf numFmtId="167" fontId="16" fillId="0" borderId="0" xfId="0" applyNumberFormat="1" applyFont="1" applyFill="1" applyBorder="1" applyAlignment="1" applyProtection="1">
      <alignment horizontal="left" vertical="center"/>
      <protection/>
    </xf>
    <xf numFmtId="165" fontId="18" fillId="11" borderId="0" xfId="0" applyNumberFormat="1" applyFont="1" applyFill="1" applyBorder="1" applyAlignment="1" applyProtection="1">
      <alignment horizontal="left" vertical="center"/>
      <protection/>
    </xf>
    <xf numFmtId="165" fontId="18" fillId="11" borderId="0" xfId="0" applyNumberFormat="1" applyFont="1" applyFill="1" applyBorder="1" applyAlignment="1" applyProtection="1">
      <alignment horizontal="right" vertical="center"/>
      <protection/>
    </xf>
    <xf numFmtId="167" fontId="18" fillId="11" borderId="0" xfId="0" applyNumberFormat="1" applyFont="1" applyFill="1" applyBorder="1" applyAlignment="1" applyProtection="1">
      <alignment horizontal="right" vertical="center"/>
      <protection/>
    </xf>
    <xf numFmtId="165" fontId="18" fillId="0" borderId="0" xfId="0" applyNumberFormat="1" applyFont="1" applyFill="1" applyBorder="1" applyAlignment="1" applyProtection="1">
      <alignment horizontal="left" vertical="center"/>
      <protection/>
    </xf>
    <xf numFmtId="167" fontId="18" fillId="0" borderId="0" xfId="0" applyNumberFormat="1" applyFont="1" applyFill="1" applyBorder="1" applyAlignment="1" applyProtection="1">
      <alignment horizontal="right" vertical="center"/>
      <protection/>
    </xf>
    <xf numFmtId="164" fontId="16" fillId="0" borderId="21" xfId="0" applyNumberFormat="1" applyFont="1" applyFill="1" applyBorder="1" applyAlignment="1" applyProtection="1">
      <alignment horizontal="left" vertical="center" wrapText="1"/>
      <protection/>
    </xf>
    <xf numFmtId="164" fontId="16" fillId="0" borderId="22" xfId="0" applyNumberFormat="1" applyFont="1" applyFill="1" applyBorder="1" applyAlignment="1" applyProtection="1">
      <alignment horizontal="left" vertical="center" wrapText="1"/>
      <protection/>
    </xf>
    <xf numFmtId="165" fontId="16" fillId="0" borderId="22" xfId="0" applyNumberFormat="1" applyFont="1" applyFill="1" applyBorder="1" applyAlignment="1" applyProtection="1">
      <alignment horizontal="left" vertical="center"/>
      <protection/>
    </xf>
    <xf numFmtId="164" fontId="16" fillId="0" borderId="23" xfId="0" applyNumberFormat="1" applyFont="1" applyFill="1" applyBorder="1" applyAlignment="1" applyProtection="1">
      <alignment horizontal="left" vertical="center" wrapText="1"/>
      <protection/>
    </xf>
    <xf numFmtId="165" fontId="18" fillId="0" borderId="24" xfId="0" applyNumberFormat="1" applyFont="1" applyFill="1" applyBorder="1" applyAlignment="1" applyProtection="1">
      <alignment horizontal="left" vertical="center"/>
      <protection/>
    </xf>
    <xf numFmtId="165" fontId="18" fillId="0" borderId="25" xfId="0" applyNumberFormat="1" applyFont="1" applyFill="1" applyBorder="1" applyAlignment="1" applyProtection="1">
      <alignment horizontal="left" vertical="center"/>
      <protection/>
    </xf>
    <xf numFmtId="165" fontId="18" fillId="0" borderId="26" xfId="0" applyNumberFormat="1" applyFont="1" applyFill="1" applyBorder="1" applyAlignment="1" applyProtection="1">
      <alignment horizontal="left" vertical="center"/>
      <protection/>
    </xf>
    <xf numFmtId="165" fontId="18" fillId="0" borderId="26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165" fontId="16" fillId="0" borderId="20" xfId="0" applyNumberFormat="1" applyFont="1" applyFill="1" applyBorder="1" applyAlignment="1" applyProtection="1">
      <alignment horizontal="left" vertical="center"/>
      <protection/>
    </xf>
    <xf numFmtId="167" fontId="16" fillId="0" borderId="20" xfId="0" applyNumberFormat="1" applyFont="1" applyFill="1" applyBorder="1" applyAlignment="1" applyProtection="1">
      <alignment horizontal="right" vertical="center"/>
      <protection/>
    </xf>
    <xf numFmtId="164" fontId="16" fillId="0" borderId="22" xfId="0" applyNumberFormat="1" applyFont="1" applyFill="1" applyBorder="1" applyAlignment="1" applyProtection="1">
      <alignment horizontal="left" vertical="center" wrapText="1"/>
      <protection/>
    </xf>
    <xf numFmtId="165" fontId="18" fillId="0" borderId="26" xfId="0" applyNumberFormat="1" applyFont="1" applyFill="1" applyBorder="1" applyAlignment="1" applyProtection="1">
      <alignment horizontal="right" vertical="center"/>
      <protection/>
    </xf>
    <xf numFmtId="164" fontId="16" fillId="0" borderId="20" xfId="0" applyNumberFormat="1" applyFont="1" applyFill="1" applyBorder="1" applyAlignment="1" applyProtection="1">
      <alignment vertical="center"/>
      <protection/>
    </xf>
    <xf numFmtId="165" fontId="16" fillId="0" borderId="20" xfId="0" applyNumberFormat="1" applyFont="1" applyFill="1" applyBorder="1" applyAlignment="1" applyProtection="1">
      <alignment horizontal="right" vertical="center"/>
      <protection/>
    </xf>
    <xf numFmtId="165" fontId="16" fillId="0" borderId="0" xfId="0" applyNumberFormat="1" applyFont="1" applyFill="1" applyBorder="1" applyAlignment="1" applyProtection="1">
      <alignment horizontal="right" vertical="center"/>
      <protection/>
    </xf>
    <xf numFmtId="165" fontId="19" fillId="0" borderId="0" xfId="0" applyNumberFormat="1" applyFont="1" applyFill="1" applyBorder="1" applyAlignment="1" applyProtection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 applyProtection="1">
      <alignment vertical="center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3" xfId="0" applyNumberFormat="1" applyFont="1" applyFill="1" applyBorder="1" applyAlignment="1" applyProtection="1">
      <alignment horizontal="left" vertical="center"/>
      <protection/>
    </xf>
    <xf numFmtId="165" fontId="16" fillId="0" borderId="15" xfId="0" applyNumberFormat="1" applyFont="1" applyFill="1" applyBorder="1" applyAlignment="1" applyProtection="1">
      <alignment horizontal="left" vertical="center"/>
      <protection/>
    </xf>
    <xf numFmtId="165" fontId="20" fillId="0" borderId="28" xfId="0" applyNumberFormat="1" applyFont="1" applyFill="1" applyBorder="1" applyAlignment="1" applyProtection="1">
      <alignment horizontal="center" vertical="center"/>
      <protection/>
    </xf>
    <xf numFmtId="165" fontId="21" fillId="11" borderId="9" xfId="0" applyNumberFormat="1" applyFont="1" applyFill="1" applyBorder="1" applyAlignment="1" applyProtection="1">
      <alignment horizontal="center" vertical="center"/>
      <protection/>
    </xf>
    <xf numFmtId="165" fontId="22" fillId="0" borderId="9" xfId="0" applyNumberFormat="1" applyFont="1" applyFill="1" applyBorder="1" applyAlignment="1" applyProtection="1">
      <alignment horizontal="left" vertical="center"/>
      <protection/>
    </xf>
    <xf numFmtId="165" fontId="23" fillId="0" borderId="29" xfId="0" applyNumberFormat="1" applyFont="1" applyFill="1" applyBorder="1" applyAlignment="1" applyProtection="1">
      <alignment horizontal="left" vertical="center"/>
      <protection/>
    </xf>
    <xf numFmtId="165" fontId="24" fillId="0" borderId="9" xfId="0" applyNumberFormat="1" applyFont="1" applyFill="1" applyBorder="1" applyAlignment="1" applyProtection="1">
      <alignment horizontal="left" vertical="center"/>
      <protection/>
    </xf>
    <xf numFmtId="167" fontId="24" fillId="0" borderId="9" xfId="0" applyNumberFormat="1" applyFont="1" applyFill="1" applyBorder="1" applyAlignment="1" applyProtection="1">
      <alignment horizontal="right" vertical="center"/>
      <protection/>
    </xf>
    <xf numFmtId="165" fontId="23" fillId="0" borderId="30" xfId="0" applyNumberFormat="1" applyFont="1" applyFill="1" applyBorder="1" applyAlignment="1" applyProtection="1">
      <alignment horizontal="left" vertical="center"/>
      <protection/>
    </xf>
    <xf numFmtId="165" fontId="24" fillId="0" borderId="9" xfId="0" applyNumberFormat="1" applyFont="1" applyFill="1" applyBorder="1" applyAlignment="1" applyProtection="1">
      <alignment horizontal="right" vertical="center"/>
      <protection/>
    </xf>
    <xf numFmtId="165" fontId="23" fillId="0" borderId="9" xfId="0" applyNumberFormat="1" applyFont="1" applyFill="1" applyBorder="1" applyAlignment="1" applyProtection="1">
      <alignment horizontal="left" vertical="center"/>
      <protection/>
    </xf>
    <xf numFmtId="164" fontId="16" fillId="0" borderId="12" xfId="0" applyNumberFormat="1" applyFont="1" applyFill="1" applyBorder="1" applyAlignment="1" applyProtection="1">
      <alignment vertical="center"/>
      <protection/>
    </xf>
    <xf numFmtId="164" fontId="16" fillId="0" borderId="13" xfId="0" applyNumberFormat="1" applyFont="1" applyFill="1" applyBorder="1" applyAlignment="1" applyProtection="1">
      <alignment vertical="center"/>
      <protection/>
    </xf>
    <xf numFmtId="167" fontId="24" fillId="0" borderId="31" xfId="0" applyNumberFormat="1" applyFont="1" applyFill="1" applyBorder="1" applyAlignment="1" applyProtection="1">
      <alignment horizontal="right" vertical="center"/>
      <protection/>
    </xf>
    <xf numFmtId="164" fontId="16" fillId="0" borderId="32" xfId="0" applyNumberFormat="1" applyFont="1" applyFill="1" applyBorder="1" applyAlignment="1" applyProtection="1">
      <alignment vertical="center"/>
      <protection/>
    </xf>
    <xf numFmtId="164" fontId="16" fillId="0" borderId="15" xfId="0" applyNumberFormat="1" applyFont="1" applyFill="1" applyBorder="1" applyAlignment="1" applyProtection="1">
      <alignment vertical="center"/>
      <protection/>
    </xf>
    <xf numFmtId="165" fontId="23" fillId="11" borderId="33" xfId="0" applyNumberFormat="1" applyFont="1" applyFill="1" applyBorder="1" applyAlignment="1" applyProtection="1">
      <alignment horizontal="left" vertical="center"/>
      <protection/>
    </xf>
    <xf numFmtId="167" fontId="23" fillId="11" borderId="34" xfId="0" applyNumberFormat="1" applyFont="1" applyFill="1" applyBorder="1" applyAlignment="1" applyProtection="1">
      <alignment horizontal="right" vertical="center"/>
      <protection/>
    </xf>
    <xf numFmtId="164" fontId="16" fillId="0" borderId="16" xfId="0" applyNumberFormat="1" applyFont="1" applyFill="1" applyBorder="1" applyAlignment="1" applyProtection="1">
      <alignment vertical="center"/>
      <protection/>
    </xf>
    <xf numFmtId="164" fontId="16" fillId="0" borderId="35" xfId="0" applyNumberFormat="1" applyFont="1" applyFill="1" applyBorder="1" applyAlignment="1" applyProtection="1">
      <alignment vertical="center"/>
      <protection/>
    </xf>
    <xf numFmtId="165" fontId="24" fillId="0" borderId="36" xfId="0" applyNumberFormat="1" applyFont="1" applyFill="1" applyBorder="1" applyAlignment="1" applyProtection="1">
      <alignment horizontal="left" vertical="center"/>
      <protection/>
    </xf>
    <xf numFmtId="165" fontId="24" fillId="0" borderId="37" xfId="0" applyNumberFormat="1" applyFont="1" applyFill="1" applyBorder="1" applyAlignment="1" applyProtection="1">
      <alignment horizontal="left" vertical="center"/>
      <protection/>
    </xf>
    <xf numFmtId="165" fontId="24" fillId="0" borderId="38" xfId="0" applyNumberFormat="1" applyFont="1" applyFill="1" applyBorder="1" applyAlignment="1" applyProtection="1">
      <alignment horizontal="left" vertical="center"/>
      <protection/>
    </xf>
    <xf numFmtId="165" fontId="19" fillId="0" borderId="20" xfId="0" applyNumberFormat="1" applyFont="1" applyFill="1" applyBorder="1" applyAlignment="1" applyProtection="1">
      <alignment horizontal="left" vertical="center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left" vertical="center" wrapText="1"/>
      <protection/>
    </xf>
    <xf numFmtId="164" fontId="16" fillId="0" borderId="15" xfId="0" applyNumberFormat="1" applyFont="1" applyFill="1" applyBorder="1" applyAlignment="1" applyProtection="1">
      <alignment horizontal="left" vertical="center" wrapText="1"/>
      <protection/>
    </xf>
    <xf numFmtId="168" fontId="16" fillId="0" borderId="22" xfId="0" applyNumberFormat="1" applyFont="1" applyFill="1" applyBorder="1" applyAlignment="1" applyProtection="1">
      <alignment horizontal="left" vertical="center" wrapText="1"/>
      <protection/>
    </xf>
    <xf numFmtId="164" fontId="16" fillId="0" borderId="23" xfId="0" applyNumberFormat="1" applyFont="1" applyFill="1" applyBorder="1" applyAlignment="1" applyProtection="1">
      <alignment horizontal="left" vertical="center" wrapText="1"/>
      <protection/>
    </xf>
    <xf numFmtId="165" fontId="18" fillId="0" borderId="39" xfId="0" applyNumberFormat="1" applyFont="1" applyFill="1" applyBorder="1" applyAlignment="1" applyProtection="1">
      <alignment horizontal="left" vertical="center"/>
      <protection/>
    </xf>
    <xf numFmtId="165" fontId="18" fillId="0" borderId="40" xfId="0" applyNumberFormat="1" applyFont="1" applyFill="1" applyBorder="1" applyAlignment="1" applyProtection="1">
      <alignment horizontal="left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165" fontId="18" fillId="0" borderId="41" xfId="0" applyNumberFormat="1" applyFont="1" applyFill="1" applyBorder="1" applyAlignment="1" applyProtection="1">
      <alignment horizontal="center" vertical="center"/>
      <protection/>
    </xf>
    <xf numFmtId="165" fontId="18" fillId="0" borderId="42" xfId="0" applyNumberFormat="1" applyFont="1" applyFill="1" applyBorder="1" applyAlignment="1" applyProtection="1">
      <alignment horizontal="center" vertical="center"/>
      <protection/>
    </xf>
    <xf numFmtId="165" fontId="18" fillId="0" borderId="36" xfId="0" applyNumberFormat="1" applyFont="1" applyFill="1" applyBorder="1" applyAlignment="1" applyProtection="1">
      <alignment horizontal="center" vertical="center"/>
      <protection/>
    </xf>
    <xf numFmtId="165" fontId="16" fillId="0" borderId="43" xfId="0" applyNumberFormat="1" applyFont="1" applyFill="1" applyBorder="1" applyAlignment="1" applyProtection="1">
      <alignment horizontal="left" vertical="center"/>
      <protection/>
    </xf>
    <xf numFmtId="165" fontId="16" fillId="0" borderId="44" xfId="0" applyNumberFormat="1" applyFont="1" applyFill="1" applyBorder="1" applyAlignment="1" applyProtection="1">
      <alignment horizontal="left" vertical="center"/>
      <protection/>
    </xf>
    <xf numFmtId="165" fontId="18" fillId="0" borderId="44" xfId="0" applyNumberFormat="1" applyFont="1" applyFill="1" applyBorder="1" applyAlignment="1" applyProtection="1">
      <alignment horizontal="left" vertical="center"/>
      <protection/>
    </xf>
    <xf numFmtId="165" fontId="18" fillId="0" borderId="45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165" fontId="18" fillId="0" borderId="46" xfId="0" applyNumberFormat="1" applyFont="1" applyFill="1" applyBorder="1" applyAlignment="1" applyProtection="1">
      <alignment horizontal="center" vertical="center"/>
      <protection/>
    </xf>
    <xf numFmtId="165" fontId="18" fillId="0" borderId="38" xfId="0" applyNumberFormat="1" applyFont="1" applyFill="1" applyBorder="1" applyAlignment="1" applyProtection="1">
      <alignment horizontal="center" vertical="center"/>
      <protection/>
    </xf>
    <xf numFmtId="165" fontId="16" fillId="11" borderId="20" xfId="0" applyNumberFormat="1" applyFont="1" applyFill="1" applyBorder="1" applyAlignment="1" applyProtection="1">
      <alignment horizontal="left" vertical="center"/>
      <protection/>
    </xf>
    <xf numFmtId="165" fontId="16" fillId="11" borderId="0" xfId="0" applyNumberFormat="1" applyFont="1" applyFill="1" applyBorder="1" applyAlignment="1" applyProtection="1">
      <alignment horizontal="left" vertical="center"/>
      <protection/>
    </xf>
    <xf numFmtId="167" fontId="16" fillId="0" borderId="10" xfId="0" applyNumberFormat="1" applyFont="1" applyFill="1" applyBorder="1" applyAlignment="1" applyProtection="1">
      <alignment horizontal="right" vertical="center"/>
      <protection/>
    </xf>
    <xf numFmtId="165" fontId="16" fillId="0" borderId="10" xfId="0" applyNumberFormat="1" applyFont="1" applyFill="1" applyBorder="1" applyAlignment="1" applyProtection="1">
      <alignment horizontal="right" vertical="center"/>
      <protection/>
    </xf>
    <xf numFmtId="165" fontId="18" fillId="0" borderId="12" xfId="0" applyNumberFormat="1" applyFont="1" applyFill="1" applyBorder="1" applyAlignment="1" applyProtection="1">
      <alignment horizontal="left" vertical="center"/>
      <protection/>
    </xf>
    <xf numFmtId="167" fontId="18" fillId="0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eutrální" xfId="44"/>
    <cellStyle name="Název" xfId="45"/>
    <cellStyle name="Poznámka" xfId="46"/>
    <cellStyle name="Propojená buňka" xfId="47"/>
    <cellStyle name="Správně" xfId="48"/>
    <cellStyle name="Text upozornění" xfId="49"/>
    <cellStyle name="Vstup" xfId="50"/>
    <cellStyle name="Vysvětlující text" xfId="51"/>
    <cellStyle name="Výpočet" xfId="52"/>
    <cellStyle name="Výstup" xfId="53"/>
    <cellStyle name="Zvýraznění 1" xfId="54"/>
    <cellStyle name="Zvýraznění 2" xfId="55"/>
    <cellStyle name="Zvýraznění 3" xfId="56"/>
    <cellStyle name="Zvýraznění 4" xfId="57"/>
    <cellStyle name="Zvýraznění 5" xfId="58"/>
    <cellStyle name="Zvýraznění 6" xfId="59"/>
    <cellStyle name="Špatně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800100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showGridLines="0" tabSelected="1" workbookViewId="0" topLeftCell="A1">
      <pane ySplit="10" topLeftCell="A35" activePane="bottomLeft" state="frozen"/>
      <selection pane="topLeft" activeCell="A1" sqref="A1"/>
      <selection pane="bottomLeft" activeCell="AQ36" sqref="AQ36"/>
    </sheetView>
  </sheetViews>
  <sheetFormatPr defaultColWidth="10.28125" defaultRowHeight="12.75"/>
  <cols>
    <col min="1" max="58" width="2.8515625" style="1" customWidth="1"/>
    <col min="59" max="250" width="11.00390625" style="0" customWidth="1"/>
    <col min="251" max="254" width="12.140625" style="1" hidden="1" customWidth="1"/>
    <col min="255" max="16384" width="11.00390625" style="0" customWidth="1"/>
  </cols>
  <sheetData>
    <row r="1" spans="1:58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9" ht="12.75" customHeight="1">
      <c r="A2" s="3" t="s">
        <v>1</v>
      </c>
      <c r="B2" s="3"/>
      <c r="C2" s="3"/>
      <c r="D2" s="3"/>
      <c r="E2" s="3"/>
      <c r="F2" s="4">
        <f>'Stavební rozpočet'!D2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2</v>
      </c>
      <c r="AK2" s="5"/>
      <c r="AL2" s="5"/>
      <c r="AM2" s="5"/>
      <c r="AN2" s="5"/>
      <c r="AO2" s="5"/>
      <c r="AP2" s="5"/>
      <c r="AQ2" s="6">
        <f>'Stavební rozpočet'!G2</f>
        <v>0</v>
      </c>
      <c r="AR2" s="6"/>
      <c r="AS2" s="6"/>
      <c r="AT2" s="6"/>
      <c r="AU2" s="6"/>
      <c r="AV2" s="6"/>
      <c r="AW2" s="7" t="s">
        <v>3</v>
      </c>
      <c r="AX2" s="7"/>
      <c r="AY2" s="7"/>
      <c r="AZ2" s="7"/>
      <c r="BA2" s="7"/>
      <c r="BB2" s="7"/>
      <c r="BC2" s="7"/>
      <c r="BD2" s="8">
        <f>'Stavební rozpočet'!I2</f>
        <v>0</v>
      </c>
      <c r="BE2" s="8"/>
      <c r="BF2" s="8"/>
      <c r="BG2" s="9"/>
    </row>
    <row r="3" spans="1:59" ht="12.7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5"/>
      <c r="AL3" s="5"/>
      <c r="AM3" s="5"/>
      <c r="AN3" s="5"/>
      <c r="AO3" s="5"/>
      <c r="AP3" s="5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8"/>
      <c r="BE3" s="8"/>
      <c r="BF3" s="8"/>
      <c r="BG3" s="9"/>
    </row>
    <row r="4" spans="1:59" ht="12.75" customHeight="1">
      <c r="A4" s="10" t="s">
        <v>4</v>
      </c>
      <c r="B4" s="10"/>
      <c r="C4" s="10"/>
      <c r="D4" s="10"/>
      <c r="E4" s="10"/>
      <c r="F4" s="11">
        <f>'Stavební rozpočet'!D4</f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 t="s">
        <v>5</v>
      </c>
      <c r="AK4" s="12"/>
      <c r="AL4" s="12"/>
      <c r="AM4" s="12"/>
      <c r="AN4" s="12"/>
      <c r="AO4" s="12"/>
      <c r="AP4" s="12"/>
      <c r="AQ4" s="11">
        <f>'Stavební rozpočet'!G4</f>
        <v>0</v>
      </c>
      <c r="AR4" s="11"/>
      <c r="AS4" s="11"/>
      <c r="AT4" s="11"/>
      <c r="AU4" s="11"/>
      <c r="AV4" s="11"/>
      <c r="AW4" s="13" t="s">
        <v>6</v>
      </c>
      <c r="AX4" s="13"/>
      <c r="AY4" s="13"/>
      <c r="AZ4" s="13"/>
      <c r="BA4" s="13"/>
      <c r="BB4" s="13"/>
      <c r="BC4" s="13"/>
      <c r="BD4" s="14">
        <f>'Stavební rozpočet'!I4</f>
        <v>0</v>
      </c>
      <c r="BE4" s="14"/>
      <c r="BF4" s="14"/>
      <c r="BG4" s="9"/>
    </row>
    <row r="5" spans="1:59" ht="12.75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1"/>
      <c r="AR5" s="11"/>
      <c r="AS5" s="11"/>
      <c r="AT5" s="11"/>
      <c r="AU5" s="11"/>
      <c r="AV5" s="11"/>
      <c r="AW5" s="13"/>
      <c r="AX5" s="13"/>
      <c r="AY5" s="13"/>
      <c r="AZ5" s="13"/>
      <c r="BA5" s="13"/>
      <c r="BB5" s="13"/>
      <c r="BC5" s="13"/>
      <c r="BD5" s="14"/>
      <c r="BE5" s="14"/>
      <c r="BF5" s="14"/>
      <c r="BG5" s="9"/>
    </row>
    <row r="6" spans="1:59" ht="12.75" customHeight="1">
      <c r="A6" s="10" t="s">
        <v>7</v>
      </c>
      <c r="B6" s="10"/>
      <c r="C6" s="10"/>
      <c r="D6" s="10"/>
      <c r="E6" s="10"/>
      <c r="F6" s="11">
        <f>'Stavební rozpočet'!D6</f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 t="s">
        <v>8</v>
      </c>
      <c r="AK6" s="12"/>
      <c r="AL6" s="12"/>
      <c r="AM6" s="12"/>
      <c r="AN6" s="12"/>
      <c r="AO6" s="12"/>
      <c r="AP6" s="12"/>
      <c r="AQ6" s="11">
        <f>'Stavební rozpočet'!G6</f>
        <v>0</v>
      </c>
      <c r="AR6" s="11"/>
      <c r="AS6" s="11"/>
      <c r="AT6" s="11"/>
      <c r="AU6" s="11"/>
      <c r="AV6" s="11"/>
      <c r="AW6" s="13" t="s">
        <v>9</v>
      </c>
      <c r="AX6" s="13"/>
      <c r="AY6" s="13"/>
      <c r="AZ6" s="13"/>
      <c r="BA6" s="13"/>
      <c r="BB6" s="13"/>
      <c r="BC6" s="13"/>
      <c r="BD6" s="14">
        <f>'Stavební rozpočet'!I6</f>
        <v>0</v>
      </c>
      <c r="BE6" s="14"/>
      <c r="BF6" s="14"/>
      <c r="BG6" s="9"/>
    </row>
    <row r="7" spans="1:59" ht="12.75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  <c r="AK7" s="12"/>
      <c r="AL7" s="12"/>
      <c r="AM7" s="12"/>
      <c r="AN7" s="12"/>
      <c r="AO7" s="12"/>
      <c r="AP7" s="12"/>
      <c r="AQ7" s="11"/>
      <c r="AR7" s="11"/>
      <c r="AS7" s="11"/>
      <c r="AT7" s="11"/>
      <c r="AU7" s="11"/>
      <c r="AV7" s="11"/>
      <c r="AW7" s="13"/>
      <c r="AX7" s="13"/>
      <c r="AY7" s="13"/>
      <c r="AZ7" s="13"/>
      <c r="BA7" s="13"/>
      <c r="BB7" s="13"/>
      <c r="BC7" s="13"/>
      <c r="BD7" s="14"/>
      <c r="BE7" s="14"/>
      <c r="BF7" s="14"/>
      <c r="BG7" s="9"/>
    </row>
    <row r="8" spans="1:59" ht="12.75" customHeight="1">
      <c r="A8" s="15" t="s">
        <v>10</v>
      </c>
      <c r="B8" s="15"/>
      <c r="C8" s="15"/>
      <c r="D8" s="15"/>
      <c r="E8" s="15"/>
      <c r="F8" s="16">
        <f>'Stavební rozpočet'!D8</f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 t="s">
        <v>11</v>
      </c>
      <c r="AK8" s="17"/>
      <c r="AL8" s="17"/>
      <c r="AM8" s="17"/>
      <c r="AN8" s="17"/>
      <c r="AO8" s="17"/>
      <c r="AP8" s="17"/>
      <c r="AQ8" s="16">
        <f>'Stavební rozpočet'!G8</f>
        <v>0</v>
      </c>
      <c r="AR8" s="16"/>
      <c r="AS8" s="16"/>
      <c r="AT8" s="16"/>
      <c r="AU8" s="16"/>
      <c r="AV8" s="16"/>
      <c r="AW8" s="18" t="s">
        <v>12</v>
      </c>
      <c r="AX8" s="18"/>
      <c r="AY8" s="18"/>
      <c r="AZ8" s="18"/>
      <c r="BA8" s="18"/>
      <c r="BB8" s="18"/>
      <c r="BC8" s="18"/>
      <c r="BD8" s="19">
        <f>'Stavební rozpočet'!I8</f>
        <v>0</v>
      </c>
      <c r="BE8" s="19"/>
      <c r="BF8" s="19"/>
      <c r="BG8" s="9"/>
    </row>
    <row r="9" spans="1:59" ht="12.75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7"/>
      <c r="AL9" s="17"/>
      <c r="AM9" s="17"/>
      <c r="AN9" s="17"/>
      <c r="AO9" s="17"/>
      <c r="AP9" s="17"/>
      <c r="AQ9" s="16"/>
      <c r="AR9" s="16"/>
      <c r="AS9" s="16"/>
      <c r="AT9" s="16"/>
      <c r="AU9" s="16"/>
      <c r="AV9" s="16"/>
      <c r="AW9" s="18"/>
      <c r="AX9" s="18"/>
      <c r="AY9" s="18"/>
      <c r="AZ9" s="18"/>
      <c r="BA9" s="18"/>
      <c r="BB9" s="18"/>
      <c r="BC9" s="18"/>
      <c r="BD9" s="19"/>
      <c r="BE9" s="19"/>
      <c r="BF9" s="19"/>
      <c r="BG9" s="9"/>
    </row>
    <row r="10" spans="1:59" ht="12.75">
      <c r="A10" s="20" t="s">
        <v>13</v>
      </c>
      <c r="B10" s="20"/>
      <c r="C10" s="20" t="s">
        <v>14</v>
      </c>
      <c r="D10" s="20"/>
      <c r="E10" s="20"/>
      <c r="F10" s="20"/>
      <c r="G10" s="20"/>
      <c r="H10" s="20"/>
      <c r="I10" s="20" t="s">
        <v>15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 t="s">
        <v>16</v>
      </c>
      <c r="AG10" s="20"/>
      <c r="AH10" s="20" t="s">
        <v>17</v>
      </c>
      <c r="AI10" s="20"/>
      <c r="AJ10" s="20"/>
      <c r="AK10" s="20"/>
      <c r="AL10" s="20" t="s">
        <v>18</v>
      </c>
      <c r="AM10" s="20"/>
      <c r="AN10" s="20"/>
      <c r="AO10" s="20"/>
      <c r="AP10" s="20"/>
      <c r="AQ10" s="20" t="s">
        <v>19</v>
      </c>
      <c r="AR10" s="20"/>
      <c r="AS10" s="20"/>
      <c r="AT10" s="20"/>
      <c r="AU10" s="20"/>
      <c r="AV10" s="20"/>
      <c r="AW10" s="20"/>
      <c r="AX10" s="20"/>
      <c r="AY10" s="21" t="s">
        <v>20</v>
      </c>
      <c r="AZ10" s="21"/>
      <c r="BA10" s="21"/>
      <c r="BB10" s="21"/>
      <c r="BC10" s="21"/>
      <c r="BD10" s="21"/>
      <c r="BE10" s="21"/>
      <c r="BF10" s="21"/>
      <c r="BG10" s="9"/>
    </row>
    <row r="11" spans="1:58" ht="12.75">
      <c r="A11" s="22" t="s">
        <v>21</v>
      </c>
      <c r="B11" s="22"/>
      <c r="C11" s="22" t="s">
        <v>22</v>
      </c>
      <c r="D11" s="22"/>
      <c r="E11" s="22"/>
      <c r="F11" s="22"/>
      <c r="G11" s="22"/>
      <c r="H11" s="22"/>
      <c r="I11" s="22" t="s">
        <v>23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 t="s">
        <v>21</v>
      </c>
      <c r="AG11" s="22"/>
      <c r="AH11" s="22" t="s">
        <v>21</v>
      </c>
      <c r="AI11" s="22"/>
      <c r="AJ11" s="22"/>
      <c r="AK11" s="22"/>
      <c r="AL11" s="23" t="s">
        <v>21</v>
      </c>
      <c r="AM11" s="23"/>
      <c r="AN11" s="23"/>
      <c r="AO11" s="23"/>
      <c r="AP11" s="23"/>
      <c r="AQ11" s="23" t="s">
        <v>21</v>
      </c>
      <c r="AR11" s="23"/>
      <c r="AS11" s="23"/>
      <c r="AT11" s="23"/>
      <c r="AU11" s="23"/>
      <c r="AV11" s="23"/>
      <c r="AW11" s="23"/>
      <c r="AX11" s="23"/>
      <c r="AY11" s="24">
        <f>SUM(AY12:AY33)</f>
        <v>0</v>
      </c>
      <c r="AZ11" s="24"/>
      <c r="BA11" s="24"/>
      <c r="BB11" s="24"/>
      <c r="BC11" s="24"/>
      <c r="BD11" s="24"/>
      <c r="BE11" s="24"/>
      <c r="BF11" s="24"/>
    </row>
    <row r="12" spans="1:253" ht="14.25">
      <c r="A12" s="12" t="s">
        <v>24</v>
      </c>
      <c r="B12" s="12"/>
      <c r="C12" s="12" t="s">
        <v>25</v>
      </c>
      <c r="D12" s="12"/>
      <c r="E12" s="12"/>
      <c r="F12" s="12"/>
      <c r="G12" s="12"/>
      <c r="H12" s="12"/>
      <c r="I12" s="12" t="s">
        <v>26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 t="s">
        <v>27</v>
      </c>
      <c r="AG12" s="12"/>
      <c r="AH12" s="12" t="s">
        <v>28</v>
      </c>
      <c r="AI12" s="12"/>
      <c r="AJ12" s="12"/>
      <c r="AK12" s="12"/>
      <c r="AL12" s="25">
        <v>47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>
        <f aca="true" t="shared" si="0" ref="AY12:AY33">IR12*AL12+IS12*AL12</f>
        <v>0</v>
      </c>
      <c r="AZ12" s="25"/>
      <c r="BA12" s="25"/>
      <c r="BB12" s="25"/>
      <c r="BC12" s="25"/>
      <c r="BD12" s="25"/>
      <c r="BE12" s="25"/>
      <c r="BF12" s="25"/>
      <c r="IR12" s="26">
        <f aca="true" t="shared" si="1" ref="IR12:IR13">AQ12*0</f>
        <v>0</v>
      </c>
      <c r="IS12" s="26">
        <f aca="true" t="shared" si="2" ref="IS12:IS13">AQ12*(1-0)</f>
        <v>0</v>
      </c>
    </row>
    <row r="13" spans="1:253" ht="14.25">
      <c r="A13" s="12" t="s">
        <v>29</v>
      </c>
      <c r="B13" s="12"/>
      <c r="C13" s="12" t="s">
        <v>30</v>
      </c>
      <c r="D13" s="12"/>
      <c r="E13" s="12"/>
      <c r="F13" s="12"/>
      <c r="G13" s="12"/>
      <c r="H13" s="12"/>
      <c r="I13" s="12" t="s">
        <v>31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 t="s">
        <v>27</v>
      </c>
      <c r="AG13" s="12"/>
      <c r="AH13" s="12" t="s">
        <v>28</v>
      </c>
      <c r="AI13" s="12"/>
      <c r="AJ13" s="12"/>
      <c r="AK13" s="12"/>
      <c r="AL13" s="25">
        <v>42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>
        <f t="shared" si="0"/>
        <v>0</v>
      </c>
      <c r="AZ13" s="25"/>
      <c r="BA13" s="25"/>
      <c r="BB13" s="25"/>
      <c r="BC13" s="25"/>
      <c r="BD13" s="25"/>
      <c r="BE13" s="25"/>
      <c r="BF13" s="25"/>
      <c r="IR13" s="26">
        <f t="shared" si="1"/>
        <v>0</v>
      </c>
      <c r="IS13" s="26">
        <f t="shared" si="2"/>
        <v>0</v>
      </c>
    </row>
    <row r="14" spans="1:253" ht="14.25">
      <c r="A14" s="12" t="s">
        <v>32</v>
      </c>
      <c r="B14" s="12"/>
      <c r="C14" s="12" t="s">
        <v>33</v>
      </c>
      <c r="D14" s="12"/>
      <c r="E14" s="12"/>
      <c r="F14" s="12"/>
      <c r="G14" s="12"/>
      <c r="H14" s="12"/>
      <c r="I14" s="12" t="s">
        <v>34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 t="s">
        <v>27</v>
      </c>
      <c r="AG14" s="12"/>
      <c r="AH14" s="12" t="s">
        <v>28</v>
      </c>
      <c r="AI14" s="12"/>
      <c r="AJ14" s="12"/>
      <c r="AK14" s="12"/>
      <c r="AL14" s="25">
        <v>5.4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>
        <f t="shared" si="0"/>
        <v>0</v>
      </c>
      <c r="AZ14" s="25"/>
      <c r="BA14" s="25"/>
      <c r="BB14" s="25"/>
      <c r="BC14" s="25"/>
      <c r="BD14" s="25"/>
      <c r="BE14" s="25"/>
      <c r="BF14" s="25"/>
      <c r="IR14" s="26">
        <f>AQ14*0.567777777777778</f>
        <v>0</v>
      </c>
      <c r="IS14" s="26">
        <f>AQ14*(1-0.567777777777778)</f>
        <v>0</v>
      </c>
    </row>
    <row r="15" spans="1:253" ht="14.25">
      <c r="A15" s="12" t="s">
        <v>35</v>
      </c>
      <c r="B15" s="12"/>
      <c r="C15" s="12" t="s">
        <v>36</v>
      </c>
      <c r="D15" s="12"/>
      <c r="E15" s="12"/>
      <c r="F15" s="12"/>
      <c r="G15" s="12"/>
      <c r="H15" s="12"/>
      <c r="I15" s="12" t="s">
        <v>37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 t="s">
        <v>27</v>
      </c>
      <c r="AG15" s="12"/>
      <c r="AH15" s="12" t="s">
        <v>28</v>
      </c>
      <c r="AI15" s="12"/>
      <c r="AJ15" s="12"/>
      <c r="AK15" s="12"/>
      <c r="AL15" s="25">
        <v>37.8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>
        <f t="shared" si="0"/>
        <v>0</v>
      </c>
      <c r="AZ15" s="25"/>
      <c r="BA15" s="25"/>
      <c r="BB15" s="25"/>
      <c r="BC15" s="25"/>
      <c r="BD15" s="25"/>
      <c r="BE15" s="25"/>
      <c r="BF15" s="25"/>
      <c r="IR15" s="26">
        <f>AQ15*0.586609814129897</f>
        <v>0</v>
      </c>
      <c r="IS15" s="26">
        <f>AQ15*(1-0.586609814129897)</f>
        <v>0</v>
      </c>
    </row>
    <row r="16" spans="1:253" ht="14.25">
      <c r="A16" s="12" t="s">
        <v>38</v>
      </c>
      <c r="B16" s="12"/>
      <c r="C16" s="12" t="s">
        <v>39</v>
      </c>
      <c r="D16" s="12"/>
      <c r="E16" s="12"/>
      <c r="F16" s="12"/>
      <c r="G16" s="12"/>
      <c r="H16" s="12"/>
      <c r="I16" s="12" t="s">
        <v>40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 t="s">
        <v>27</v>
      </c>
      <c r="AG16" s="12"/>
      <c r="AH16" s="12" t="s">
        <v>28</v>
      </c>
      <c r="AI16" s="12"/>
      <c r="AJ16" s="12"/>
      <c r="AK16" s="12"/>
      <c r="AL16" s="25">
        <v>10.8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>
        <f t="shared" si="0"/>
        <v>0</v>
      </c>
      <c r="AZ16" s="25"/>
      <c r="BA16" s="25"/>
      <c r="BB16" s="25"/>
      <c r="BC16" s="25"/>
      <c r="BD16" s="25"/>
      <c r="BE16" s="25"/>
      <c r="BF16" s="25"/>
      <c r="IR16" s="26">
        <f>AQ16*0.467151745228303</f>
        <v>0</v>
      </c>
      <c r="IS16" s="26">
        <f>AQ16*(1-0.467151745228303)</f>
        <v>0</v>
      </c>
    </row>
    <row r="17" spans="1:253" ht="14.25">
      <c r="A17" s="12" t="s">
        <v>41</v>
      </c>
      <c r="B17" s="12"/>
      <c r="C17" s="12" t="s">
        <v>42</v>
      </c>
      <c r="D17" s="12"/>
      <c r="E17" s="12"/>
      <c r="F17" s="12"/>
      <c r="G17" s="12"/>
      <c r="H17" s="12"/>
      <c r="I17" s="12" t="s">
        <v>43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 t="s">
        <v>27</v>
      </c>
      <c r="AG17" s="12"/>
      <c r="AH17" s="12" t="s">
        <v>28</v>
      </c>
      <c r="AI17" s="12"/>
      <c r="AJ17" s="12"/>
      <c r="AK17" s="12"/>
      <c r="AL17" s="25">
        <v>35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>
        <f t="shared" si="0"/>
        <v>0</v>
      </c>
      <c r="AZ17" s="25"/>
      <c r="BA17" s="25"/>
      <c r="BB17" s="25"/>
      <c r="BC17" s="25"/>
      <c r="BD17" s="25"/>
      <c r="BE17" s="25"/>
      <c r="BF17" s="25"/>
      <c r="IR17" s="26">
        <f>AQ17*0.378140876012632</f>
        <v>0</v>
      </c>
      <c r="IS17" s="26">
        <f>AQ17*(1-0.378140876012632)</f>
        <v>0</v>
      </c>
    </row>
    <row r="18" spans="1:253" ht="14.25">
      <c r="A18" s="12" t="s">
        <v>44</v>
      </c>
      <c r="B18" s="12"/>
      <c r="C18" s="12" t="s">
        <v>45</v>
      </c>
      <c r="D18" s="12"/>
      <c r="E18" s="12"/>
      <c r="F18" s="12"/>
      <c r="G18" s="12"/>
      <c r="H18" s="12"/>
      <c r="I18" s="12" t="s">
        <v>46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 t="s">
        <v>27</v>
      </c>
      <c r="AG18" s="12"/>
      <c r="AH18" s="12" t="s">
        <v>28</v>
      </c>
      <c r="AI18" s="12"/>
      <c r="AJ18" s="12"/>
      <c r="AK18" s="12"/>
      <c r="AL18" s="25">
        <v>5.4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>
        <f t="shared" si="0"/>
        <v>0</v>
      </c>
      <c r="AZ18" s="25"/>
      <c r="BA18" s="25"/>
      <c r="BB18" s="25"/>
      <c r="BC18" s="25"/>
      <c r="BD18" s="25"/>
      <c r="BE18" s="25"/>
      <c r="BF18" s="25"/>
      <c r="IR18" s="26">
        <f>AQ18*0.456857167485562</f>
        <v>0</v>
      </c>
      <c r="IS18" s="26">
        <f>AQ18*(1-0.456857167485562)</f>
        <v>0</v>
      </c>
    </row>
    <row r="19" spans="1:253" ht="14.25">
      <c r="A19" s="12" t="s">
        <v>47</v>
      </c>
      <c r="B19" s="12"/>
      <c r="C19" s="12" t="s">
        <v>48</v>
      </c>
      <c r="D19" s="12"/>
      <c r="E19" s="12"/>
      <c r="F19" s="12"/>
      <c r="G19" s="12"/>
      <c r="H19" s="12"/>
      <c r="I19" s="12" t="s">
        <v>49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 t="s">
        <v>27</v>
      </c>
      <c r="AG19" s="12"/>
      <c r="AH19" s="12" t="s">
        <v>28</v>
      </c>
      <c r="AI19" s="12"/>
      <c r="AJ19" s="12"/>
      <c r="AK19" s="12"/>
      <c r="AL19" s="25">
        <v>37.8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>
        <f t="shared" si="0"/>
        <v>0</v>
      </c>
      <c r="AZ19" s="25"/>
      <c r="BA19" s="25"/>
      <c r="BB19" s="25"/>
      <c r="BC19" s="25"/>
      <c r="BD19" s="25"/>
      <c r="BE19" s="25"/>
      <c r="BF19" s="25"/>
      <c r="IR19" s="26">
        <f>AQ19*0.429509803921569</f>
        <v>0</v>
      </c>
      <c r="IS19" s="26">
        <f>AQ19*(1-0.429509803921569)</f>
        <v>0</v>
      </c>
    </row>
    <row r="20" spans="1:253" ht="14.25">
      <c r="A20" s="12" t="s">
        <v>50</v>
      </c>
      <c r="B20" s="12"/>
      <c r="C20" s="12" t="s">
        <v>51</v>
      </c>
      <c r="D20" s="12"/>
      <c r="E20" s="12"/>
      <c r="F20" s="12"/>
      <c r="G20" s="12"/>
      <c r="H20" s="12"/>
      <c r="I20" s="12" t="s">
        <v>52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 t="s">
        <v>27</v>
      </c>
      <c r="AG20" s="12"/>
      <c r="AH20" s="12" t="s">
        <v>28</v>
      </c>
      <c r="AI20" s="12"/>
      <c r="AJ20" s="12"/>
      <c r="AK20" s="12"/>
      <c r="AL20" s="25">
        <v>10.8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>
        <f t="shared" si="0"/>
        <v>0</v>
      </c>
      <c r="AZ20" s="25"/>
      <c r="BA20" s="25"/>
      <c r="BB20" s="25"/>
      <c r="BC20" s="25"/>
      <c r="BD20" s="25"/>
      <c r="BE20" s="25"/>
      <c r="BF20" s="25"/>
      <c r="IR20" s="26">
        <f>AQ20*0.412113085260923</f>
        <v>0</v>
      </c>
      <c r="IS20" s="26">
        <f>AQ20*(1-0.412113085260923)</f>
        <v>0</v>
      </c>
    </row>
    <row r="21" spans="1:253" ht="14.25">
      <c r="A21" s="12" t="s">
        <v>53</v>
      </c>
      <c r="B21" s="12"/>
      <c r="C21" s="12" t="s">
        <v>54</v>
      </c>
      <c r="D21" s="12"/>
      <c r="E21" s="12"/>
      <c r="F21" s="12"/>
      <c r="G21" s="12"/>
      <c r="H21" s="12"/>
      <c r="I21" s="12" t="s">
        <v>55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 t="s">
        <v>27</v>
      </c>
      <c r="AG21" s="12"/>
      <c r="AH21" s="12" t="s">
        <v>28</v>
      </c>
      <c r="AI21" s="12"/>
      <c r="AJ21" s="12"/>
      <c r="AK21" s="12"/>
      <c r="AL21" s="25">
        <v>35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>
        <f t="shared" si="0"/>
        <v>0</v>
      </c>
      <c r="AZ21" s="25"/>
      <c r="BA21" s="25"/>
      <c r="BB21" s="25"/>
      <c r="BC21" s="25"/>
      <c r="BD21" s="25"/>
      <c r="BE21" s="25"/>
      <c r="BF21" s="25"/>
      <c r="IR21" s="26">
        <f>AQ21*0.388618925831202</f>
        <v>0</v>
      </c>
      <c r="IS21" s="26">
        <f>AQ21*(1-0.388618925831202)</f>
        <v>0</v>
      </c>
    </row>
    <row r="22" spans="1:253" ht="14.25">
      <c r="A22" s="12" t="s">
        <v>56</v>
      </c>
      <c r="B22" s="12"/>
      <c r="C22" s="12" t="s">
        <v>57</v>
      </c>
      <c r="D22" s="12"/>
      <c r="E22" s="12"/>
      <c r="F22" s="12"/>
      <c r="G22" s="12"/>
      <c r="H22" s="12"/>
      <c r="I22" s="12" t="s">
        <v>58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 t="s">
        <v>59</v>
      </c>
      <c r="AG22" s="12"/>
      <c r="AH22" s="12" t="s">
        <v>28</v>
      </c>
      <c r="AI22" s="12"/>
      <c r="AJ22" s="12"/>
      <c r="AK22" s="12"/>
      <c r="AL22" s="25">
        <v>3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>
        <f t="shared" si="0"/>
        <v>0</v>
      </c>
      <c r="AZ22" s="25"/>
      <c r="BA22" s="25"/>
      <c r="BB22" s="25"/>
      <c r="BC22" s="25"/>
      <c r="BD22" s="25"/>
      <c r="BE22" s="25"/>
      <c r="BF22" s="25"/>
      <c r="IR22" s="26">
        <f>AQ22*0.463064516129032</f>
        <v>0</v>
      </c>
      <c r="IS22" s="26">
        <f>AQ22*(1-0.463064516129032)</f>
        <v>0</v>
      </c>
    </row>
    <row r="23" spans="1:253" ht="14.25">
      <c r="A23" s="12" t="s">
        <v>60</v>
      </c>
      <c r="B23" s="12"/>
      <c r="C23" s="12" t="s">
        <v>61</v>
      </c>
      <c r="D23" s="12"/>
      <c r="E23" s="12"/>
      <c r="F23" s="12"/>
      <c r="G23" s="12"/>
      <c r="H23" s="12"/>
      <c r="I23" s="12" t="s">
        <v>62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 t="s">
        <v>59</v>
      </c>
      <c r="AG23" s="12"/>
      <c r="AH23" s="12" t="s">
        <v>28</v>
      </c>
      <c r="AI23" s="12"/>
      <c r="AJ23" s="12"/>
      <c r="AK23" s="12"/>
      <c r="AL23" s="25">
        <v>1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>
        <f t="shared" si="0"/>
        <v>0</v>
      </c>
      <c r="AZ23" s="25"/>
      <c r="BA23" s="25"/>
      <c r="BB23" s="25"/>
      <c r="BC23" s="25"/>
      <c r="BD23" s="25"/>
      <c r="BE23" s="25"/>
      <c r="BF23" s="25"/>
      <c r="IR23" s="26">
        <f>AQ23*0.40263868065967</f>
        <v>0</v>
      </c>
      <c r="IS23" s="26">
        <f>AQ23*(1-0.40263868065967)</f>
        <v>0</v>
      </c>
    </row>
    <row r="24" spans="1:253" ht="14.25">
      <c r="A24" s="12" t="s">
        <v>63</v>
      </c>
      <c r="B24" s="12"/>
      <c r="C24" s="12" t="s">
        <v>64</v>
      </c>
      <c r="D24" s="12"/>
      <c r="E24" s="12"/>
      <c r="F24" s="12"/>
      <c r="G24" s="12"/>
      <c r="H24" s="12"/>
      <c r="I24" s="12" t="s">
        <v>65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 t="s">
        <v>59</v>
      </c>
      <c r="AG24" s="12"/>
      <c r="AH24" s="12" t="s">
        <v>28</v>
      </c>
      <c r="AI24" s="12"/>
      <c r="AJ24" s="12"/>
      <c r="AK24" s="12"/>
      <c r="AL24" s="25">
        <v>4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>
        <f t="shared" si="0"/>
        <v>0</v>
      </c>
      <c r="AZ24" s="25"/>
      <c r="BA24" s="25"/>
      <c r="BB24" s="25"/>
      <c r="BC24" s="25"/>
      <c r="BD24" s="25"/>
      <c r="BE24" s="25"/>
      <c r="BF24" s="25"/>
      <c r="IR24" s="26">
        <f>AQ24*0.339800399201597</f>
        <v>0</v>
      </c>
      <c r="IS24" s="26">
        <f>AQ24*(1-0.339800399201597)</f>
        <v>0</v>
      </c>
    </row>
    <row r="25" spans="1:253" ht="14.25">
      <c r="A25" s="12" t="s">
        <v>66</v>
      </c>
      <c r="B25" s="12"/>
      <c r="C25" s="12" t="s">
        <v>67</v>
      </c>
      <c r="D25" s="12"/>
      <c r="E25" s="12"/>
      <c r="F25" s="12"/>
      <c r="G25" s="12"/>
      <c r="H25" s="12"/>
      <c r="I25" s="12" t="s">
        <v>68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 t="s">
        <v>59</v>
      </c>
      <c r="AG25" s="12"/>
      <c r="AH25" s="12" t="s">
        <v>28</v>
      </c>
      <c r="AI25" s="12"/>
      <c r="AJ25" s="12"/>
      <c r="AK25" s="12"/>
      <c r="AL25" s="25">
        <v>22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>
        <f t="shared" si="0"/>
        <v>0</v>
      </c>
      <c r="AZ25" s="25"/>
      <c r="BA25" s="25"/>
      <c r="BB25" s="25"/>
      <c r="BC25" s="25"/>
      <c r="BD25" s="25"/>
      <c r="BE25" s="25"/>
      <c r="BF25" s="25"/>
      <c r="IR25" s="26">
        <f aca="true" t="shared" si="3" ref="IR25:IR26">AQ25*1</f>
        <v>0</v>
      </c>
      <c r="IS25" s="26">
        <f aca="true" t="shared" si="4" ref="IS25:IS26">AQ25*(1-1)</f>
        <v>0</v>
      </c>
    </row>
    <row r="26" spans="1:253" ht="14.25">
      <c r="A26" s="12" t="s">
        <v>28</v>
      </c>
      <c r="B26" s="12"/>
      <c r="C26" s="12" t="s">
        <v>69</v>
      </c>
      <c r="D26" s="12"/>
      <c r="E26" s="12"/>
      <c r="F26" s="12"/>
      <c r="G26" s="12"/>
      <c r="H26" s="12"/>
      <c r="I26" s="12" t="s">
        <v>70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 t="s">
        <v>59</v>
      </c>
      <c r="AG26" s="12"/>
      <c r="AH26" s="12" t="s">
        <v>28</v>
      </c>
      <c r="AI26" s="12"/>
      <c r="AJ26" s="12"/>
      <c r="AK26" s="12"/>
      <c r="AL26" s="25">
        <v>22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>
        <f t="shared" si="0"/>
        <v>0</v>
      </c>
      <c r="AZ26" s="25"/>
      <c r="BA26" s="25"/>
      <c r="BB26" s="25"/>
      <c r="BC26" s="25"/>
      <c r="BD26" s="25"/>
      <c r="BE26" s="25"/>
      <c r="BF26" s="25"/>
      <c r="IR26" s="26">
        <f t="shared" si="3"/>
        <v>0</v>
      </c>
      <c r="IS26" s="26">
        <f t="shared" si="4"/>
        <v>0</v>
      </c>
    </row>
    <row r="27" spans="1:253" ht="14.25">
      <c r="A27" s="12" t="s">
        <v>71</v>
      </c>
      <c r="B27" s="12"/>
      <c r="C27" s="12" t="s">
        <v>72</v>
      </c>
      <c r="D27" s="12"/>
      <c r="E27" s="12"/>
      <c r="F27" s="12"/>
      <c r="G27" s="12"/>
      <c r="H27" s="12"/>
      <c r="I27" s="12" t="s">
        <v>73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 t="s">
        <v>59</v>
      </c>
      <c r="AG27" s="12"/>
      <c r="AH27" s="12" t="s">
        <v>28</v>
      </c>
      <c r="AI27" s="12"/>
      <c r="AJ27" s="12"/>
      <c r="AK27" s="12"/>
      <c r="AL27" s="25">
        <v>22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>
        <f t="shared" si="0"/>
        <v>0</v>
      </c>
      <c r="AZ27" s="25"/>
      <c r="BA27" s="25"/>
      <c r="BB27" s="25"/>
      <c r="BC27" s="25"/>
      <c r="BD27" s="25"/>
      <c r="BE27" s="25"/>
      <c r="BF27" s="25"/>
      <c r="IR27" s="26">
        <f>AQ27*0</f>
        <v>0</v>
      </c>
      <c r="IS27" s="26">
        <f>AQ27*(1-0)</f>
        <v>0</v>
      </c>
    </row>
    <row r="28" spans="1:253" ht="14.25">
      <c r="A28" s="12" t="s">
        <v>74</v>
      </c>
      <c r="B28" s="12"/>
      <c r="C28" s="12" t="s">
        <v>75</v>
      </c>
      <c r="D28" s="12"/>
      <c r="E28" s="12"/>
      <c r="F28" s="12"/>
      <c r="G28" s="12"/>
      <c r="H28" s="12"/>
      <c r="I28" s="12" t="s">
        <v>76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 t="s">
        <v>59</v>
      </c>
      <c r="AG28" s="12"/>
      <c r="AH28" s="12" t="s">
        <v>28</v>
      </c>
      <c r="AI28" s="12"/>
      <c r="AJ28" s="12"/>
      <c r="AK28" s="12"/>
      <c r="AL28" s="25">
        <v>22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>
        <f t="shared" si="0"/>
        <v>0</v>
      </c>
      <c r="AZ28" s="25"/>
      <c r="BA28" s="25"/>
      <c r="BB28" s="25"/>
      <c r="BC28" s="25"/>
      <c r="BD28" s="25"/>
      <c r="BE28" s="25"/>
      <c r="BF28" s="25"/>
      <c r="IR28" s="26">
        <f>AQ28*0.0308868501529052</f>
        <v>0</v>
      </c>
      <c r="IS28" s="26">
        <f>AQ28*(1-0.0308868501529052)</f>
        <v>0</v>
      </c>
    </row>
    <row r="29" spans="1:253" ht="14.25">
      <c r="A29" s="12" t="s">
        <v>77</v>
      </c>
      <c r="B29" s="12"/>
      <c r="C29" s="12" t="s">
        <v>78</v>
      </c>
      <c r="D29" s="12"/>
      <c r="E29" s="12"/>
      <c r="F29" s="12"/>
      <c r="G29" s="12"/>
      <c r="H29" s="12"/>
      <c r="I29" s="12" t="s">
        <v>79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 t="s">
        <v>59</v>
      </c>
      <c r="AG29" s="12"/>
      <c r="AH29" s="12" t="s">
        <v>28</v>
      </c>
      <c r="AI29" s="12"/>
      <c r="AJ29" s="12"/>
      <c r="AK29" s="12"/>
      <c r="AL29" s="25">
        <v>22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>
        <f t="shared" si="0"/>
        <v>0</v>
      </c>
      <c r="AZ29" s="25"/>
      <c r="BA29" s="25"/>
      <c r="BB29" s="25"/>
      <c r="BC29" s="25"/>
      <c r="BD29" s="25"/>
      <c r="BE29" s="25"/>
      <c r="BF29" s="25"/>
      <c r="IR29" s="26">
        <f>AQ29*0.803280575539568</f>
        <v>0</v>
      </c>
      <c r="IS29" s="26">
        <f>AQ29*(1-0.803280575539568)</f>
        <v>0</v>
      </c>
    </row>
    <row r="30" spans="1:253" ht="14.25">
      <c r="A30" s="12" t="s">
        <v>80</v>
      </c>
      <c r="B30" s="12"/>
      <c r="C30" s="12" t="s">
        <v>81</v>
      </c>
      <c r="D30" s="12"/>
      <c r="E30" s="12"/>
      <c r="F30" s="12"/>
      <c r="G30" s="12"/>
      <c r="H30" s="12"/>
      <c r="I30" s="12" t="s">
        <v>82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 t="s">
        <v>59</v>
      </c>
      <c r="AG30" s="12"/>
      <c r="AH30" s="12" t="s">
        <v>28</v>
      </c>
      <c r="AI30" s="12"/>
      <c r="AJ30" s="12"/>
      <c r="AK30" s="12"/>
      <c r="AL30" s="25">
        <v>22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f t="shared" si="0"/>
        <v>0</v>
      </c>
      <c r="AZ30" s="25"/>
      <c r="BA30" s="25"/>
      <c r="BB30" s="25"/>
      <c r="BC30" s="25"/>
      <c r="BD30" s="25"/>
      <c r="BE30" s="25"/>
      <c r="BF30" s="25"/>
      <c r="IR30" s="26">
        <f>AQ30*0.402252614641995</f>
        <v>0</v>
      </c>
      <c r="IS30" s="26">
        <f>AQ30*(1-0.402252614641995)</f>
        <v>0</v>
      </c>
    </row>
    <row r="31" spans="1:253" ht="14.25">
      <c r="A31" s="12" t="s">
        <v>83</v>
      </c>
      <c r="B31" s="12"/>
      <c r="C31" s="12" t="s">
        <v>84</v>
      </c>
      <c r="D31" s="12"/>
      <c r="E31" s="12"/>
      <c r="F31" s="12"/>
      <c r="G31" s="12"/>
      <c r="H31" s="12"/>
      <c r="I31" s="12" t="s">
        <v>85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 t="s">
        <v>27</v>
      </c>
      <c r="AG31" s="12"/>
      <c r="AH31" s="12" t="s">
        <v>28</v>
      </c>
      <c r="AI31" s="12"/>
      <c r="AJ31" s="12"/>
      <c r="AK31" s="12"/>
      <c r="AL31" s="25">
        <v>89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>
        <f t="shared" si="0"/>
        <v>0</v>
      </c>
      <c r="AZ31" s="25"/>
      <c r="BA31" s="25"/>
      <c r="BB31" s="25"/>
      <c r="BC31" s="25"/>
      <c r="BD31" s="25"/>
      <c r="BE31" s="25"/>
      <c r="BF31" s="25"/>
      <c r="IR31" s="26">
        <f>AQ31*0.0192090395480226</f>
        <v>0</v>
      </c>
      <c r="IS31" s="26">
        <f>AQ31*(1-0.0192090395480226)</f>
        <v>0</v>
      </c>
    </row>
    <row r="32" spans="1:253" ht="14.25">
      <c r="A32" s="12" t="s">
        <v>86</v>
      </c>
      <c r="B32" s="12"/>
      <c r="C32" s="12" t="s">
        <v>87</v>
      </c>
      <c r="D32" s="12"/>
      <c r="E32" s="12"/>
      <c r="F32" s="12"/>
      <c r="G32" s="12"/>
      <c r="H32" s="12"/>
      <c r="I32" s="12" t="s">
        <v>88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 t="s">
        <v>89</v>
      </c>
      <c r="AG32" s="12"/>
      <c r="AH32" s="12" t="s">
        <v>28</v>
      </c>
      <c r="AI32" s="12"/>
      <c r="AJ32" s="12"/>
      <c r="AK32" s="12"/>
      <c r="AL32" s="25">
        <v>0.0257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>
        <f t="shared" si="0"/>
        <v>0</v>
      </c>
      <c r="AZ32" s="25"/>
      <c r="BA32" s="25"/>
      <c r="BB32" s="25"/>
      <c r="BC32" s="25"/>
      <c r="BD32" s="25"/>
      <c r="BE32" s="25"/>
      <c r="BF32" s="25"/>
      <c r="IR32" s="26">
        <f>AQ32*0</f>
        <v>0</v>
      </c>
      <c r="IS32" s="26">
        <f>AQ32*(1-0)</f>
        <v>0</v>
      </c>
    </row>
    <row r="33" spans="1:253" ht="14.25">
      <c r="A33" s="12" t="s">
        <v>90</v>
      </c>
      <c r="B33" s="12"/>
      <c r="C33" s="12" t="s">
        <v>91</v>
      </c>
      <c r="D33" s="12"/>
      <c r="E33" s="12"/>
      <c r="F33" s="12"/>
      <c r="G33" s="12"/>
      <c r="H33" s="12"/>
      <c r="I33" s="12" t="s">
        <v>92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 t="s">
        <v>59</v>
      </c>
      <c r="AG33" s="12"/>
      <c r="AH33" s="12" t="s">
        <v>28</v>
      </c>
      <c r="AI33" s="12"/>
      <c r="AJ33" s="12"/>
      <c r="AK33" s="12"/>
      <c r="AL33" s="25">
        <v>22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>
        <f t="shared" si="0"/>
        <v>0</v>
      </c>
      <c r="AZ33" s="25"/>
      <c r="BA33" s="25"/>
      <c r="BB33" s="25"/>
      <c r="BC33" s="25"/>
      <c r="BD33" s="25"/>
      <c r="BE33" s="25"/>
      <c r="BF33" s="25"/>
      <c r="IR33" s="26">
        <f>AQ33*0.285714285714286</f>
        <v>0</v>
      </c>
      <c r="IS33" s="26">
        <f>AQ33*(1-0.285714285714286)</f>
        <v>0</v>
      </c>
    </row>
    <row r="34" spans="1:58" ht="12.75">
      <c r="A34" s="27" t="s">
        <v>21</v>
      </c>
      <c r="B34" s="27"/>
      <c r="C34" s="27" t="s">
        <v>93</v>
      </c>
      <c r="D34" s="27"/>
      <c r="E34" s="27"/>
      <c r="F34" s="27"/>
      <c r="G34" s="27"/>
      <c r="H34" s="27"/>
      <c r="I34" s="27" t="s">
        <v>94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 t="s">
        <v>21</v>
      </c>
      <c r="AG34" s="27"/>
      <c r="AH34" s="27" t="s">
        <v>21</v>
      </c>
      <c r="AI34" s="27"/>
      <c r="AJ34" s="27"/>
      <c r="AK34" s="27"/>
      <c r="AL34" s="28" t="s">
        <v>21</v>
      </c>
      <c r="AM34" s="28"/>
      <c r="AN34" s="28"/>
      <c r="AO34" s="28"/>
      <c r="AP34" s="28"/>
      <c r="AQ34" s="28" t="s">
        <v>21</v>
      </c>
      <c r="AR34" s="28"/>
      <c r="AS34" s="28"/>
      <c r="AT34" s="28"/>
      <c r="AU34" s="28"/>
      <c r="AV34" s="28"/>
      <c r="AW34" s="28"/>
      <c r="AX34" s="28"/>
      <c r="AY34" s="29">
        <f>SUM(AY35:AY38)</f>
        <v>0</v>
      </c>
      <c r="AZ34" s="29"/>
      <c r="BA34" s="29"/>
      <c r="BB34" s="29"/>
      <c r="BC34" s="29"/>
      <c r="BD34" s="29"/>
      <c r="BE34" s="29"/>
      <c r="BF34" s="29"/>
    </row>
    <row r="35" spans="1:253" ht="14.25">
      <c r="A35" s="12" t="s">
        <v>95</v>
      </c>
      <c r="B35" s="12"/>
      <c r="C35" s="12" t="s">
        <v>96</v>
      </c>
      <c r="D35" s="12"/>
      <c r="E35" s="12"/>
      <c r="F35" s="12"/>
      <c r="G35" s="12"/>
      <c r="H35" s="12"/>
      <c r="I35" s="12" t="s">
        <v>97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 t="s">
        <v>59</v>
      </c>
      <c r="AG35" s="12"/>
      <c r="AH35" s="12" t="s">
        <v>28</v>
      </c>
      <c r="AI35" s="12"/>
      <c r="AJ35" s="12"/>
      <c r="AK35" s="12"/>
      <c r="AL35" s="25">
        <v>11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>
        <f aca="true" t="shared" si="5" ref="AY35:AY38">IR35*AL35+IS35*AL35</f>
        <v>0</v>
      </c>
      <c r="AZ35" s="25"/>
      <c r="BA35" s="25"/>
      <c r="BB35" s="25"/>
      <c r="BC35" s="25"/>
      <c r="BD35" s="25"/>
      <c r="BE35" s="25"/>
      <c r="BF35" s="25"/>
      <c r="IR35" s="26">
        <f>AQ35*0.206772908366534</f>
        <v>0</v>
      </c>
      <c r="IS35" s="26">
        <f>AQ35*(1-0.206772908366534)</f>
        <v>0</v>
      </c>
    </row>
    <row r="36" spans="1:253" ht="14.25">
      <c r="A36" s="12" t="s">
        <v>98</v>
      </c>
      <c r="B36" s="12"/>
      <c r="C36" s="12" t="s">
        <v>99</v>
      </c>
      <c r="D36" s="12"/>
      <c r="E36" s="12"/>
      <c r="F36" s="12"/>
      <c r="G36" s="12"/>
      <c r="H36" s="12"/>
      <c r="I36" s="12" t="s">
        <v>100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 t="s">
        <v>59</v>
      </c>
      <c r="AG36" s="12"/>
      <c r="AH36" s="12" t="s">
        <v>28</v>
      </c>
      <c r="AI36" s="12"/>
      <c r="AJ36" s="12"/>
      <c r="AK36" s="12"/>
      <c r="AL36" s="25">
        <v>11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>
        <f t="shared" si="5"/>
        <v>0</v>
      </c>
      <c r="AZ36" s="25"/>
      <c r="BA36" s="25"/>
      <c r="BB36" s="25"/>
      <c r="BC36" s="25"/>
      <c r="BD36" s="25"/>
      <c r="BE36" s="25"/>
      <c r="BF36" s="25"/>
      <c r="IR36" s="26">
        <f>AQ36*0.269779735682819</f>
        <v>0</v>
      </c>
      <c r="IS36" s="26">
        <f>AQ36*(1-0.269779735682819)</f>
        <v>0</v>
      </c>
    </row>
    <row r="37" spans="1:253" ht="14.25">
      <c r="A37" s="12" t="s">
        <v>101</v>
      </c>
      <c r="B37" s="12"/>
      <c r="C37" s="12" t="s">
        <v>102</v>
      </c>
      <c r="D37" s="12"/>
      <c r="E37" s="12"/>
      <c r="F37" s="12"/>
      <c r="G37" s="12"/>
      <c r="H37" s="12"/>
      <c r="I37" s="12" t="s">
        <v>103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 t="s">
        <v>104</v>
      </c>
      <c r="AG37" s="12"/>
      <c r="AH37" s="12" t="s">
        <v>28</v>
      </c>
      <c r="AI37" s="12"/>
      <c r="AJ37" s="12"/>
      <c r="AK37" s="12"/>
      <c r="AL37" s="25">
        <v>11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>
        <f t="shared" si="5"/>
        <v>0</v>
      </c>
      <c r="AZ37" s="25"/>
      <c r="BA37" s="25"/>
      <c r="BB37" s="25"/>
      <c r="BC37" s="25"/>
      <c r="BD37" s="25"/>
      <c r="BE37" s="25"/>
      <c r="BF37" s="25"/>
      <c r="IR37" s="26">
        <f aca="true" t="shared" si="6" ref="IR37:IR38">AQ37*0</f>
        <v>0</v>
      </c>
      <c r="IS37" s="26">
        <f aca="true" t="shared" si="7" ref="IS37:IS38">AQ37*(1-0)</f>
        <v>0</v>
      </c>
    </row>
    <row r="38" spans="1:253" ht="14.25">
      <c r="A38" s="12" t="s">
        <v>105</v>
      </c>
      <c r="B38" s="12"/>
      <c r="C38" s="12" t="s">
        <v>106</v>
      </c>
      <c r="D38" s="12"/>
      <c r="E38" s="12"/>
      <c r="F38" s="12"/>
      <c r="G38" s="12"/>
      <c r="H38" s="12"/>
      <c r="I38" s="12" t="s">
        <v>107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 t="s">
        <v>104</v>
      </c>
      <c r="AG38" s="12"/>
      <c r="AH38" s="12" t="s">
        <v>28</v>
      </c>
      <c r="AI38" s="12"/>
      <c r="AJ38" s="12"/>
      <c r="AK38" s="12"/>
      <c r="AL38" s="25">
        <v>11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>
        <f t="shared" si="5"/>
        <v>0</v>
      </c>
      <c r="AZ38" s="25"/>
      <c r="BA38" s="25"/>
      <c r="BB38" s="25"/>
      <c r="BC38" s="25"/>
      <c r="BD38" s="25"/>
      <c r="BE38" s="25"/>
      <c r="BF38" s="25"/>
      <c r="IR38" s="26">
        <f t="shared" si="6"/>
        <v>0</v>
      </c>
      <c r="IS38" s="26">
        <f t="shared" si="7"/>
        <v>0</v>
      </c>
    </row>
    <row r="39" spans="1:58" ht="14.25">
      <c r="A39" s="27" t="s">
        <v>21</v>
      </c>
      <c r="B39" s="27"/>
      <c r="C39" s="27" t="s">
        <v>108</v>
      </c>
      <c r="D39" s="27"/>
      <c r="E39" s="27"/>
      <c r="F39" s="27"/>
      <c r="G39" s="27"/>
      <c r="H39" s="27"/>
      <c r="I39" s="27" t="s">
        <v>109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 t="s">
        <v>21</v>
      </c>
      <c r="AG39" s="27"/>
      <c r="AH39" s="27" t="s">
        <v>21</v>
      </c>
      <c r="AI39" s="27"/>
      <c r="AJ39" s="27"/>
      <c r="AK39" s="27"/>
      <c r="AL39" s="28" t="s">
        <v>21</v>
      </c>
      <c r="AM39" s="28"/>
      <c r="AN39" s="28"/>
      <c r="AO39" s="28"/>
      <c r="AP39" s="28"/>
      <c r="AQ39" s="28" t="s">
        <v>21</v>
      </c>
      <c r="AR39" s="28"/>
      <c r="AS39" s="28"/>
      <c r="AT39" s="28"/>
      <c r="AU39" s="28"/>
      <c r="AV39" s="28"/>
      <c r="AW39" s="28"/>
      <c r="AX39" s="28"/>
      <c r="AY39" s="29">
        <f>SUM(AY40:AY43)</f>
        <v>0</v>
      </c>
      <c r="AZ39" s="29"/>
      <c r="BA39" s="29"/>
      <c r="BB39" s="29"/>
      <c r="BC39" s="29"/>
      <c r="BD39" s="29"/>
      <c r="BE39" s="29"/>
      <c r="BF39" s="29"/>
    </row>
    <row r="40" spans="1:253" ht="14.25">
      <c r="A40" s="12" t="s">
        <v>110</v>
      </c>
      <c r="B40" s="12"/>
      <c r="C40" s="12" t="s">
        <v>111</v>
      </c>
      <c r="D40" s="12"/>
      <c r="E40" s="12"/>
      <c r="F40" s="12"/>
      <c r="G40" s="12"/>
      <c r="H40" s="12"/>
      <c r="I40" s="12" t="s">
        <v>112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 t="s">
        <v>59</v>
      </c>
      <c r="AG40" s="12"/>
      <c r="AH40" s="12" t="s">
        <v>28</v>
      </c>
      <c r="AI40" s="12"/>
      <c r="AJ40" s="12"/>
      <c r="AK40" s="12"/>
      <c r="AL40" s="25">
        <v>2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>
        <f aca="true" t="shared" si="8" ref="AY40:AY43">IR40*AL40+IS40*AL40</f>
        <v>0</v>
      </c>
      <c r="AZ40" s="25"/>
      <c r="BA40" s="25"/>
      <c r="BB40" s="25"/>
      <c r="BC40" s="25"/>
      <c r="BD40" s="25"/>
      <c r="BE40" s="25"/>
      <c r="BF40" s="25"/>
      <c r="IR40" s="26">
        <f aca="true" t="shared" si="9" ref="IR40:IR41">AQ40*0.375</f>
        <v>0</v>
      </c>
      <c r="IS40" s="26">
        <f aca="true" t="shared" si="10" ref="IS40:IS41">AQ40*(1-0.375)</f>
        <v>0</v>
      </c>
    </row>
    <row r="41" spans="1:253" ht="14.25">
      <c r="A41" s="12" t="s">
        <v>113</v>
      </c>
      <c r="B41" s="12"/>
      <c r="C41" s="12" t="s">
        <v>114</v>
      </c>
      <c r="D41" s="12"/>
      <c r="E41" s="12"/>
      <c r="F41" s="12"/>
      <c r="G41" s="12"/>
      <c r="H41" s="12"/>
      <c r="I41" s="12" t="s">
        <v>115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 t="s">
        <v>59</v>
      </c>
      <c r="AG41" s="12"/>
      <c r="AH41" s="12" t="s">
        <v>28</v>
      </c>
      <c r="AI41" s="12"/>
      <c r="AJ41" s="12"/>
      <c r="AK41" s="12"/>
      <c r="AL41" s="25">
        <v>14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>
        <f t="shared" si="8"/>
        <v>0</v>
      </c>
      <c r="AZ41" s="25"/>
      <c r="BA41" s="25"/>
      <c r="BB41" s="25"/>
      <c r="BC41" s="25"/>
      <c r="BD41" s="25"/>
      <c r="BE41" s="25"/>
      <c r="BF41" s="25"/>
      <c r="IR41" s="26">
        <f t="shared" si="9"/>
        <v>0</v>
      </c>
      <c r="IS41" s="26">
        <f t="shared" si="10"/>
        <v>0</v>
      </c>
    </row>
    <row r="42" spans="1:253" ht="14.25">
      <c r="A42" s="12" t="s">
        <v>116</v>
      </c>
      <c r="B42" s="12"/>
      <c r="C42" s="12" t="s">
        <v>117</v>
      </c>
      <c r="D42" s="12"/>
      <c r="E42" s="12"/>
      <c r="F42" s="12"/>
      <c r="G42" s="12"/>
      <c r="H42" s="12"/>
      <c r="I42" s="12" t="s">
        <v>118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 t="s">
        <v>59</v>
      </c>
      <c r="AG42" s="12"/>
      <c r="AH42" s="12" t="s">
        <v>28</v>
      </c>
      <c r="AI42" s="12"/>
      <c r="AJ42" s="12"/>
      <c r="AK42" s="12"/>
      <c r="AL42" s="25">
        <v>4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>
        <f t="shared" si="8"/>
        <v>0</v>
      </c>
      <c r="AZ42" s="25"/>
      <c r="BA42" s="25"/>
      <c r="BB42" s="25"/>
      <c r="BC42" s="25"/>
      <c r="BD42" s="25"/>
      <c r="BE42" s="25"/>
      <c r="BF42" s="25"/>
      <c r="IR42" s="26">
        <f>AQ42*0.361430395913155</f>
        <v>0</v>
      </c>
      <c r="IS42" s="26">
        <f>AQ42*(1-0.361430395913155)</f>
        <v>0</v>
      </c>
    </row>
    <row r="43" spans="1:253" ht="14.25">
      <c r="A43" s="12" t="s">
        <v>119</v>
      </c>
      <c r="B43" s="12"/>
      <c r="C43" s="12" t="s">
        <v>120</v>
      </c>
      <c r="D43" s="12"/>
      <c r="E43" s="12"/>
      <c r="F43" s="12"/>
      <c r="G43" s="12"/>
      <c r="H43" s="12"/>
      <c r="I43" s="12" t="s">
        <v>121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 t="s">
        <v>59</v>
      </c>
      <c r="AG43" s="12"/>
      <c r="AH43" s="12" t="s">
        <v>28</v>
      </c>
      <c r="AI43" s="12"/>
      <c r="AJ43" s="12"/>
      <c r="AK43" s="12"/>
      <c r="AL43" s="25">
        <v>2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>
        <f t="shared" si="8"/>
        <v>0</v>
      </c>
      <c r="AZ43" s="25"/>
      <c r="BA43" s="25"/>
      <c r="BB43" s="25"/>
      <c r="BC43" s="25"/>
      <c r="BD43" s="25"/>
      <c r="BE43" s="25"/>
      <c r="BF43" s="25"/>
      <c r="IR43" s="26">
        <f>AQ43*0.338624338624339</f>
        <v>0</v>
      </c>
      <c r="IS43" s="26">
        <f>AQ43*(1-0.338624338624339)</f>
        <v>0</v>
      </c>
    </row>
    <row r="44" spans="1:58" ht="14.25">
      <c r="A44" s="27" t="s">
        <v>21</v>
      </c>
      <c r="B44" s="27"/>
      <c r="C44" s="27" t="s">
        <v>122</v>
      </c>
      <c r="D44" s="27"/>
      <c r="E44" s="27"/>
      <c r="F44" s="27"/>
      <c r="G44" s="27"/>
      <c r="H44" s="27"/>
      <c r="I44" s="27" t="s">
        <v>123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 t="s">
        <v>21</v>
      </c>
      <c r="AG44" s="27"/>
      <c r="AH44" s="27" t="s">
        <v>21</v>
      </c>
      <c r="AI44" s="27"/>
      <c r="AJ44" s="27"/>
      <c r="AK44" s="27"/>
      <c r="AL44" s="28" t="s">
        <v>21</v>
      </c>
      <c r="AM44" s="28"/>
      <c r="AN44" s="28"/>
      <c r="AO44" s="28"/>
      <c r="AP44" s="28"/>
      <c r="AQ44" s="28" t="s">
        <v>21</v>
      </c>
      <c r="AR44" s="28"/>
      <c r="AS44" s="28"/>
      <c r="AT44" s="28"/>
      <c r="AU44" s="28"/>
      <c r="AV44" s="28"/>
      <c r="AW44" s="28"/>
      <c r="AX44" s="28"/>
      <c r="AY44" s="29">
        <f>SUM(AY45:AY46)</f>
        <v>0</v>
      </c>
      <c r="AZ44" s="29"/>
      <c r="BA44" s="29"/>
      <c r="BB44" s="29"/>
      <c r="BC44" s="29"/>
      <c r="BD44" s="29"/>
      <c r="BE44" s="29"/>
      <c r="BF44" s="29"/>
    </row>
    <row r="45" spans="1:253" ht="14.25">
      <c r="A45" s="12" t="s">
        <v>124</v>
      </c>
      <c r="B45" s="12"/>
      <c r="C45" s="12" t="s">
        <v>125</v>
      </c>
      <c r="D45" s="12"/>
      <c r="E45" s="12"/>
      <c r="F45" s="12"/>
      <c r="G45" s="12"/>
      <c r="H45" s="12"/>
      <c r="I45" s="12" t="s">
        <v>126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 t="s">
        <v>127</v>
      </c>
      <c r="AG45" s="12"/>
      <c r="AH45" s="12" t="s">
        <v>28</v>
      </c>
      <c r="AI45" s="12"/>
      <c r="AJ45" s="12"/>
      <c r="AK45" s="12"/>
      <c r="AL45" s="25">
        <v>42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>
        <f aca="true" t="shared" si="11" ref="AY45:AY46">IR45*AL45+IS45*AL45</f>
        <v>0</v>
      </c>
      <c r="AZ45" s="25"/>
      <c r="BA45" s="25"/>
      <c r="BB45" s="25"/>
      <c r="BC45" s="25"/>
      <c r="BD45" s="25"/>
      <c r="BE45" s="25"/>
      <c r="BF45" s="25"/>
      <c r="IR45" s="26">
        <f>AQ45*0.320172413793103</f>
        <v>0</v>
      </c>
      <c r="IS45" s="26">
        <f>AQ45*(1-0.320172413793103)</f>
        <v>0</v>
      </c>
    </row>
    <row r="46" spans="1:253" ht="14.25">
      <c r="A46" s="12" t="s">
        <v>128</v>
      </c>
      <c r="B46" s="12"/>
      <c r="C46" s="12" t="s">
        <v>129</v>
      </c>
      <c r="D46" s="12"/>
      <c r="E46" s="12"/>
      <c r="F46" s="12"/>
      <c r="G46" s="12"/>
      <c r="H46" s="12"/>
      <c r="I46" s="12" t="s">
        <v>130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 t="s">
        <v>127</v>
      </c>
      <c r="AG46" s="12"/>
      <c r="AH46" s="12" t="s">
        <v>28</v>
      </c>
      <c r="AI46" s="12"/>
      <c r="AJ46" s="12"/>
      <c r="AK46" s="12"/>
      <c r="AL46" s="25">
        <v>42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>
        <f t="shared" si="11"/>
        <v>0</v>
      </c>
      <c r="AZ46" s="25"/>
      <c r="BA46" s="25"/>
      <c r="BB46" s="25"/>
      <c r="BC46" s="25"/>
      <c r="BD46" s="25"/>
      <c r="BE46" s="25"/>
      <c r="BF46" s="25"/>
      <c r="IR46" s="26">
        <f>AQ46*0</f>
        <v>0</v>
      </c>
      <c r="IS46" s="26">
        <f>AQ46*(1-0)</f>
        <v>0</v>
      </c>
    </row>
    <row r="47" spans="1:58" ht="14.25">
      <c r="A47" s="27" t="s">
        <v>21</v>
      </c>
      <c r="B47" s="27"/>
      <c r="C47" s="27" t="s">
        <v>131</v>
      </c>
      <c r="D47" s="27"/>
      <c r="E47" s="27"/>
      <c r="F47" s="27"/>
      <c r="G47" s="27"/>
      <c r="H47" s="27"/>
      <c r="I47" s="27" t="s">
        <v>132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 t="s">
        <v>21</v>
      </c>
      <c r="AG47" s="27"/>
      <c r="AH47" s="27" t="s">
        <v>21</v>
      </c>
      <c r="AI47" s="27"/>
      <c r="AJ47" s="27"/>
      <c r="AK47" s="27"/>
      <c r="AL47" s="28" t="s">
        <v>21</v>
      </c>
      <c r="AM47" s="28"/>
      <c r="AN47" s="28"/>
      <c r="AO47" s="28"/>
      <c r="AP47" s="28"/>
      <c r="AQ47" s="28" t="s">
        <v>21</v>
      </c>
      <c r="AR47" s="28"/>
      <c r="AS47" s="28"/>
      <c r="AT47" s="28"/>
      <c r="AU47" s="28"/>
      <c r="AV47" s="28"/>
      <c r="AW47" s="28"/>
      <c r="AX47" s="28"/>
      <c r="AY47" s="29">
        <f>SUM(AY48:AY48)</f>
        <v>0</v>
      </c>
      <c r="AZ47" s="29"/>
      <c r="BA47" s="29"/>
      <c r="BB47" s="29"/>
      <c r="BC47" s="29"/>
      <c r="BD47" s="29"/>
      <c r="BE47" s="29"/>
      <c r="BF47" s="29"/>
    </row>
    <row r="48" spans="1:253" ht="14.25">
      <c r="A48" s="12" t="s">
        <v>133</v>
      </c>
      <c r="B48" s="12"/>
      <c r="C48" s="12" t="s">
        <v>134</v>
      </c>
      <c r="D48" s="12"/>
      <c r="E48" s="12"/>
      <c r="F48" s="12"/>
      <c r="G48" s="12"/>
      <c r="H48" s="12"/>
      <c r="I48" s="12" t="s">
        <v>135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 t="s">
        <v>136</v>
      </c>
      <c r="AG48" s="12"/>
      <c r="AH48" s="12" t="s">
        <v>28</v>
      </c>
      <c r="AI48" s="12"/>
      <c r="AJ48" s="12"/>
      <c r="AK48" s="12"/>
      <c r="AL48" s="25">
        <v>3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>
        <f>IR48*AL48+IS48*AL48</f>
        <v>0</v>
      </c>
      <c r="AZ48" s="25"/>
      <c r="BA48" s="25"/>
      <c r="BB48" s="25"/>
      <c r="BC48" s="25"/>
      <c r="BD48" s="25"/>
      <c r="BE48" s="25"/>
      <c r="BF48" s="25"/>
      <c r="IR48" s="26">
        <f>AQ48*0.33403743315508</f>
        <v>0</v>
      </c>
      <c r="IS48" s="26">
        <f>AQ48*(1-0.33403743315508)</f>
        <v>0</v>
      </c>
    </row>
    <row r="49" spans="1:58" ht="14.25">
      <c r="A49" s="27" t="s">
        <v>21</v>
      </c>
      <c r="B49" s="27"/>
      <c r="C49" s="27" t="s">
        <v>137</v>
      </c>
      <c r="D49" s="27"/>
      <c r="E49" s="27"/>
      <c r="F49" s="27"/>
      <c r="G49" s="27"/>
      <c r="H49" s="27"/>
      <c r="I49" s="27" t="s">
        <v>138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 t="s">
        <v>21</v>
      </c>
      <c r="AG49" s="27"/>
      <c r="AH49" s="27" t="s">
        <v>21</v>
      </c>
      <c r="AI49" s="27"/>
      <c r="AJ49" s="27"/>
      <c r="AK49" s="27"/>
      <c r="AL49" s="28" t="s">
        <v>21</v>
      </c>
      <c r="AM49" s="28"/>
      <c r="AN49" s="28"/>
      <c r="AO49" s="28"/>
      <c r="AP49" s="28"/>
      <c r="AQ49" s="28" t="s">
        <v>21</v>
      </c>
      <c r="AR49" s="28"/>
      <c r="AS49" s="28"/>
      <c r="AT49" s="28"/>
      <c r="AU49" s="28"/>
      <c r="AV49" s="28"/>
      <c r="AW49" s="28"/>
      <c r="AX49" s="28"/>
      <c r="AY49" s="29">
        <f>SUM(AY50:AY50)</f>
        <v>0</v>
      </c>
      <c r="AZ49" s="29"/>
      <c r="BA49" s="29"/>
      <c r="BB49" s="29"/>
      <c r="BC49" s="29"/>
      <c r="BD49" s="29"/>
      <c r="BE49" s="29"/>
      <c r="BF49" s="29"/>
    </row>
    <row r="50" spans="1:253" ht="14.25">
      <c r="A50" s="12" t="s">
        <v>139</v>
      </c>
      <c r="B50" s="12"/>
      <c r="C50" s="12" t="s">
        <v>140</v>
      </c>
      <c r="D50" s="12"/>
      <c r="E50" s="12"/>
      <c r="F50" s="12"/>
      <c r="G50" s="12"/>
      <c r="H50" s="12"/>
      <c r="I50" s="12" t="s">
        <v>141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 t="s">
        <v>136</v>
      </c>
      <c r="AG50" s="12"/>
      <c r="AH50" s="12" t="s">
        <v>28</v>
      </c>
      <c r="AI50" s="12"/>
      <c r="AJ50" s="12"/>
      <c r="AK50" s="12"/>
      <c r="AL50" s="25">
        <v>1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>
        <f>IR50*AL50+IS50*AL50</f>
        <v>0</v>
      </c>
      <c r="AZ50" s="25"/>
      <c r="BA50" s="25"/>
      <c r="BB50" s="25"/>
      <c r="BC50" s="25"/>
      <c r="BD50" s="25"/>
      <c r="BE50" s="25"/>
      <c r="BF50" s="25"/>
      <c r="IR50" s="26">
        <f>AQ50*0</f>
        <v>0</v>
      </c>
      <c r="IS50" s="26">
        <f>AQ50*(1-0)</f>
        <v>0</v>
      </c>
    </row>
    <row r="52" spans="43:58" ht="12.75">
      <c r="AQ52" s="30" t="s">
        <v>142</v>
      </c>
      <c r="AR52" s="30"/>
      <c r="AS52" s="30"/>
      <c r="AT52" s="30"/>
      <c r="AU52" s="30"/>
      <c r="AV52" s="30"/>
      <c r="AW52" s="30"/>
      <c r="AX52" s="30"/>
      <c r="AY52" s="31">
        <f>AY11+AY34+AY39+AY44+AY47+AY49</f>
        <v>0</v>
      </c>
      <c r="AZ52" s="31"/>
      <c r="BA52" s="31"/>
      <c r="BB52" s="31"/>
      <c r="BC52" s="31"/>
      <c r="BD52" s="31"/>
      <c r="BE52" s="31"/>
      <c r="BF52" s="31"/>
    </row>
  </sheetData>
  <sheetProtection insertColumns="0" insertRows="0"/>
  <mergeCells count="355">
    <mergeCell ref="A1:BF1"/>
    <mergeCell ref="A2:E3"/>
    <mergeCell ref="F2:AI3"/>
    <mergeCell ref="AJ2:AP3"/>
    <mergeCell ref="AQ2:AV3"/>
    <mergeCell ref="AW2:BC3"/>
    <mergeCell ref="BD2:BF3"/>
    <mergeCell ref="A4:E5"/>
    <mergeCell ref="F4:AI5"/>
    <mergeCell ref="AJ4:AP5"/>
    <mergeCell ref="AQ4:AV5"/>
    <mergeCell ref="AW4:BC5"/>
    <mergeCell ref="BD4:BF5"/>
    <mergeCell ref="A6:E7"/>
    <mergeCell ref="F6:AI7"/>
    <mergeCell ref="AJ6:AP7"/>
    <mergeCell ref="AQ6:AV7"/>
    <mergeCell ref="AW6:BC7"/>
    <mergeCell ref="BD6:BF7"/>
    <mergeCell ref="A8:E9"/>
    <mergeCell ref="F8:AI9"/>
    <mergeCell ref="AJ8:AP9"/>
    <mergeCell ref="AQ8:AV9"/>
    <mergeCell ref="AW8:BC9"/>
    <mergeCell ref="BD8:BF9"/>
    <mergeCell ref="A10:B10"/>
    <mergeCell ref="C10:H10"/>
    <mergeCell ref="I10:AE10"/>
    <mergeCell ref="AF10:AG10"/>
    <mergeCell ref="AH10:AK10"/>
    <mergeCell ref="AL10:AP10"/>
    <mergeCell ref="AQ10:AX10"/>
    <mergeCell ref="AY10:BF10"/>
    <mergeCell ref="A11:B11"/>
    <mergeCell ref="C11:H11"/>
    <mergeCell ref="I11:AE11"/>
    <mergeCell ref="AF11:AG11"/>
    <mergeCell ref="AH11:AK11"/>
    <mergeCell ref="AL11:AP11"/>
    <mergeCell ref="AQ11:AX11"/>
    <mergeCell ref="AY11:BF11"/>
    <mergeCell ref="A12:B12"/>
    <mergeCell ref="C12:H12"/>
    <mergeCell ref="I12:AE12"/>
    <mergeCell ref="AF12:AG12"/>
    <mergeCell ref="AH12:AK12"/>
    <mergeCell ref="AL12:AP12"/>
    <mergeCell ref="AQ12:AX12"/>
    <mergeCell ref="AY12:BF12"/>
    <mergeCell ref="A13:B13"/>
    <mergeCell ref="C13:H13"/>
    <mergeCell ref="I13:AE13"/>
    <mergeCell ref="AF13:AG13"/>
    <mergeCell ref="AH13:AK13"/>
    <mergeCell ref="AL13:AP13"/>
    <mergeCell ref="AQ13:AX13"/>
    <mergeCell ref="AY13:BF13"/>
    <mergeCell ref="A14:B14"/>
    <mergeCell ref="C14:H14"/>
    <mergeCell ref="I14:AE14"/>
    <mergeCell ref="AF14:AG14"/>
    <mergeCell ref="AH14:AK14"/>
    <mergeCell ref="AL14:AP14"/>
    <mergeCell ref="AQ14:AX14"/>
    <mergeCell ref="AY14:BF14"/>
    <mergeCell ref="A15:B15"/>
    <mergeCell ref="C15:H15"/>
    <mergeCell ref="I15:AE15"/>
    <mergeCell ref="AF15:AG15"/>
    <mergeCell ref="AH15:AK15"/>
    <mergeCell ref="AL15:AP15"/>
    <mergeCell ref="AQ15:AX15"/>
    <mergeCell ref="AY15:BF15"/>
    <mergeCell ref="A16:B16"/>
    <mergeCell ref="C16:H16"/>
    <mergeCell ref="I16:AE16"/>
    <mergeCell ref="AF16:AG16"/>
    <mergeCell ref="AH16:AK16"/>
    <mergeCell ref="AL16:AP16"/>
    <mergeCell ref="AQ16:AX16"/>
    <mergeCell ref="AY16:BF16"/>
    <mergeCell ref="A17:B17"/>
    <mergeCell ref="C17:H17"/>
    <mergeCell ref="I17:AE17"/>
    <mergeCell ref="AF17:AG17"/>
    <mergeCell ref="AH17:AK17"/>
    <mergeCell ref="AL17:AP17"/>
    <mergeCell ref="AQ17:AX17"/>
    <mergeCell ref="AY17:BF17"/>
    <mergeCell ref="A18:B18"/>
    <mergeCell ref="C18:H18"/>
    <mergeCell ref="I18:AE18"/>
    <mergeCell ref="AF18:AG18"/>
    <mergeCell ref="AH18:AK18"/>
    <mergeCell ref="AL18:AP18"/>
    <mergeCell ref="AQ18:AX18"/>
    <mergeCell ref="AY18:BF18"/>
    <mergeCell ref="A19:B19"/>
    <mergeCell ref="C19:H19"/>
    <mergeCell ref="I19:AE19"/>
    <mergeCell ref="AF19:AG19"/>
    <mergeCell ref="AH19:AK19"/>
    <mergeCell ref="AL19:AP19"/>
    <mergeCell ref="AQ19:AX19"/>
    <mergeCell ref="AY19:BF19"/>
    <mergeCell ref="A20:B20"/>
    <mergeCell ref="C20:H20"/>
    <mergeCell ref="I20:AE20"/>
    <mergeCell ref="AF20:AG20"/>
    <mergeCell ref="AH20:AK20"/>
    <mergeCell ref="AL20:AP20"/>
    <mergeCell ref="AQ20:AX20"/>
    <mergeCell ref="AY20:BF20"/>
    <mergeCell ref="A21:B21"/>
    <mergeCell ref="C21:H21"/>
    <mergeCell ref="I21:AE21"/>
    <mergeCell ref="AF21:AG21"/>
    <mergeCell ref="AH21:AK21"/>
    <mergeCell ref="AL21:AP21"/>
    <mergeCell ref="AQ21:AX21"/>
    <mergeCell ref="AY21:BF21"/>
    <mergeCell ref="A22:B22"/>
    <mergeCell ref="C22:H22"/>
    <mergeCell ref="I22:AE22"/>
    <mergeCell ref="AF22:AG22"/>
    <mergeCell ref="AH22:AK22"/>
    <mergeCell ref="AL22:AP22"/>
    <mergeCell ref="AQ22:AX22"/>
    <mergeCell ref="AY22:BF22"/>
    <mergeCell ref="A23:B23"/>
    <mergeCell ref="C23:H23"/>
    <mergeCell ref="I23:AE23"/>
    <mergeCell ref="AF23:AG23"/>
    <mergeCell ref="AH23:AK23"/>
    <mergeCell ref="AL23:AP23"/>
    <mergeCell ref="AQ23:AX23"/>
    <mergeCell ref="AY23:BF23"/>
    <mergeCell ref="A24:B24"/>
    <mergeCell ref="C24:H24"/>
    <mergeCell ref="I24:AE24"/>
    <mergeCell ref="AF24:AG24"/>
    <mergeCell ref="AH24:AK24"/>
    <mergeCell ref="AL24:AP24"/>
    <mergeCell ref="AQ24:AX24"/>
    <mergeCell ref="AY24:BF24"/>
    <mergeCell ref="A25:B25"/>
    <mergeCell ref="C25:H25"/>
    <mergeCell ref="I25:AE25"/>
    <mergeCell ref="AF25:AG25"/>
    <mergeCell ref="AH25:AK25"/>
    <mergeCell ref="AL25:AP25"/>
    <mergeCell ref="AQ25:AX25"/>
    <mergeCell ref="AY25:BF25"/>
    <mergeCell ref="A26:B26"/>
    <mergeCell ref="C26:H26"/>
    <mergeCell ref="I26:AE26"/>
    <mergeCell ref="AF26:AG26"/>
    <mergeCell ref="AH26:AK26"/>
    <mergeCell ref="AL26:AP26"/>
    <mergeCell ref="AQ26:AX26"/>
    <mergeCell ref="AY26:BF26"/>
    <mergeCell ref="A27:B27"/>
    <mergeCell ref="C27:H27"/>
    <mergeCell ref="I27:AE27"/>
    <mergeCell ref="AF27:AG27"/>
    <mergeCell ref="AH27:AK27"/>
    <mergeCell ref="AL27:AP27"/>
    <mergeCell ref="AQ27:AX27"/>
    <mergeCell ref="AY27:BF27"/>
    <mergeCell ref="A28:B28"/>
    <mergeCell ref="C28:H28"/>
    <mergeCell ref="I28:AE28"/>
    <mergeCell ref="AF28:AG28"/>
    <mergeCell ref="AH28:AK28"/>
    <mergeCell ref="AL28:AP28"/>
    <mergeCell ref="AQ28:AX28"/>
    <mergeCell ref="AY28:BF28"/>
    <mergeCell ref="A29:B29"/>
    <mergeCell ref="C29:H29"/>
    <mergeCell ref="I29:AE29"/>
    <mergeCell ref="AF29:AG29"/>
    <mergeCell ref="AH29:AK29"/>
    <mergeCell ref="AL29:AP29"/>
    <mergeCell ref="AQ29:AX29"/>
    <mergeCell ref="AY29:BF29"/>
    <mergeCell ref="A30:B30"/>
    <mergeCell ref="C30:H30"/>
    <mergeCell ref="I30:AE30"/>
    <mergeCell ref="AF30:AG30"/>
    <mergeCell ref="AH30:AK30"/>
    <mergeCell ref="AL30:AP30"/>
    <mergeCell ref="AQ30:AX30"/>
    <mergeCell ref="AY30:BF30"/>
    <mergeCell ref="A31:B31"/>
    <mergeCell ref="C31:H31"/>
    <mergeCell ref="I31:AE31"/>
    <mergeCell ref="AF31:AG31"/>
    <mergeCell ref="AH31:AK31"/>
    <mergeCell ref="AL31:AP31"/>
    <mergeCell ref="AQ31:AX31"/>
    <mergeCell ref="AY31:BF31"/>
    <mergeCell ref="A32:B32"/>
    <mergeCell ref="C32:H32"/>
    <mergeCell ref="I32:AE32"/>
    <mergeCell ref="AF32:AG32"/>
    <mergeCell ref="AH32:AK32"/>
    <mergeCell ref="AL32:AP32"/>
    <mergeCell ref="AQ32:AX32"/>
    <mergeCell ref="AY32:BF32"/>
    <mergeCell ref="A33:B33"/>
    <mergeCell ref="C33:H33"/>
    <mergeCell ref="I33:AE33"/>
    <mergeCell ref="AF33:AG33"/>
    <mergeCell ref="AH33:AK33"/>
    <mergeCell ref="AL33:AP33"/>
    <mergeCell ref="AQ33:AX33"/>
    <mergeCell ref="AY33:BF33"/>
    <mergeCell ref="A34:B34"/>
    <mergeCell ref="C34:H34"/>
    <mergeCell ref="I34:AE34"/>
    <mergeCell ref="AF34:AG34"/>
    <mergeCell ref="AH34:AK34"/>
    <mergeCell ref="AL34:AP34"/>
    <mergeCell ref="AQ34:AX34"/>
    <mergeCell ref="AY34:BF34"/>
    <mergeCell ref="A35:B35"/>
    <mergeCell ref="C35:H35"/>
    <mergeCell ref="I35:AE35"/>
    <mergeCell ref="AF35:AG35"/>
    <mergeCell ref="AH35:AK35"/>
    <mergeCell ref="AL35:AP35"/>
    <mergeCell ref="AQ35:AX35"/>
    <mergeCell ref="AY35:BF35"/>
    <mergeCell ref="A36:B36"/>
    <mergeCell ref="C36:H36"/>
    <mergeCell ref="I36:AE36"/>
    <mergeCell ref="AF36:AG36"/>
    <mergeCell ref="AH36:AK36"/>
    <mergeCell ref="AL36:AP36"/>
    <mergeCell ref="AQ36:AX36"/>
    <mergeCell ref="AY36:BF36"/>
    <mergeCell ref="A37:B37"/>
    <mergeCell ref="C37:H37"/>
    <mergeCell ref="I37:AE37"/>
    <mergeCell ref="AF37:AG37"/>
    <mergeCell ref="AH37:AK37"/>
    <mergeCell ref="AL37:AP37"/>
    <mergeCell ref="AQ37:AX37"/>
    <mergeCell ref="AY37:BF37"/>
    <mergeCell ref="A38:B38"/>
    <mergeCell ref="C38:H38"/>
    <mergeCell ref="I38:AE38"/>
    <mergeCell ref="AF38:AG38"/>
    <mergeCell ref="AH38:AK38"/>
    <mergeCell ref="AL38:AP38"/>
    <mergeCell ref="AQ38:AX38"/>
    <mergeCell ref="AY38:BF38"/>
    <mergeCell ref="A39:B39"/>
    <mergeCell ref="C39:H39"/>
    <mergeCell ref="I39:AE39"/>
    <mergeCell ref="AF39:AG39"/>
    <mergeCell ref="AH39:AK39"/>
    <mergeCell ref="AL39:AP39"/>
    <mergeCell ref="AQ39:AX39"/>
    <mergeCell ref="AY39:BF39"/>
    <mergeCell ref="A40:B40"/>
    <mergeCell ref="C40:H40"/>
    <mergeCell ref="I40:AE40"/>
    <mergeCell ref="AF40:AG40"/>
    <mergeCell ref="AH40:AK40"/>
    <mergeCell ref="AL40:AP40"/>
    <mergeCell ref="AQ40:AX40"/>
    <mergeCell ref="AY40:BF40"/>
    <mergeCell ref="A41:B41"/>
    <mergeCell ref="C41:H41"/>
    <mergeCell ref="I41:AE41"/>
    <mergeCell ref="AF41:AG41"/>
    <mergeCell ref="AH41:AK41"/>
    <mergeCell ref="AL41:AP41"/>
    <mergeCell ref="AQ41:AX41"/>
    <mergeCell ref="AY41:BF41"/>
    <mergeCell ref="A42:B42"/>
    <mergeCell ref="C42:H42"/>
    <mergeCell ref="I42:AE42"/>
    <mergeCell ref="AF42:AG42"/>
    <mergeCell ref="AH42:AK42"/>
    <mergeCell ref="AL42:AP42"/>
    <mergeCell ref="AQ42:AX42"/>
    <mergeCell ref="AY42:BF42"/>
    <mergeCell ref="A43:B43"/>
    <mergeCell ref="C43:H43"/>
    <mergeCell ref="I43:AE43"/>
    <mergeCell ref="AF43:AG43"/>
    <mergeCell ref="AH43:AK43"/>
    <mergeCell ref="AL43:AP43"/>
    <mergeCell ref="AQ43:AX43"/>
    <mergeCell ref="AY43:BF43"/>
    <mergeCell ref="A44:B44"/>
    <mergeCell ref="C44:H44"/>
    <mergeCell ref="I44:AE44"/>
    <mergeCell ref="AF44:AG44"/>
    <mergeCell ref="AH44:AK44"/>
    <mergeCell ref="AL44:AP44"/>
    <mergeCell ref="AQ44:AX44"/>
    <mergeCell ref="AY44:BF44"/>
    <mergeCell ref="A45:B45"/>
    <mergeCell ref="C45:H45"/>
    <mergeCell ref="I45:AE45"/>
    <mergeCell ref="AF45:AG45"/>
    <mergeCell ref="AH45:AK45"/>
    <mergeCell ref="AL45:AP45"/>
    <mergeCell ref="AQ45:AX45"/>
    <mergeCell ref="AY45:BF45"/>
    <mergeCell ref="A46:B46"/>
    <mergeCell ref="C46:H46"/>
    <mergeCell ref="I46:AE46"/>
    <mergeCell ref="AF46:AG46"/>
    <mergeCell ref="AH46:AK46"/>
    <mergeCell ref="AL46:AP46"/>
    <mergeCell ref="AQ46:AX46"/>
    <mergeCell ref="AY46:BF46"/>
    <mergeCell ref="A47:B47"/>
    <mergeCell ref="C47:H47"/>
    <mergeCell ref="I47:AE47"/>
    <mergeCell ref="AF47:AG47"/>
    <mergeCell ref="AH47:AK47"/>
    <mergeCell ref="AL47:AP47"/>
    <mergeCell ref="AQ47:AX47"/>
    <mergeCell ref="AY47:BF47"/>
    <mergeCell ref="A48:B48"/>
    <mergeCell ref="C48:H48"/>
    <mergeCell ref="I48:AE48"/>
    <mergeCell ref="AF48:AG48"/>
    <mergeCell ref="AH48:AK48"/>
    <mergeCell ref="AL48:AP48"/>
    <mergeCell ref="AQ48:AX48"/>
    <mergeCell ref="AY48:BF48"/>
    <mergeCell ref="A49:B49"/>
    <mergeCell ref="C49:H49"/>
    <mergeCell ref="I49:AE49"/>
    <mergeCell ref="AF49:AG49"/>
    <mergeCell ref="AH49:AK49"/>
    <mergeCell ref="AL49:AP49"/>
    <mergeCell ref="AQ49:AX49"/>
    <mergeCell ref="AY49:BF49"/>
    <mergeCell ref="A50:B50"/>
    <mergeCell ref="C50:H50"/>
    <mergeCell ref="I50:AE50"/>
    <mergeCell ref="AF50:AG50"/>
    <mergeCell ref="AH50:AK50"/>
    <mergeCell ref="AL50:AP50"/>
    <mergeCell ref="AQ50:AX50"/>
    <mergeCell ref="AY50:BF50"/>
    <mergeCell ref="AQ52:AX52"/>
    <mergeCell ref="AY52:BF52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11.57421875" style="1" hidden="1" customWidth="1"/>
    <col min="10" max="16384" width="11.00390625" style="0" customWidth="1"/>
  </cols>
  <sheetData>
    <row r="1" spans="1:7" ht="72.75" customHeight="1">
      <c r="A1" s="2" t="s">
        <v>143</v>
      </c>
      <c r="B1" s="2"/>
      <c r="C1" s="2"/>
      <c r="D1" s="2"/>
      <c r="E1" s="2"/>
      <c r="F1" s="2"/>
      <c r="G1" s="2"/>
    </row>
    <row r="2" spans="1:8" ht="12.75" customHeight="1">
      <c r="A2" s="3" t="s">
        <v>1</v>
      </c>
      <c r="B2" s="4">
        <f>'Stavební rozpočet'!D2</f>
        <v>0</v>
      </c>
      <c r="C2" s="4"/>
      <c r="D2" s="7" t="s">
        <v>3</v>
      </c>
      <c r="E2" s="8">
        <f>'Stavební rozpočet'!I2</f>
        <v>0</v>
      </c>
      <c r="F2" s="8"/>
      <c r="G2" s="8"/>
      <c r="H2" s="9"/>
    </row>
    <row r="3" spans="1:8" ht="12.75">
      <c r="A3" s="3"/>
      <c r="B3" s="4"/>
      <c r="C3" s="4"/>
      <c r="D3" s="7"/>
      <c r="E3" s="7"/>
      <c r="F3" s="8"/>
      <c r="G3" s="8"/>
      <c r="H3" s="9"/>
    </row>
    <row r="4" spans="1:8" ht="12.75" customHeight="1">
      <c r="A4" s="10" t="s">
        <v>4</v>
      </c>
      <c r="B4" s="11">
        <f>'Stavební rozpočet'!D4</f>
        <v>0</v>
      </c>
      <c r="C4" s="11"/>
      <c r="D4" s="13" t="s">
        <v>6</v>
      </c>
      <c r="E4" s="14">
        <f>'Stavební rozpočet'!I4</f>
        <v>0</v>
      </c>
      <c r="F4" s="14"/>
      <c r="G4" s="14"/>
      <c r="H4" s="9"/>
    </row>
    <row r="5" spans="1:8" ht="12.75">
      <c r="A5" s="10"/>
      <c r="B5" s="11"/>
      <c r="C5" s="11"/>
      <c r="D5" s="13"/>
      <c r="E5" s="13"/>
      <c r="F5" s="14"/>
      <c r="G5" s="14"/>
      <c r="H5" s="9"/>
    </row>
    <row r="6" spans="1:8" ht="12.75" customHeight="1">
      <c r="A6" s="10" t="s">
        <v>7</v>
      </c>
      <c r="B6" s="11">
        <f>'Stavební rozpočet'!D6</f>
        <v>0</v>
      </c>
      <c r="C6" s="11"/>
      <c r="D6" s="13" t="s">
        <v>9</v>
      </c>
      <c r="E6" s="14">
        <f>'Stavební rozpočet'!I6</f>
        <v>0</v>
      </c>
      <c r="F6" s="14"/>
      <c r="G6" s="14"/>
      <c r="H6" s="9"/>
    </row>
    <row r="7" spans="1:8" ht="12.75">
      <c r="A7" s="10"/>
      <c r="B7" s="11"/>
      <c r="C7" s="11"/>
      <c r="D7" s="13"/>
      <c r="E7" s="13"/>
      <c r="F7" s="14"/>
      <c r="G7" s="14"/>
      <c r="H7" s="9"/>
    </row>
    <row r="8" spans="1:8" ht="12.75" customHeight="1">
      <c r="A8" s="32" t="s">
        <v>12</v>
      </c>
      <c r="B8" s="33">
        <f>'Stavební rozpočet'!I8</f>
        <v>0</v>
      </c>
      <c r="C8" s="33"/>
      <c r="D8" s="34" t="s">
        <v>11</v>
      </c>
      <c r="E8" s="35">
        <f>'Stavební rozpočet'!G8</f>
        <v>0</v>
      </c>
      <c r="F8" s="35"/>
      <c r="G8" s="35"/>
      <c r="H8" s="9"/>
    </row>
    <row r="9" spans="1:8" ht="12.75">
      <c r="A9" s="32"/>
      <c r="B9" s="33"/>
      <c r="C9" s="33"/>
      <c r="D9" s="34"/>
      <c r="E9" s="34"/>
      <c r="F9" s="35"/>
      <c r="G9" s="35"/>
      <c r="H9" s="9"/>
    </row>
    <row r="10" spans="1:8" ht="12.75">
      <c r="A10" s="36" t="s">
        <v>144</v>
      </c>
      <c r="B10" s="37" t="s">
        <v>14</v>
      </c>
      <c r="C10" s="38" t="s">
        <v>15</v>
      </c>
      <c r="D10" s="39" t="s">
        <v>145</v>
      </c>
      <c r="E10" s="39" t="s">
        <v>146</v>
      </c>
      <c r="F10" s="39" t="s">
        <v>147</v>
      </c>
      <c r="G10" s="40" t="s">
        <v>148</v>
      </c>
      <c r="H10" s="41"/>
    </row>
    <row r="11" spans="1:9" ht="12.75">
      <c r="A11" s="42"/>
      <c r="B11" s="42" t="s">
        <v>22</v>
      </c>
      <c r="C11" s="42" t="s">
        <v>23</v>
      </c>
      <c r="D11" s="43">
        <f>'Stavební rozpočet'!H12</f>
        <v>0</v>
      </c>
      <c r="E11" s="43">
        <f>'Stavební rozpočet'!I12</f>
        <v>0</v>
      </c>
      <c r="F11" s="43">
        <f>'Stavební rozpočet'!J12</f>
        <v>0</v>
      </c>
      <c r="G11" s="43">
        <f>'Stavební rozpočet'!L12</f>
        <v>0.375832</v>
      </c>
      <c r="H11" s="25" t="s">
        <v>149</v>
      </c>
      <c r="I11" s="25">
        <f aca="true" t="shared" si="0" ref="I11:I16">IF(H11="F",0,F11)</f>
        <v>0</v>
      </c>
    </row>
    <row r="12" spans="1:9" ht="12.75">
      <c r="A12" s="12"/>
      <c r="B12" s="12" t="s">
        <v>93</v>
      </c>
      <c r="C12" s="12" t="s">
        <v>94</v>
      </c>
      <c r="D12" s="25">
        <f>'Stavební rozpočet'!H35</f>
        <v>0</v>
      </c>
      <c r="E12" s="25">
        <f>'Stavební rozpočet'!I35</f>
        <v>0</v>
      </c>
      <c r="F12" s="25">
        <f>'Stavební rozpočet'!J35</f>
        <v>0</v>
      </c>
      <c r="G12" s="25">
        <f>'Stavební rozpočet'!L35</f>
        <v>0.05005</v>
      </c>
      <c r="H12" s="25" t="s">
        <v>149</v>
      </c>
      <c r="I12" s="25">
        <f t="shared" si="0"/>
        <v>0</v>
      </c>
    </row>
    <row r="13" spans="1:9" ht="12.75">
      <c r="A13" s="12"/>
      <c r="B13" s="12" t="s">
        <v>108</v>
      </c>
      <c r="C13" s="12" t="s">
        <v>109</v>
      </c>
      <c r="D13" s="25">
        <f>'Stavební rozpočet'!H40</f>
        <v>0</v>
      </c>
      <c r="E13" s="25">
        <f>'Stavební rozpočet'!I40</f>
        <v>0</v>
      </c>
      <c r="F13" s="25">
        <f>'Stavební rozpočet'!J40</f>
        <v>0</v>
      </c>
      <c r="G13" s="25">
        <f>'Stavební rozpočet'!L40</f>
        <v>0.00148</v>
      </c>
      <c r="H13" s="25" t="s">
        <v>149</v>
      </c>
      <c r="I13" s="25">
        <f t="shared" si="0"/>
        <v>0</v>
      </c>
    </row>
    <row r="14" spans="1:9" ht="12.75">
      <c r="A14" s="12"/>
      <c r="B14" s="12" t="s">
        <v>122</v>
      </c>
      <c r="C14" s="12" t="s">
        <v>123</v>
      </c>
      <c r="D14" s="25">
        <f>'Stavební rozpočet'!H45</f>
        <v>0</v>
      </c>
      <c r="E14" s="25">
        <f>'Stavební rozpočet'!I45</f>
        <v>0</v>
      </c>
      <c r="F14" s="25">
        <f>'Stavební rozpočet'!J45</f>
        <v>0</v>
      </c>
      <c r="G14" s="25">
        <f>'Stavební rozpočet'!L45</f>
        <v>0.00168</v>
      </c>
      <c r="H14" s="25" t="s">
        <v>149</v>
      </c>
      <c r="I14" s="25">
        <f t="shared" si="0"/>
        <v>0</v>
      </c>
    </row>
    <row r="15" spans="1:9" ht="12.75">
      <c r="A15" s="12"/>
      <c r="B15" s="12" t="s">
        <v>131</v>
      </c>
      <c r="C15" s="12" t="s">
        <v>132</v>
      </c>
      <c r="D15" s="25">
        <f>'Stavební rozpočet'!H48</f>
        <v>0</v>
      </c>
      <c r="E15" s="25">
        <f>'Stavební rozpočet'!I48</f>
        <v>0</v>
      </c>
      <c r="F15" s="25">
        <f>'Stavební rozpočet'!J48</f>
        <v>0</v>
      </c>
      <c r="G15" s="25">
        <f>'Stavební rozpočet'!L48</f>
        <v>0</v>
      </c>
      <c r="H15" s="25" t="s">
        <v>149</v>
      </c>
      <c r="I15" s="25">
        <f t="shared" si="0"/>
        <v>0</v>
      </c>
    </row>
    <row r="16" spans="1:9" ht="12.75">
      <c r="A16" s="12"/>
      <c r="B16" s="12" t="s">
        <v>137</v>
      </c>
      <c r="C16" s="12" t="s">
        <v>138</v>
      </c>
      <c r="D16" s="25">
        <f>'Stavební rozpočet'!H50</f>
        <v>0</v>
      </c>
      <c r="E16" s="25">
        <f>'Stavební rozpočet'!I50</f>
        <v>0</v>
      </c>
      <c r="F16" s="25">
        <f>'Stavební rozpočet'!J50</f>
        <v>0</v>
      </c>
      <c r="G16" s="25">
        <f>'Stavební rozpočet'!L50</f>
        <v>0</v>
      </c>
      <c r="H16" s="25" t="s">
        <v>149</v>
      </c>
      <c r="I16" s="25">
        <f t="shared" si="0"/>
        <v>0</v>
      </c>
    </row>
    <row r="18" spans="5:6" ht="12.75">
      <c r="E18" s="30" t="s">
        <v>150</v>
      </c>
      <c r="F18" s="31">
        <f>SUM(I11:I16)</f>
        <v>0</v>
      </c>
    </row>
  </sheetData>
  <sheetProtection selectLockedCells="1" selectUnlockedCells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ySplit="10" topLeftCell="A38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9.140625" style="1" customWidth="1"/>
    <col min="3" max="3" width="13.28125" style="1" customWidth="1"/>
    <col min="4" max="4" width="65.57421875" style="1" customWidth="1"/>
    <col min="5" max="5" width="14.57421875" style="1" customWidth="1"/>
    <col min="6" max="6" width="24.140625" style="1" customWidth="1"/>
    <col min="7" max="7" width="20.421875" style="1" customWidth="1"/>
    <col min="8" max="8" width="16.421875" style="1" customWidth="1"/>
    <col min="9" max="16384" width="11.00390625" style="0" customWidth="1"/>
  </cols>
  <sheetData>
    <row r="1" spans="1:8" ht="72.75" customHeight="1">
      <c r="A1" s="2" t="s">
        <v>151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4">
        <f>'Stavební rozpočet'!D2</f>
        <v>0</v>
      </c>
      <c r="D2" s="4"/>
      <c r="E2" s="7" t="s">
        <v>3</v>
      </c>
      <c r="F2" s="8">
        <f>'Stavební rozpočet'!I2</f>
        <v>0</v>
      </c>
      <c r="G2" s="8"/>
      <c r="H2" s="8"/>
      <c r="I2" s="9"/>
    </row>
    <row r="3" spans="1:9" ht="12.75">
      <c r="A3" s="3"/>
      <c r="B3" s="3"/>
      <c r="C3" s="4"/>
      <c r="D3" s="4"/>
      <c r="E3" s="7"/>
      <c r="F3" s="7"/>
      <c r="G3" s="8"/>
      <c r="H3" s="8"/>
      <c r="I3" s="9"/>
    </row>
    <row r="4" spans="1:9" ht="12.75" customHeight="1">
      <c r="A4" s="10" t="s">
        <v>4</v>
      </c>
      <c r="B4" s="10"/>
      <c r="C4" s="11">
        <f>'Stavební rozpočet'!D4</f>
        <v>0</v>
      </c>
      <c r="D4" s="11"/>
      <c r="E4" s="13" t="s">
        <v>6</v>
      </c>
      <c r="F4" s="14">
        <f>'Stavební rozpočet'!I4</f>
        <v>0</v>
      </c>
      <c r="G4" s="14"/>
      <c r="H4" s="14"/>
      <c r="I4" s="9"/>
    </row>
    <row r="5" spans="1:9" ht="12.75">
      <c r="A5" s="10"/>
      <c r="B5" s="10"/>
      <c r="C5" s="11"/>
      <c r="D5" s="11"/>
      <c r="E5" s="13"/>
      <c r="F5" s="13"/>
      <c r="G5" s="14"/>
      <c r="H5" s="14"/>
      <c r="I5" s="9"/>
    </row>
    <row r="6" spans="1:9" ht="12.75" customHeight="1">
      <c r="A6" s="10" t="s">
        <v>7</v>
      </c>
      <c r="B6" s="10"/>
      <c r="C6" s="11">
        <f>'Stavební rozpočet'!D6</f>
        <v>0</v>
      </c>
      <c r="D6" s="11"/>
      <c r="E6" s="13" t="s">
        <v>9</v>
      </c>
      <c r="F6" s="14">
        <f>'Stavební rozpočet'!I6</f>
        <v>0</v>
      </c>
      <c r="G6" s="14"/>
      <c r="H6" s="14"/>
      <c r="I6" s="9"/>
    </row>
    <row r="7" spans="1:9" ht="12.75">
      <c r="A7" s="10"/>
      <c r="B7" s="10"/>
      <c r="C7" s="11"/>
      <c r="D7" s="11"/>
      <c r="E7" s="13"/>
      <c r="F7" s="13"/>
      <c r="G7" s="14"/>
      <c r="H7" s="14"/>
      <c r="I7" s="9"/>
    </row>
    <row r="8" spans="1:9" ht="12.75" customHeight="1">
      <c r="A8" s="32" t="s">
        <v>12</v>
      </c>
      <c r="B8" s="32"/>
      <c r="C8" s="33">
        <f>'Stavební rozpočet'!I8</f>
        <v>0</v>
      </c>
      <c r="D8" s="33"/>
      <c r="E8" s="44" t="s">
        <v>11</v>
      </c>
      <c r="F8" s="35">
        <f>'Stavební rozpočet'!G8</f>
        <v>0</v>
      </c>
      <c r="G8" s="35"/>
      <c r="H8" s="35"/>
      <c r="I8" s="9"/>
    </row>
    <row r="9" spans="1:9" ht="12.75">
      <c r="A9" s="32"/>
      <c r="B9" s="32"/>
      <c r="C9" s="33"/>
      <c r="D9" s="33"/>
      <c r="E9" s="44"/>
      <c r="F9" s="44"/>
      <c r="G9" s="35"/>
      <c r="H9" s="35"/>
      <c r="I9" s="9"/>
    </row>
    <row r="10" spans="1:9" ht="12.75">
      <c r="A10" s="37" t="s">
        <v>13</v>
      </c>
      <c r="B10" s="38" t="s">
        <v>144</v>
      </c>
      <c r="C10" s="38" t="s">
        <v>14</v>
      </c>
      <c r="D10" s="38" t="s">
        <v>15</v>
      </c>
      <c r="E10" s="38" t="s">
        <v>16</v>
      </c>
      <c r="F10" s="38" t="s">
        <v>152</v>
      </c>
      <c r="G10" s="45" t="s">
        <v>18</v>
      </c>
      <c r="H10" s="36" t="s">
        <v>153</v>
      </c>
      <c r="I10" s="41"/>
    </row>
    <row r="11" spans="1:8" ht="12.75">
      <c r="A11" s="42" t="s">
        <v>24</v>
      </c>
      <c r="B11" s="42"/>
      <c r="C11" s="42" t="s">
        <v>25</v>
      </c>
      <c r="D11" s="42" t="s">
        <v>26</v>
      </c>
      <c r="E11" s="42" t="s">
        <v>27</v>
      </c>
      <c r="F11" s="46"/>
      <c r="G11" s="43">
        <v>47</v>
      </c>
      <c r="H11" s="47" t="s">
        <v>154</v>
      </c>
    </row>
    <row r="12" spans="1:8" ht="12.75">
      <c r="A12" s="12" t="s">
        <v>29</v>
      </c>
      <c r="B12" s="12"/>
      <c r="C12" s="12" t="s">
        <v>30</v>
      </c>
      <c r="D12" s="12" t="s">
        <v>31</v>
      </c>
      <c r="E12" s="12" t="s">
        <v>27</v>
      </c>
      <c r="G12" s="25">
        <v>42</v>
      </c>
      <c r="H12" s="48" t="s">
        <v>154</v>
      </c>
    </row>
    <row r="13" spans="1:8" ht="12.75">
      <c r="A13" s="12" t="s">
        <v>32</v>
      </c>
      <c r="B13" s="12"/>
      <c r="C13" s="12" t="s">
        <v>33</v>
      </c>
      <c r="D13" s="12" t="s">
        <v>34</v>
      </c>
      <c r="E13" s="12" t="s">
        <v>27</v>
      </c>
      <c r="G13" s="25">
        <v>5.4</v>
      </c>
      <c r="H13" s="48" t="s">
        <v>154</v>
      </c>
    </row>
    <row r="14" spans="1:8" ht="12.75">
      <c r="A14" s="12" t="s">
        <v>35</v>
      </c>
      <c r="B14" s="12"/>
      <c r="C14" s="12" t="s">
        <v>36</v>
      </c>
      <c r="D14" s="12" t="s">
        <v>37</v>
      </c>
      <c r="E14" s="12" t="s">
        <v>27</v>
      </c>
      <c r="G14" s="25">
        <v>37.8</v>
      </c>
      <c r="H14" s="48" t="s">
        <v>154</v>
      </c>
    </row>
    <row r="15" spans="1:8" ht="12.75">
      <c r="A15" s="12" t="s">
        <v>38</v>
      </c>
      <c r="B15" s="12"/>
      <c r="C15" s="12" t="s">
        <v>39</v>
      </c>
      <c r="D15" s="12" t="s">
        <v>40</v>
      </c>
      <c r="E15" s="12" t="s">
        <v>27</v>
      </c>
      <c r="G15" s="25">
        <v>10.8</v>
      </c>
      <c r="H15" s="48" t="s">
        <v>154</v>
      </c>
    </row>
    <row r="16" spans="1:8" ht="12.75">
      <c r="A16" s="12" t="s">
        <v>41</v>
      </c>
      <c r="B16" s="12"/>
      <c r="C16" s="12" t="s">
        <v>42</v>
      </c>
      <c r="D16" s="12" t="s">
        <v>43</v>
      </c>
      <c r="E16" s="12" t="s">
        <v>27</v>
      </c>
      <c r="G16" s="25">
        <v>35</v>
      </c>
      <c r="H16" s="48" t="s">
        <v>154</v>
      </c>
    </row>
    <row r="17" spans="1:8" ht="12.75">
      <c r="A17" s="12" t="s">
        <v>44</v>
      </c>
      <c r="B17" s="12"/>
      <c r="C17" s="12" t="s">
        <v>45</v>
      </c>
      <c r="D17" s="12" t="s">
        <v>46</v>
      </c>
      <c r="E17" s="12" t="s">
        <v>27</v>
      </c>
      <c r="G17" s="25">
        <v>5.4</v>
      </c>
      <c r="H17" s="48" t="s">
        <v>154</v>
      </c>
    </row>
    <row r="18" spans="1:8" ht="12.75">
      <c r="A18" s="12" t="s">
        <v>47</v>
      </c>
      <c r="B18" s="12"/>
      <c r="C18" s="12" t="s">
        <v>48</v>
      </c>
      <c r="D18" s="12" t="s">
        <v>49</v>
      </c>
      <c r="E18" s="12" t="s">
        <v>27</v>
      </c>
      <c r="G18" s="25">
        <v>37.8</v>
      </c>
      <c r="H18" s="48" t="s">
        <v>154</v>
      </c>
    </row>
    <row r="19" spans="1:8" ht="12.75">
      <c r="A19" s="12" t="s">
        <v>50</v>
      </c>
      <c r="B19" s="12"/>
      <c r="C19" s="12" t="s">
        <v>51</v>
      </c>
      <c r="D19" s="12" t="s">
        <v>52</v>
      </c>
      <c r="E19" s="12" t="s">
        <v>27</v>
      </c>
      <c r="G19" s="25">
        <v>10.8</v>
      </c>
      <c r="H19" s="48" t="s">
        <v>154</v>
      </c>
    </row>
    <row r="20" spans="1:8" ht="12.75">
      <c r="A20" s="12" t="s">
        <v>53</v>
      </c>
      <c r="B20" s="12"/>
      <c r="C20" s="12" t="s">
        <v>54</v>
      </c>
      <c r="D20" s="12" t="s">
        <v>55</v>
      </c>
      <c r="E20" s="12" t="s">
        <v>27</v>
      </c>
      <c r="G20" s="25">
        <v>35</v>
      </c>
      <c r="H20" s="48" t="s">
        <v>154</v>
      </c>
    </row>
    <row r="21" spans="1:8" ht="12.75">
      <c r="A21" s="12" t="s">
        <v>56</v>
      </c>
      <c r="B21" s="12"/>
      <c r="C21" s="12" t="s">
        <v>57</v>
      </c>
      <c r="D21" s="12" t="s">
        <v>58</v>
      </c>
      <c r="E21" s="12" t="s">
        <v>59</v>
      </c>
      <c r="G21" s="25">
        <v>3</v>
      </c>
      <c r="H21" s="48" t="s">
        <v>154</v>
      </c>
    </row>
    <row r="22" spans="1:8" ht="12.75">
      <c r="A22" s="12" t="s">
        <v>60</v>
      </c>
      <c r="B22" s="12"/>
      <c r="C22" s="12" t="s">
        <v>61</v>
      </c>
      <c r="D22" s="12" t="s">
        <v>62</v>
      </c>
      <c r="E22" s="12" t="s">
        <v>59</v>
      </c>
      <c r="G22" s="25">
        <v>1</v>
      </c>
      <c r="H22" s="48" t="s">
        <v>154</v>
      </c>
    </row>
    <row r="23" spans="1:8" ht="12.75">
      <c r="A23" s="12" t="s">
        <v>63</v>
      </c>
      <c r="B23" s="12"/>
      <c r="C23" s="12" t="s">
        <v>64</v>
      </c>
      <c r="D23" s="12" t="s">
        <v>65</v>
      </c>
      <c r="E23" s="12" t="s">
        <v>59</v>
      </c>
      <c r="G23" s="25">
        <v>4</v>
      </c>
      <c r="H23" s="48" t="s">
        <v>154</v>
      </c>
    </row>
    <row r="24" spans="1:8" ht="12.75">
      <c r="A24" s="12" t="s">
        <v>66</v>
      </c>
      <c r="B24" s="12"/>
      <c r="C24" s="12" t="s">
        <v>67</v>
      </c>
      <c r="D24" s="12" t="s">
        <v>68</v>
      </c>
      <c r="E24" s="12" t="s">
        <v>59</v>
      </c>
      <c r="G24" s="25">
        <v>22</v>
      </c>
      <c r="H24" s="48" t="s">
        <v>154</v>
      </c>
    </row>
    <row r="25" spans="1:8" ht="12.75">
      <c r="A25" s="12" t="s">
        <v>28</v>
      </c>
      <c r="B25" s="12"/>
      <c r="C25" s="12" t="s">
        <v>69</v>
      </c>
      <c r="D25" s="12" t="s">
        <v>70</v>
      </c>
      <c r="E25" s="12" t="s">
        <v>59</v>
      </c>
      <c r="G25" s="25">
        <v>22</v>
      </c>
      <c r="H25" s="48" t="s">
        <v>154</v>
      </c>
    </row>
    <row r="26" spans="1:8" ht="12.75">
      <c r="A26" s="12" t="s">
        <v>71</v>
      </c>
      <c r="B26" s="12"/>
      <c r="C26" s="12" t="s">
        <v>72</v>
      </c>
      <c r="D26" s="12" t="s">
        <v>73</v>
      </c>
      <c r="E26" s="12" t="s">
        <v>59</v>
      </c>
      <c r="G26" s="25">
        <v>22</v>
      </c>
      <c r="H26" s="48" t="s">
        <v>154</v>
      </c>
    </row>
    <row r="27" spans="1:8" ht="12.75">
      <c r="A27" s="12" t="s">
        <v>74</v>
      </c>
      <c r="B27" s="12"/>
      <c r="C27" s="12" t="s">
        <v>75</v>
      </c>
      <c r="D27" s="12" t="s">
        <v>76</v>
      </c>
      <c r="E27" s="12" t="s">
        <v>59</v>
      </c>
      <c r="G27" s="25">
        <v>22</v>
      </c>
      <c r="H27" s="48" t="s">
        <v>154</v>
      </c>
    </row>
    <row r="28" spans="1:8" ht="12.75">
      <c r="A28" s="12" t="s">
        <v>77</v>
      </c>
      <c r="B28" s="12"/>
      <c r="C28" s="12" t="s">
        <v>78</v>
      </c>
      <c r="D28" s="12" t="s">
        <v>79</v>
      </c>
      <c r="E28" s="12" t="s">
        <v>59</v>
      </c>
      <c r="G28" s="25">
        <v>22</v>
      </c>
      <c r="H28" s="48" t="s">
        <v>154</v>
      </c>
    </row>
    <row r="29" spans="1:8" ht="12.75">
      <c r="A29" s="12" t="s">
        <v>80</v>
      </c>
      <c r="B29" s="12"/>
      <c r="C29" s="12" t="s">
        <v>81</v>
      </c>
      <c r="D29" s="12" t="s">
        <v>82</v>
      </c>
      <c r="E29" s="12" t="s">
        <v>59</v>
      </c>
      <c r="G29" s="25">
        <v>22</v>
      </c>
      <c r="H29" s="48" t="s">
        <v>154</v>
      </c>
    </row>
    <row r="30" spans="1:8" ht="12.75">
      <c r="A30" s="12" t="s">
        <v>83</v>
      </c>
      <c r="B30" s="12"/>
      <c r="C30" s="12" t="s">
        <v>84</v>
      </c>
      <c r="D30" s="12" t="s">
        <v>85</v>
      </c>
      <c r="E30" s="12" t="s">
        <v>27</v>
      </c>
      <c r="G30" s="25">
        <v>89</v>
      </c>
      <c r="H30" s="48" t="s">
        <v>154</v>
      </c>
    </row>
    <row r="31" spans="1:8" ht="12.75">
      <c r="A31" s="12" t="s">
        <v>86</v>
      </c>
      <c r="B31" s="12"/>
      <c r="C31" s="12" t="s">
        <v>87</v>
      </c>
      <c r="D31" s="12" t="s">
        <v>88</v>
      </c>
      <c r="E31" s="12" t="s">
        <v>89</v>
      </c>
      <c r="G31" s="25">
        <v>0.0257</v>
      </c>
      <c r="H31" s="48" t="s">
        <v>154</v>
      </c>
    </row>
    <row r="32" spans="1:8" ht="12.75">
      <c r="A32" s="12" t="s">
        <v>90</v>
      </c>
      <c r="B32" s="12"/>
      <c r="C32" s="12" t="s">
        <v>91</v>
      </c>
      <c r="D32" s="12" t="s">
        <v>92</v>
      </c>
      <c r="E32" s="12" t="s">
        <v>59</v>
      </c>
      <c r="G32" s="25">
        <v>22</v>
      </c>
      <c r="H32" s="48" t="s">
        <v>154</v>
      </c>
    </row>
    <row r="33" spans="1:8" ht="12.75">
      <c r="A33" s="12" t="s">
        <v>95</v>
      </c>
      <c r="B33" s="12"/>
      <c r="C33" s="12" t="s">
        <v>96</v>
      </c>
      <c r="D33" s="12" t="s">
        <v>97</v>
      </c>
      <c r="E33" s="12" t="s">
        <v>59</v>
      </c>
      <c r="G33" s="25">
        <v>11</v>
      </c>
      <c r="H33" s="48" t="s">
        <v>154</v>
      </c>
    </row>
    <row r="34" spans="1:8" ht="12.75">
      <c r="A34" s="12" t="s">
        <v>98</v>
      </c>
      <c r="B34" s="12"/>
      <c r="C34" s="12" t="s">
        <v>99</v>
      </c>
      <c r="D34" s="12" t="s">
        <v>100</v>
      </c>
      <c r="E34" s="12" t="s">
        <v>59</v>
      </c>
      <c r="G34" s="25">
        <v>11</v>
      </c>
      <c r="H34" s="48" t="s">
        <v>154</v>
      </c>
    </row>
    <row r="35" spans="1:8" ht="12.75">
      <c r="A35" s="12" t="s">
        <v>101</v>
      </c>
      <c r="B35" s="12"/>
      <c r="C35" s="12" t="s">
        <v>102</v>
      </c>
      <c r="D35" s="12" t="s">
        <v>103</v>
      </c>
      <c r="E35" s="12" t="s">
        <v>104</v>
      </c>
      <c r="G35" s="25">
        <v>11</v>
      </c>
      <c r="H35" s="48" t="s">
        <v>154</v>
      </c>
    </row>
    <row r="36" spans="1:8" ht="12.75">
      <c r="A36" s="12" t="s">
        <v>105</v>
      </c>
      <c r="B36" s="12"/>
      <c r="C36" s="12" t="s">
        <v>106</v>
      </c>
      <c r="D36" s="12" t="s">
        <v>107</v>
      </c>
      <c r="E36" s="12" t="s">
        <v>104</v>
      </c>
      <c r="G36" s="25">
        <v>11</v>
      </c>
      <c r="H36" s="48" t="s">
        <v>154</v>
      </c>
    </row>
    <row r="37" spans="1:8" ht="12.75">
      <c r="A37" s="12" t="s">
        <v>110</v>
      </c>
      <c r="B37" s="12"/>
      <c r="C37" s="12" t="s">
        <v>111</v>
      </c>
      <c r="D37" s="12" t="s">
        <v>112</v>
      </c>
      <c r="E37" s="12" t="s">
        <v>59</v>
      </c>
      <c r="G37" s="25">
        <v>2</v>
      </c>
      <c r="H37" s="48" t="s">
        <v>154</v>
      </c>
    </row>
    <row r="38" spans="1:8" ht="12.75">
      <c r="A38" s="12" t="s">
        <v>113</v>
      </c>
      <c r="B38" s="12"/>
      <c r="C38" s="12" t="s">
        <v>114</v>
      </c>
      <c r="D38" s="12" t="s">
        <v>115</v>
      </c>
      <c r="E38" s="12" t="s">
        <v>59</v>
      </c>
      <c r="G38" s="25">
        <v>14</v>
      </c>
      <c r="H38" s="48" t="s">
        <v>154</v>
      </c>
    </row>
    <row r="39" spans="1:8" ht="12.75">
      <c r="A39" s="12" t="s">
        <v>116</v>
      </c>
      <c r="B39" s="12"/>
      <c r="C39" s="12" t="s">
        <v>117</v>
      </c>
      <c r="D39" s="12" t="s">
        <v>118</v>
      </c>
      <c r="E39" s="12" t="s">
        <v>59</v>
      </c>
      <c r="G39" s="25">
        <v>4</v>
      </c>
      <c r="H39" s="48" t="s">
        <v>154</v>
      </c>
    </row>
    <row r="40" spans="1:8" ht="12.75">
      <c r="A40" s="12" t="s">
        <v>119</v>
      </c>
      <c r="B40" s="12"/>
      <c r="C40" s="12" t="s">
        <v>120</v>
      </c>
      <c r="D40" s="12" t="s">
        <v>121</v>
      </c>
      <c r="E40" s="12" t="s">
        <v>59</v>
      </c>
      <c r="G40" s="25">
        <v>2</v>
      </c>
      <c r="H40" s="48" t="s">
        <v>154</v>
      </c>
    </row>
    <row r="41" spans="1:8" ht="12.75">
      <c r="A41" s="12" t="s">
        <v>124</v>
      </c>
      <c r="B41" s="12"/>
      <c r="C41" s="12" t="s">
        <v>125</v>
      </c>
      <c r="D41" s="12" t="s">
        <v>126</v>
      </c>
      <c r="E41" s="12" t="s">
        <v>127</v>
      </c>
      <c r="G41" s="25">
        <v>42</v>
      </c>
      <c r="H41" s="48" t="s">
        <v>154</v>
      </c>
    </row>
    <row r="42" spans="1:8" ht="12.75">
      <c r="A42" s="12" t="s">
        <v>128</v>
      </c>
      <c r="B42" s="12"/>
      <c r="C42" s="12" t="s">
        <v>129</v>
      </c>
      <c r="D42" s="12" t="s">
        <v>130</v>
      </c>
      <c r="E42" s="12" t="s">
        <v>127</v>
      </c>
      <c r="G42" s="25">
        <v>42</v>
      </c>
      <c r="H42" s="48" t="s">
        <v>154</v>
      </c>
    </row>
    <row r="43" spans="1:8" ht="12.75">
      <c r="A43" s="12" t="s">
        <v>133</v>
      </c>
      <c r="B43" s="12"/>
      <c r="C43" s="12" t="s">
        <v>134</v>
      </c>
      <c r="D43" s="12" t="s">
        <v>135</v>
      </c>
      <c r="E43" s="12" t="s">
        <v>136</v>
      </c>
      <c r="G43" s="25">
        <v>3</v>
      </c>
      <c r="H43" s="48" t="s">
        <v>154</v>
      </c>
    </row>
    <row r="44" spans="1:8" ht="12.75">
      <c r="A44" s="12" t="s">
        <v>139</v>
      </c>
      <c r="B44" s="12"/>
      <c r="C44" s="12" t="s">
        <v>140</v>
      </c>
      <c r="D44" s="12" t="s">
        <v>141</v>
      </c>
      <c r="E44" s="12" t="s">
        <v>136</v>
      </c>
      <c r="G44" s="25">
        <v>1</v>
      </c>
      <c r="H44" s="48" t="s">
        <v>154</v>
      </c>
    </row>
    <row r="46" ht="11.25" customHeight="1">
      <c r="A46" s="49" t="s">
        <v>155</v>
      </c>
    </row>
    <row r="47" spans="1:7" ht="12.75">
      <c r="A47" s="13"/>
      <c r="B47" s="13"/>
      <c r="C47" s="13"/>
      <c r="D47" s="13"/>
      <c r="E47" s="13"/>
      <c r="F47" s="13"/>
      <c r="G47" s="13"/>
    </row>
  </sheetData>
  <sheetProtection selectLockedCells="1" selectUnlockedCells="1"/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A47:G4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M19" sqref="M19"/>
    </sheetView>
  </sheetViews>
  <sheetFormatPr defaultColWidth="10.2812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00390625" style="0" customWidth="1"/>
  </cols>
  <sheetData>
    <row r="1" spans="1:9" ht="72.75" customHeight="1">
      <c r="A1" s="50"/>
      <c r="B1" s="51"/>
      <c r="C1" s="52" t="s">
        <v>156</v>
      </c>
      <c r="D1" s="52"/>
      <c r="E1" s="52"/>
      <c r="F1" s="52"/>
      <c r="G1" s="52"/>
      <c r="H1" s="52"/>
      <c r="I1" s="52"/>
    </row>
    <row r="2" spans="1:10" ht="12.75" customHeight="1">
      <c r="A2" s="3" t="s">
        <v>1</v>
      </c>
      <c r="B2" s="3"/>
      <c r="C2" s="4">
        <f>'Stavební rozpočet'!D2</f>
        <v>0</v>
      </c>
      <c r="D2" s="4"/>
      <c r="E2" s="7" t="s">
        <v>3</v>
      </c>
      <c r="F2" s="6">
        <f>'Stavební rozpočet'!I2</f>
        <v>0</v>
      </c>
      <c r="G2" s="6"/>
      <c r="H2" s="7" t="s">
        <v>157</v>
      </c>
      <c r="I2" s="53"/>
      <c r="J2" s="9"/>
    </row>
    <row r="3" spans="1:10" ht="12.75">
      <c r="A3" s="3"/>
      <c r="B3" s="3"/>
      <c r="C3" s="4"/>
      <c r="D3" s="4"/>
      <c r="E3" s="7"/>
      <c r="F3" s="7"/>
      <c r="G3" s="6"/>
      <c r="H3" s="7"/>
      <c r="I3" s="53"/>
      <c r="J3" s="9"/>
    </row>
    <row r="4" spans="1:10" ht="12.75" customHeight="1">
      <c r="A4" s="10" t="s">
        <v>4</v>
      </c>
      <c r="B4" s="10"/>
      <c r="C4" s="11">
        <f>'Stavební rozpočet'!D4</f>
        <v>0</v>
      </c>
      <c r="D4" s="11"/>
      <c r="E4" s="13" t="s">
        <v>6</v>
      </c>
      <c r="F4" s="11">
        <f>'Stavební rozpočet'!I4</f>
        <v>0</v>
      </c>
      <c r="G4" s="11"/>
      <c r="H4" s="13" t="s">
        <v>157</v>
      </c>
      <c r="I4" s="54"/>
      <c r="J4" s="9"/>
    </row>
    <row r="5" spans="1:10" ht="12.75">
      <c r="A5" s="10"/>
      <c r="B5" s="10"/>
      <c r="C5" s="11"/>
      <c r="D5" s="11"/>
      <c r="E5" s="13"/>
      <c r="F5" s="13"/>
      <c r="G5" s="11"/>
      <c r="H5" s="13"/>
      <c r="I5" s="54"/>
      <c r="J5" s="9"/>
    </row>
    <row r="6" spans="1:10" ht="12.75" customHeight="1">
      <c r="A6" s="10" t="s">
        <v>7</v>
      </c>
      <c r="B6" s="10"/>
      <c r="C6" s="11">
        <f>'Stavební rozpočet'!D6</f>
        <v>0</v>
      </c>
      <c r="D6" s="11"/>
      <c r="E6" s="13" t="s">
        <v>9</v>
      </c>
      <c r="F6" s="11">
        <f>'Stavební rozpočet'!I6</f>
        <v>0</v>
      </c>
      <c r="G6" s="11"/>
      <c r="H6" s="13" t="s">
        <v>157</v>
      </c>
      <c r="I6" s="54" t="s">
        <v>158</v>
      </c>
      <c r="J6" s="9"/>
    </row>
    <row r="7" spans="1:10" ht="12.75">
      <c r="A7" s="10"/>
      <c r="B7" s="10"/>
      <c r="C7" s="11"/>
      <c r="D7" s="11"/>
      <c r="E7" s="13"/>
      <c r="F7" s="13"/>
      <c r="G7" s="11"/>
      <c r="H7" s="13"/>
      <c r="I7" s="54"/>
      <c r="J7" s="9"/>
    </row>
    <row r="8" spans="1:10" ht="12.75" customHeight="1">
      <c r="A8" s="10" t="s">
        <v>5</v>
      </c>
      <c r="B8" s="10"/>
      <c r="C8" s="11">
        <f>'Stavební rozpočet'!G4</f>
        <v>0</v>
      </c>
      <c r="D8" s="11"/>
      <c r="E8" s="13" t="s">
        <v>8</v>
      </c>
      <c r="F8" s="11">
        <f>'Stavební rozpočet'!G6</f>
        <v>0</v>
      </c>
      <c r="G8" s="11"/>
      <c r="H8" s="12" t="s">
        <v>159</v>
      </c>
      <c r="I8" s="54" t="s">
        <v>139</v>
      </c>
      <c r="J8" s="9"/>
    </row>
    <row r="9" spans="1:10" ht="12.75">
      <c r="A9" s="10"/>
      <c r="B9" s="10"/>
      <c r="C9" s="11"/>
      <c r="D9" s="11"/>
      <c r="E9" s="13"/>
      <c r="F9" s="13"/>
      <c r="G9" s="11"/>
      <c r="H9" s="12"/>
      <c r="I9" s="54"/>
      <c r="J9" s="9"/>
    </row>
    <row r="10" spans="1:10" ht="12.75" customHeight="1">
      <c r="A10" s="15" t="s">
        <v>10</v>
      </c>
      <c r="B10" s="15"/>
      <c r="C10" s="16">
        <f>'Stavební rozpočet'!D8</f>
        <v>0</v>
      </c>
      <c r="D10" s="16"/>
      <c r="E10" s="18" t="s">
        <v>12</v>
      </c>
      <c r="F10" s="16">
        <f>'Stavební rozpočet'!I8</f>
        <v>0</v>
      </c>
      <c r="G10" s="16"/>
      <c r="H10" s="17" t="s">
        <v>160</v>
      </c>
      <c r="I10" s="19">
        <f>'Stavební rozpočet'!G8</f>
        <v>0</v>
      </c>
      <c r="J10" s="9"/>
    </row>
    <row r="11" spans="1:10" ht="12.75">
      <c r="A11" s="15"/>
      <c r="B11" s="15"/>
      <c r="C11" s="16"/>
      <c r="D11" s="16"/>
      <c r="E11" s="18"/>
      <c r="F11" s="18"/>
      <c r="G11" s="16"/>
      <c r="H11" s="17"/>
      <c r="I11" s="19"/>
      <c r="J11" s="9"/>
    </row>
    <row r="12" spans="1:9" ht="23.25" customHeight="1">
      <c r="A12" s="55" t="s">
        <v>161</v>
      </c>
      <c r="B12" s="55"/>
      <c r="C12" s="55"/>
      <c r="D12" s="55"/>
      <c r="E12" s="55"/>
      <c r="F12" s="55"/>
      <c r="G12" s="55"/>
      <c r="H12" s="55"/>
      <c r="I12" s="55"/>
    </row>
    <row r="13" spans="1:10" ht="26.25" customHeight="1">
      <c r="A13" s="56" t="s">
        <v>162</v>
      </c>
      <c r="B13" s="57" t="s">
        <v>163</v>
      </c>
      <c r="C13" s="57"/>
      <c r="D13" s="56" t="s">
        <v>164</v>
      </c>
      <c r="E13" s="57" t="s">
        <v>165</v>
      </c>
      <c r="F13" s="57"/>
      <c r="G13" s="56" t="s">
        <v>166</v>
      </c>
      <c r="H13" s="57" t="s">
        <v>167</v>
      </c>
      <c r="I13" s="57"/>
      <c r="J13" s="9"/>
    </row>
    <row r="14" spans="1:10" ht="15" customHeight="1">
      <c r="A14" s="58" t="s">
        <v>168</v>
      </c>
      <c r="B14" s="59" t="s">
        <v>169</v>
      </c>
      <c r="C14" s="60">
        <f>SUM('Stavební rozpočet'!AB12:AB51)</f>
        <v>0</v>
      </c>
      <c r="D14" s="59" t="s">
        <v>170</v>
      </c>
      <c r="E14" s="59"/>
      <c r="F14" s="60">
        <v>0</v>
      </c>
      <c r="G14" s="59" t="s">
        <v>171</v>
      </c>
      <c r="H14" s="59"/>
      <c r="I14" s="60">
        <v>0</v>
      </c>
      <c r="J14" s="9"/>
    </row>
    <row r="15" spans="1:10" ht="15" customHeight="1">
      <c r="A15" s="61"/>
      <c r="B15" s="59" t="s">
        <v>172</v>
      </c>
      <c r="C15" s="60">
        <f>SUM('Stavební rozpočet'!AC12:AC51)</f>
        <v>0</v>
      </c>
      <c r="D15" s="59" t="s">
        <v>173</v>
      </c>
      <c r="E15" s="59"/>
      <c r="F15" s="60">
        <v>0</v>
      </c>
      <c r="G15" s="59" t="s">
        <v>174</v>
      </c>
      <c r="H15" s="59"/>
      <c r="I15" s="60">
        <v>0</v>
      </c>
      <c r="J15" s="9"/>
    </row>
    <row r="16" spans="1:10" ht="15" customHeight="1">
      <c r="A16" s="58" t="s">
        <v>175</v>
      </c>
      <c r="B16" s="59" t="s">
        <v>169</v>
      </c>
      <c r="C16" s="60">
        <f>SUM('Stavební rozpočet'!AD12:AD51)</f>
        <v>0</v>
      </c>
      <c r="D16" s="59" t="s">
        <v>176</v>
      </c>
      <c r="E16" s="59"/>
      <c r="F16" s="60">
        <v>0</v>
      </c>
      <c r="G16" s="59" t="s">
        <v>177</v>
      </c>
      <c r="H16" s="59"/>
      <c r="I16" s="60">
        <v>0</v>
      </c>
      <c r="J16" s="9"/>
    </row>
    <row r="17" spans="1:10" ht="15" customHeight="1">
      <c r="A17" s="61"/>
      <c r="B17" s="59" t="s">
        <v>172</v>
      </c>
      <c r="C17" s="60">
        <f>SUM('Stavební rozpočet'!AE12:AE51)</f>
        <v>0</v>
      </c>
      <c r="D17" s="59"/>
      <c r="E17" s="59"/>
      <c r="F17" s="62"/>
      <c r="G17" s="59" t="s">
        <v>178</v>
      </c>
      <c r="H17" s="59"/>
      <c r="I17" s="60">
        <v>0</v>
      </c>
      <c r="J17" s="9"/>
    </row>
    <row r="18" spans="1:10" ht="15" customHeight="1">
      <c r="A18" s="58" t="s">
        <v>179</v>
      </c>
      <c r="B18" s="59" t="s">
        <v>169</v>
      </c>
      <c r="C18" s="60">
        <f>SUM('Stavební rozpočet'!AF12:AF51)</f>
        <v>0</v>
      </c>
      <c r="D18" s="59"/>
      <c r="E18" s="59"/>
      <c r="F18" s="62"/>
      <c r="G18" s="59" t="s">
        <v>180</v>
      </c>
      <c r="H18" s="59"/>
      <c r="I18" s="60">
        <v>0</v>
      </c>
      <c r="J18" s="9"/>
    </row>
    <row r="19" spans="1:10" ht="15" customHeight="1">
      <c r="A19" s="61"/>
      <c r="B19" s="59" t="s">
        <v>172</v>
      </c>
      <c r="C19" s="60">
        <f>SUM('Stavební rozpočet'!AG12:AG51)</f>
        <v>0</v>
      </c>
      <c r="D19" s="59"/>
      <c r="E19" s="59"/>
      <c r="F19" s="62"/>
      <c r="G19" s="59" t="s">
        <v>181</v>
      </c>
      <c r="H19" s="59"/>
      <c r="I19" s="60">
        <v>0</v>
      </c>
      <c r="J19" s="9"/>
    </row>
    <row r="20" spans="1:10" ht="15" customHeight="1">
      <c r="A20" s="63" t="s">
        <v>182</v>
      </c>
      <c r="B20" s="63"/>
      <c r="C20" s="60">
        <f>SUM('Stavební rozpočet'!AH12:AH51)</f>
        <v>0</v>
      </c>
      <c r="D20" s="59"/>
      <c r="E20" s="59"/>
      <c r="F20" s="62"/>
      <c r="G20" s="59"/>
      <c r="H20" s="59"/>
      <c r="I20" s="62"/>
      <c r="J20" s="9"/>
    </row>
    <row r="21" spans="1:10" ht="15" customHeight="1">
      <c r="A21" s="63" t="s">
        <v>183</v>
      </c>
      <c r="B21" s="63"/>
      <c r="C21" s="60">
        <f>SUM('Stavební rozpočet'!Z12:Z51)</f>
        <v>0</v>
      </c>
      <c r="D21" s="59"/>
      <c r="E21" s="59"/>
      <c r="F21" s="62"/>
      <c r="G21" s="59"/>
      <c r="H21" s="59"/>
      <c r="I21" s="62"/>
      <c r="J21" s="9"/>
    </row>
    <row r="22" spans="1:10" ht="16.5" customHeight="1">
      <c r="A22" s="63" t="s">
        <v>184</v>
      </c>
      <c r="B22" s="63"/>
      <c r="C22" s="60">
        <f>SUM(C14:C21)</f>
        <v>0</v>
      </c>
      <c r="D22" s="63" t="s">
        <v>185</v>
      </c>
      <c r="E22" s="63"/>
      <c r="F22" s="60">
        <f>SUM(F14:F21)</f>
        <v>0</v>
      </c>
      <c r="G22" s="63" t="s">
        <v>186</v>
      </c>
      <c r="H22" s="63"/>
      <c r="I22" s="60">
        <f>SUM(I14:I21)</f>
        <v>0</v>
      </c>
      <c r="J22" s="9"/>
    </row>
    <row r="23" spans="1:10" ht="15" customHeight="1">
      <c r="A23" s="64"/>
      <c r="B23" s="64"/>
      <c r="C23" s="65"/>
      <c r="D23" s="63" t="s">
        <v>187</v>
      </c>
      <c r="E23" s="63"/>
      <c r="F23" s="66">
        <v>0</v>
      </c>
      <c r="G23" s="63" t="s">
        <v>188</v>
      </c>
      <c r="H23" s="63"/>
      <c r="I23" s="60">
        <v>0</v>
      </c>
      <c r="J23" s="9"/>
    </row>
    <row r="24" spans="4:10" ht="15" customHeight="1">
      <c r="D24" s="64"/>
      <c r="E24" s="64"/>
      <c r="F24" s="67"/>
      <c r="G24" s="63" t="s">
        <v>189</v>
      </c>
      <c r="H24" s="63"/>
      <c r="I24" s="60">
        <v>0</v>
      </c>
      <c r="J24" s="9"/>
    </row>
    <row r="25" spans="6:10" ht="15" customHeight="1">
      <c r="F25" s="68"/>
      <c r="G25" s="63" t="s">
        <v>190</v>
      </c>
      <c r="H25" s="63"/>
      <c r="I25" s="60">
        <v>0</v>
      </c>
      <c r="J25" s="9"/>
    </row>
    <row r="26" spans="1:9" ht="12.75">
      <c r="A26" s="51"/>
      <c r="B26" s="51"/>
      <c r="C26" s="51"/>
      <c r="G26" s="64"/>
      <c r="H26" s="64"/>
      <c r="I26" s="64"/>
    </row>
    <row r="27" spans="1:9" ht="15" customHeight="1">
      <c r="A27" s="69" t="s">
        <v>191</v>
      </c>
      <c r="B27" s="69"/>
      <c r="C27" s="70">
        <f>SUM('Stavební rozpočet'!AJ12:AJ51)</f>
        <v>0</v>
      </c>
      <c r="D27" s="71"/>
      <c r="E27" s="51"/>
      <c r="F27" s="51"/>
      <c r="G27" s="51"/>
      <c r="H27" s="51"/>
      <c r="I27" s="51"/>
    </row>
    <row r="28" spans="1:10" ht="15" customHeight="1">
      <c r="A28" s="69" t="s">
        <v>192</v>
      </c>
      <c r="B28" s="69"/>
      <c r="C28" s="70">
        <f>SUM('Stavební rozpočet'!AK12:AK51)+(F22+I22+F23+I23+I24+I25)</f>
        <v>0</v>
      </c>
      <c r="D28" s="69" t="s">
        <v>193</v>
      </c>
      <c r="E28" s="69"/>
      <c r="F28" s="70">
        <f>ROUND(C28*(15/100),2)</f>
        <v>0</v>
      </c>
      <c r="G28" s="69" t="s">
        <v>194</v>
      </c>
      <c r="H28" s="69"/>
      <c r="I28" s="70">
        <f>SUM(C27:C29)</f>
        <v>0</v>
      </c>
      <c r="J28" s="9"/>
    </row>
    <row r="29" spans="1:10" ht="15" customHeight="1">
      <c r="A29" s="69" t="s">
        <v>195</v>
      </c>
      <c r="B29" s="69"/>
      <c r="C29" s="70">
        <f>SUM('Stavební rozpočet'!AL12:AL51)</f>
        <v>0</v>
      </c>
      <c r="D29" s="69" t="s">
        <v>196</v>
      </c>
      <c r="E29" s="69"/>
      <c r="F29" s="70">
        <f>ROUND(C29*(21/100),2)</f>
        <v>0</v>
      </c>
      <c r="G29" s="69" t="s">
        <v>197</v>
      </c>
      <c r="H29" s="69"/>
      <c r="I29" s="70">
        <f>SUM(F28:F29)+I28</f>
        <v>0</v>
      </c>
      <c r="J29" s="9"/>
    </row>
    <row r="30" spans="1:9" ht="12.75">
      <c r="A30" s="72"/>
      <c r="B30" s="72"/>
      <c r="C30" s="72"/>
      <c r="D30" s="72"/>
      <c r="E30" s="72"/>
      <c r="F30" s="72"/>
      <c r="G30" s="72"/>
      <c r="H30" s="72"/>
      <c r="I30" s="72"/>
    </row>
    <row r="31" spans="1:10" ht="14.25" customHeight="1">
      <c r="A31" s="73" t="s">
        <v>198</v>
      </c>
      <c r="B31" s="73"/>
      <c r="C31" s="73"/>
      <c r="D31" s="73" t="s">
        <v>199</v>
      </c>
      <c r="E31" s="73"/>
      <c r="F31" s="73"/>
      <c r="G31" s="73" t="s">
        <v>200</v>
      </c>
      <c r="H31" s="73"/>
      <c r="I31" s="73"/>
      <c r="J31" s="41"/>
    </row>
    <row r="32" spans="1:10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41"/>
    </row>
    <row r="33" spans="1:10" ht="14.25" customHeight="1">
      <c r="A33" s="74"/>
      <c r="B33" s="74"/>
      <c r="C33" s="74"/>
      <c r="D33" s="74"/>
      <c r="E33" s="74"/>
      <c r="F33" s="74"/>
      <c r="G33" s="74"/>
      <c r="H33" s="74"/>
      <c r="I33" s="74"/>
      <c r="J33" s="41"/>
    </row>
    <row r="34" spans="1:10" ht="14.25" customHeight="1">
      <c r="A34" s="74"/>
      <c r="B34" s="74"/>
      <c r="C34" s="74"/>
      <c r="D34" s="74"/>
      <c r="E34" s="74"/>
      <c r="F34" s="74"/>
      <c r="G34" s="74"/>
      <c r="H34" s="74"/>
      <c r="I34" s="74"/>
      <c r="J34" s="41"/>
    </row>
    <row r="35" spans="1:10" ht="14.25" customHeight="1">
      <c r="A35" s="75" t="s">
        <v>201</v>
      </c>
      <c r="B35" s="75"/>
      <c r="C35" s="75"/>
      <c r="D35" s="75" t="s">
        <v>201</v>
      </c>
      <c r="E35" s="75"/>
      <c r="F35" s="75"/>
      <c r="G35" s="75" t="s">
        <v>201</v>
      </c>
      <c r="H35" s="75"/>
      <c r="I35" s="75"/>
      <c r="J35" s="41"/>
    </row>
    <row r="36" spans="1:9" ht="11.25" customHeight="1">
      <c r="A36" s="76" t="s">
        <v>155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3.7109375" style="1" customWidth="1"/>
    <col min="2" max="2" width="7.57421875" style="1" customWidth="1"/>
    <col min="3" max="3" width="14.28125" style="1" customWidth="1"/>
    <col min="4" max="4" width="60.57421875" style="1" customWidth="1"/>
    <col min="5" max="5" width="6.42187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24" width="11.00390625" style="0" customWidth="1"/>
    <col min="25" max="62" width="12.140625" style="1" hidden="1" customWidth="1"/>
    <col min="63" max="16384" width="11.00390625" style="0" customWidth="1"/>
  </cols>
  <sheetData>
    <row r="1" spans="1:13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77" t="s">
        <v>202</v>
      </c>
      <c r="E2" s="5" t="s">
        <v>2</v>
      </c>
      <c r="F2" s="5"/>
      <c r="G2" s="5" t="s">
        <v>21</v>
      </c>
      <c r="H2" s="7" t="s">
        <v>3</v>
      </c>
      <c r="I2" s="78" t="s">
        <v>203</v>
      </c>
      <c r="J2" s="78"/>
      <c r="K2" s="78"/>
      <c r="L2" s="78"/>
      <c r="M2" s="78"/>
      <c r="N2" s="9"/>
    </row>
    <row r="3" spans="1:14" ht="12.75">
      <c r="A3" s="3"/>
      <c r="B3" s="3"/>
      <c r="C3" s="3"/>
      <c r="D3" s="77"/>
      <c r="E3" s="5"/>
      <c r="F3" s="5"/>
      <c r="G3" s="5"/>
      <c r="H3" s="5"/>
      <c r="I3" s="5"/>
      <c r="J3" s="78"/>
      <c r="K3" s="78"/>
      <c r="L3" s="78"/>
      <c r="M3" s="78"/>
      <c r="N3" s="9"/>
    </row>
    <row r="4" spans="1:14" ht="12.75" customHeight="1">
      <c r="A4" s="10" t="s">
        <v>4</v>
      </c>
      <c r="B4" s="10"/>
      <c r="C4" s="10"/>
      <c r="D4" s="13" t="s">
        <v>204</v>
      </c>
      <c r="E4" s="12" t="s">
        <v>5</v>
      </c>
      <c r="F4" s="12"/>
      <c r="G4" s="12" t="s">
        <v>205</v>
      </c>
      <c r="H4" s="13" t="s">
        <v>6</v>
      </c>
      <c r="I4" s="79" t="s">
        <v>206</v>
      </c>
      <c r="J4" s="79"/>
      <c r="K4" s="79"/>
      <c r="L4" s="79"/>
      <c r="M4" s="79"/>
      <c r="N4" s="9"/>
    </row>
    <row r="5" spans="1:14" ht="12.75">
      <c r="A5" s="10"/>
      <c r="B5" s="10"/>
      <c r="C5" s="10"/>
      <c r="D5" s="13"/>
      <c r="E5" s="13"/>
      <c r="F5" s="12"/>
      <c r="G5" s="12"/>
      <c r="H5" s="12"/>
      <c r="I5" s="12"/>
      <c r="J5" s="79"/>
      <c r="K5" s="79"/>
      <c r="L5" s="79"/>
      <c r="M5" s="79"/>
      <c r="N5" s="9"/>
    </row>
    <row r="6" spans="1:14" ht="12.75" customHeight="1">
      <c r="A6" s="10" t="s">
        <v>7</v>
      </c>
      <c r="B6" s="10"/>
      <c r="C6" s="10"/>
      <c r="D6" s="13" t="s">
        <v>207</v>
      </c>
      <c r="E6" s="12" t="s">
        <v>8</v>
      </c>
      <c r="F6" s="12"/>
      <c r="G6" s="12" t="s">
        <v>205</v>
      </c>
      <c r="H6" s="13" t="s">
        <v>9</v>
      </c>
      <c r="I6" s="79" t="s">
        <v>208</v>
      </c>
      <c r="J6" s="79"/>
      <c r="K6" s="79"/>
      <c r="L6" s="79"/>
      <c r="M6" s="79"/>
      <c r="N6" s="9"/>
    </row>
    <row r="7" spans="1:14" ht="12.75">
      <c r="A7" s="10"/>
      <c r="B7" s="10"/>
      <c r="C7" s="10"/>
      <c r="D7" s="13"/>
      <c r="E7" s="13"/>
      <c r="F7" s="12"/>
      <c r="G7" s="12"/>
      <c r="H7" s="12"/>
      <c r="I7" s="12"/>
      <c r="J7" s="79"/>
      <c r="K7" s="79"/>
      <c r="L7" s="79"/>
      <c r="M7" s="79"/>
      <c r="N7" s="9"/>
    </row>
    <row r="8" spans="1:14" ht="12.75" customHeight="1">
      <c r="A8" s="32" t="s">
        <v>10</v>
      </c>
      <c r="B8" s="32"/>
      <c r="C8" s="32"/>
      <c r="D8" s="80">
        <v>0</v>
      </c>
      <c r="E8" s="34" t="s">
        <v>11</v>
      </c>
      <c r="F8" s="34"/>
      <c r="G8" s="34" t="s">
        <v>209</v>
      </c>
      <c r="H8" s="44" t="s">
        <v>12</v>
      </c>
      <c r="I8" s="81" t="s">
        <v>206</v>
      </c>
      <c r="J8" s="81"/>
      <c r="K8" s="81"/>
      <c r="L8" s="81"/>
      <c r="M8" s="81"/>
      <c r="N8" s="9"/>
    </row>
    <row r="9" spans="1:14" ht="12.75">
      <c r="A9" s="32"/>
      <c r="B9" s="32"/>
      <c r="C9" s="32"/>
      <c r="D9" s="80"/>
      <c r="E9" s="80"/>
      <c r="F9" s="34"/>
      <c r="G9" s="34"/>
      <c r="H9" s="34"/>
      <c r="I9" s="34"/>
      <c r="J9" s="81"/>
      <c r="K9" s="81"/>
      <c r="L9" s="81"/>
      <c r="M9" s="81"/>
      <c r="N9" s="9"/>
    </row>
    <row r="10" spans="1:14" ht="12.75">
      <c r="A10" s="82" t="s">
        <v>13</v>
      </c>
      <c r="B10" s="83" t="s">
        <v>144</v>
      </c>
      <c r="C10" s="83" t="s">
        <v>14</v>
      </c>
      <c r="D10" s="83" t="s">
        <v>15</v>
      </c>
      <c r="E10" s="83" t="s">
        <v>16</v>
      </c>
      <c r="F10" s="84" t="s">
        <v>18</v>
      </c>
      <c r="G10" s="85" t="s">
        <v>210</v>
      </c>
      <c r="H10" s="86" t="s">
        <v>211</v>
      </c>
      <c r="I10" s="86"/>
      <c r="J10" s="86"/>
      <c r="K10" s="86" t="s">
        <v>212</v>
      </c>
      <c r="L10" s="86"/>
      <c r="M10" s="87" t="s">
        <v>213</v>
      </c>
      <c r="N10" s="41"/>
    </row>
    <row r="11" spans="1:62" ht="12.75">
      <c r="A11" s="88" t="s">
        <v>21</v>
      </c>
      <c r="B11" s="89" t="s">
        <v>21</v>
      </c>
      <c r="C11" s="89" t="s">
        <v>21</v>
      </c>
      <c r="D11" s="90" t="s">
        <v>152</v>
      </c>
      <c r="E11" s="89" t="s">
        <v>21</v>
      </c>
      <c r="F11" s="89" t="s">
        <v>21</v>
      </c>
      <c r="G11" s="91" t="s">
        <v>214</v>
      </c>
      <c r="H11" s="92" t="s">
        <v>215</v>
      </c>
      <c r="I11" s="93" t="s">
        <v>172</v>
      </c>
      <c r="J11" s="94" t="s">
        <v>216</v>
      </c>
      <c r="K11" s="92" t="s">
        <v>210</v>
      </c>
      <c r="L11" s="94" t="s">
        <v>216</v>
      </c>
      <c r="M11" s="95" t="s">
        <v>217</v>
      </c>
      <c r="N11" s="41"/>
      <c r="Z11" s="28" t="s">
        <v>218</v>
      </c>
      <c r="AA11" s="28" t="s">
        <v>219</v>
      </c>
      <c r="AB11" s="28" t="s">
        <v>220</v>
      </c>
      <c r="AC11" s="28" t="s">
        <v>221</v>
      </c>
      <c r="AD11" s="28" t="s">
        <v>222</v>
      </c>
      <c r="AE11" s="28" t="s">
        <v>223</v>
      </c>
      <c r="AF11" s="28" t="s">
        <v>224</v>
      </c>
      <c r="AG11" s="28" t="s">
        <v>225</v>
      </c>
      <c r="AH11" s="28" t="s">
        <v>226</v>
      </c>
      <c r="BH11" s="28" t="s">
        <v>227</v>
      </c>
      <c r="BI11" s="28" t="s">
        <v>228</v>
      </c>
      <c r="BJ11" s="28" t="s">
        <v>229</v>
      </c>
    </row>
    <row r="12" spans="1:47" ht="12.75">
      <c r="A12" s="96"/>
      <c r="B12" s="22"/>
      <c r="C12" s="22" t="s">
        <v>22</v>
      </c>
      <c r="D12" s="22" t="s">
        <v>23</v>
      </c>
      <c r="E12" s="96" t="s">
        <v>21</v>
      </c>
      <c r="F12" s="96" t="s">
        <v>21</v>
      </c>
      <c r="G12" s="96" t="s">
        <v>21</v>
      </c>
      <c r="H12" s="24">
        <f>SUM(H13:H34)</f>
        <v>0</v>
      </c>
      <c r="I12" s="24">
        <f>SUM(I13:I34)</f>
        <v>0</v>
      </c>
      <c r="J12" s="24">
        <f>SUM(J13:J34)</f>
        <v>0</v>
      </c>
      <c r="K12" s="23"/>
      <c r="L12" s="24">
        <f>SUM(L13:L34)</f>
        <v>0.375832</v>
      </c>
      <c r="M12" s="23"/>
      <c r="AI12" s="28"/>
      <c r="AS12" s="29">
        <f>SUM(AJ13:AJ34)</f>
        <v>0</v>
      </c>
      <c r="AT12" s="29">
        <f>SUM(AK13:AK34)</f>
        <v>0</v>
      </c>
      <c r="AU12" s="29">
        <f>SUM(AL13:AL34)</f>
        <v>0</v>
      </c>
    </row>
    <row r="13" spans="1:62" ht="12.75">
      <c r="A13" s="12" t="s">
        <v>24</v>
      </c>
      <c r="B13" s="12"/>
      <c r="C13" s="12" t="s">
        <v>25</v>
      </c>
      <c r="D13" s="12" t="s">
        <v>26</v>
      </c>
      <c r="E13" s="12" t="s">
        <v>27</v>
      </c>
      <c r="F13" s="25">
        <f>'Rozpočet - vybrané sloupce'!AL12</f>
        <v>47</v>
      </c>
      <c r="G13" s="25">
        <f>'Rozpočet - vybrané sloupce'!AQ12</f>
        <v>0</v>
      </c>
      <c r="H13" s="25">
        <f aca="true" t="shared" si="0" ref="H13:H34">F13*AO13</f>
        <v>0</v>
      </c>
      <c r="I13" s="25">
        <f aca="true" t="shared" si="1" ref="I13:I34">F13*AP13</f>
        <v>0</v>
      </c>
      <c r="J13" s="25">
        <f aca="true" t="shared" si="2" ref="J13:J34">F13*G13</f>
        <v>0</v>
      </c>
      <c r="K13" s="25">
        <v>0.00028</v>
      </c>
      <c r="L13" s="25">
        <f aca="true" t="shared" si="3" ref="L13:L34">F13*K13</f>
        <v>0.013159999999999998</v>
      </c>
      <c r="M13" s="48" t="s">
        <v>154</v>
      </c>
      <c r="Z13" s="25">
        <f aca="true" t="shared" si="4" ref="Z13:Z34">IF(AQ13="5",BJ13,0)</f>
        <v>0</v>
      </c>
      <c r="AB13" s="25">
        <f aca="true" t="shared" si="5" ref="AB13:AB34">IF(AQ13="1",BH13,0)</f>
        <v>0</v>
      </c>
      <c r="AC13" s="25">
        <f aca="true" t="shared" si="6" ref="AC13:AC34">IF(AQ13="1",BI13,0)</f>
        <v>0</v>
      </c>
      <c r="AD13" s="25">
        <f aca="true" t="shared" si="7" ref="AD13:AD34">IF(AQ13="7",BH13,0)</f>
        <v>0</v>
      </c>
      <c r="AE13" s="25">
        <f aca="true" t="shared" si="8" ref="AE13:AE34">IF(AQ13="7",BI13,0)</f>
        <v>0</v>
      </c>
      <c r="AF13" s="25">
        <f aca="true" t="shared" si="9" ref="AF13:AF34">IF(AQ13="2",BH13,0)</f>
        <v>0</v>
      </c>
      <c r="AG13" s="25">
        <f aca="true" t="shared" si="10" ref="AG13:AG34">IF(AQ13="2",BI13,0)</f>
        <v>0</v>
      </c>
      <c r="AH13" s="25">
        <f aca="true" t="shared" si="11" ref="AH13:AH34">IF(AQ13="0",BJ13,0)</f>
        <v>0</v>
      </c>
      <c r="AI13" s="28"/>
      <c r="AJ13" s="25">
        <f aca="true" t="shared" si="12" ref="AJ13:AJ34">IF(AN13=0,J13,0)</f>
        <v>0</v>
      </c>
      <c r="AK13" s="25">
        <f aca="true" t="shared" si="13" ref="AK13:AK34">IF(AN13=15,J13,0)</f>
        <v>0</v>
      </c>
      <c r="AL13" s="25">
        <f aca="true" t="shared" si="14" ref="AL13:AL34">IF(AN13=21,J13,0)</f>
        <v>0</v>
      </c>
      <c r="AN13" s="25">
        <v>15</v>
      </c>
      <c r="AO13" s="25">
        <f aca="true" t="shared" si="15" ref="AO13:AO14">G13*0</f>
        <v>0</v>
      </c>
      <c r="AP13" s="25">
        <f aca="true" t="shared" si="16" ref="AP13:AP14">G13*(1-0)</f>
        <v>0</v>
      </c>
      <c r="AQ13" s="48" t="s">
        <v>44</v>
      </c>
      <c r="AV13" s="25">
        <f aca="true" t="shared" si="17" ref="AV13:AV34">AW13+AX13</f>
        <v>0</v>
      </c>
      <c r="AW13" s="25">
        <f aca="true" t="shared" si="18" ref="AW13:AW34">F13*AO13</f>
        <v>0</v>
      </c>
      <c r="AX13" s="25">
        <f aca="true" t="shared" si="19" ref="AX13:AX34">F13*AP13</f>
        <v>0</v>
      </c>
      <c r="AY13" s="48" t="s">
        <v>230</v>
      </c>
      <c r="AZ13" s="48" t="s">
        <v>231</v>
      </c>
      <c r="BA13" s="28" t="s">
        <v>232</v>
      </c>
      <c r="BC13" s="25">
        <f aca="true" t="shared" si="20" ref="BC13:BC34">AW13+AX13</f>
        <v>0</v>
      </c>
      <c r="BD13" s="25">
        <f aca="true" t="shared" si="21" ref="BD13:BD34">G13/(100-BE13)*100</f>
        <v>0</v>
      </c>
      <c r="BE13" s="25">
        <v>0</v>
      </c>
      <c r="BF13" s="25">
        <f aca="true" t="shared" si="22" ref="BF13:BF34">L13</f>
        <v>0.013159999999999998</v>
      </c>
      <c r="BH13" s="25">
        <f aca="true" t="shared" si="23" ref="BH13:BH34">F13*AO13</f>
        <v>0</v>
      </c>
      <c r="BI13" s="25">
        <f aca="true" t="shared" si="24" ref="BI13:BI34">F13*AP13</f>
        <v>0</v>
      </c>
      <c r="BJ13" s="25">
        <f aca="true" t="shared" si="25" ref="BJ13:BJ34">F13*G13</f>
        <v>0</v>
      </c>
    </row>
    <row r="14" spans="1:62" ht="12.75">
      <c r="A14" s="12" t="s">
        <v>29</v>
      </c>
      <c r="B14" s="12"/>
      <c r="C14" s="12" t="s">
        <v>30</v>
      </c>
      <c r="D14" s="12" t="s">
        <v>31</v>
      </c>
      <c r="E14" s="12" t="s">
        <v>27</v>
      </c>
      <c r="F14" s="25">
        <f>'Rozpočet - vybrané sloupce'!AL13</f>
        <v>42</v>
      </c>
      <c r="G14" s="25">
        <f>'Rozpočet - vybrané sloupce'!AQ13</f>
        <v>0</v>
      </c>
      <c r="H14" s="25">
        <f t="shared" si="0"/>
        <v>0</v>
      </c>
      <c r="I14" s="25">
        <f t="shared" si="1"/>
        <v>0</v>
      </c>
      <c r="J14" s="25">
        <f t="shared" si="2"/>
        <v>0</v>
      </c>
      <c r="K14" s="25">
        <v>0.00029</v>
      </c>
      <c r="L14" s="25">
        <f t="shared" si="3"/>
        <v>0.01218</v>
      </c>
      <c r="M14" s="48" t="s">
        <v>154</v>
      </c>
      <c r="Z14" s="25">
        <f t="shared" si="4"/>
        <v>0</v>
      </c>
      <c r="AB14" s="25">
        <f t="shared" si="5"/>
        <v>0</v>
      </c>
      <c r="AC14" s="25">
        <f t="shared" si="6"/>
        <v>0</v>
      </c>
      <c r="AD14" s="25">
        <f t="shared" si="7"/>
        <v>0</v>
      </c>
      <c r="AE14" s="25">
        <f t="shared" si="8"/>
        <v>0</v>
      </c>
      <c r="AF14" s="25">
        <f t="shared" si="9"/>
        <v>0</v>
      </c>
      <c r="AG14" s="25">
        <f t="shared" si="10"/>
        <v>0</v>
      </c>
      <c r="AH14" s="25">
        <f t="shared" si="11"/>
        <v>0</v>
      </c>
      <c r="AI14" s="28"/>
      <c r="AJ14" s="25">
        <f t="shared" si="12"/>
        <v>0</v>
      </c>
      <c r="AK14" s="25">
        <f t="shared" si="13"/>
        <v>0</v>
      </c>
      <c r="AL14" s="25">
        <f t="shared" si="14"/>
        <v>0</v>
      </c>
      <c r="AN14" s="25">
        <v>15</v>
      </c>
      <c r="AO14" s="25">
        <f t="shared" si="15"/>
        <v>0</v>
      </c>
      <c r="AP14" s="25">
        <f t="shared" si="16"/>
        <v>0</v>
      </c>
      <c r="AQ14" s="48" t="s">
        <v>44</v>
      </c>
      <c r="AV14" s="25">
        <f t="shared" si="17"/>
        <v>0</v>
      </c>
      <c r="AW14" s="25">
        <f t="shared" si="18"/>
        <v>0</v>
      </c>
      <c r="AX14" s="25">
        <f t="shared" si="19"/>
        <v>0</v>
      </c>
      <c r="AY14" s="48" t="s">
        <v>230</v>
      </c>
      <c r="AZ14" s="48" t="s">
        <v>231</v>
      </c>
      <c r="BA14" s="28" t="s">
        <v>232</v>
      </c>
      <c r="BC14" s="25">
        <f t="shared" si="20"/>
        <v>0</v>
      </c>
      <c r="BD14" s="25">
        <f t="shared" si="21"/>
        <v>0</v>
      </c>
      <c r="BE14" s="25">
        <v>0</v>
      </c>
      <c r="BF14" s="25">
        <f t="shared" si="22"/>
        <v>0.01218</v>
      </c>
      <c r="BH14" s="25">
        <f t="shared" si="23"/>
        <v>0</v>
      </c>
      <c r="BI14" s="25">
        <f t="shared" si="24"/>
        <v>0</v>
      </c>
      <c r="BJ14" s="25">
        <f t="shared" si="25"/>
        <v>0</v>
      </c>
    </row>
    <row r="15" spans="1:62" ht="12.75">
      <c r="A15" s="12" t="s">
        <v>32</v>
      </c>
      <c r="B15" s="12"/>
      <c r="C15" s="12" t="s">
        <v>33</v>
      </c>
      <c r="D15" s="12" t="s">
        <v>34</v>
      </c>
      <c r="E15" s="12" t="s">
        <v>27</v>
      </c>
      <c r="F15" s="25">
        <f>'Rozpočet - vybrané sloupce'!AL14</f>
        <v>5.4</v>
      </c>
      <c r="G15" s="25">
        <f>'Rozpočet - vybrané sloupce'!AQ14</f>
        <v>0</v>
      </c>
      <c r="H15" s="25">
        <f t="shared" si="0"/>
        <v>0</v>
      </c>
      <c r="I15" s="25">
        <f t="shared" si="1"/>
        <v>0</v>
      </c>
      <c r="J15" s="25">
        <f t="shared" si="2"/>
        <v>0</v>
      </c>
      <c r="K15" s="25">
        <v>0.00151</v>
      </c>
      <c r="L15" s="25">
        <f t="shared" si="3"/>
        <v>0.008154000000000002</v>
      </c>
      <c r="M15" s="48" t="s">
        <v>154</v>
      </c>
      <c r="Z15" s="25">
        <f t="shared" si="4"/>
        <v>0</v>
      </c>
      <c r="AB15" s="25">
        <f t="shared" si="5"/>
        <v>0</v>
      </c>
      <c r="AC15" s="25">
        <f t="shared" si="6"/>
        <v>0</v>
      </c>
      <c r="AD15" s="25">
        <f t="shared" si="7"/>
        <v>0</v>
      </c>
      <c r="AE15" s="25">
        <f t="shared" si="8"/>
        <v>0</v>
      </c>
      <c r="AF15" s="25">
        <f t="shared" si="9"/>
        <v>0</v>
      </c>
      <c r="AG15" s="25">
        <f t="shared" si="10"/>
        <v>0</v>
      </c>
      <c r="AH15" s="25">
        <f t="shared" si="11"/>
        <v>0</v>
      </c>
      <c r="AI15" s="28"/>
      <c r="AJ15" s="25">
        <f t="shared" si="12"/>
        <v>0</v>
      </c>
      <c r="AK15" s="25">
        <f t="shared" si="13"/>
        <v>0</v>
      </c>
      <c r="AL15" s="25">
        <f t="shared" si="14"/>
        <v>0</v>
      </c>
      <c r="AN15" s="25">
        <v>15</v>
      </c>
      <c r="AO15" s="25">
        <f>G15*0.567778150312153</f>
        <v>0</v>
      </c>
      <c r="AP15" s="25">
        <f>G15*(1-0.567778150312153)</f>
        <v>0</v>
      </c>
      <c r="AQ15" s="48" t="s">
        <v>44</v>
      </c>
      <c r="AV15" s="25">
        <f t="shared" si="17"/>
        <v>0</v>
      </c>
      <c r="AW15" s="25">
        <f t="shared" si="18"/>
        <v>0</v>
      </c>
      <c r="AX15" s="25">
        <f t="shared" si="19"/>
        <v>0</v>
      </c>
      <c r="AY15" s="48" t="s">
        <v>230</v>
      </c>
      <c r="AZ15" s="48" t="s">
        <v>231</v>
      </c>
      <c r="BA15" s="28" t="s">
        <v>232</v>
      </c>
      <c r="BC15" s="25">
        <f t="shared" si="20"/>
        <v>0</v>
      </c>
      <c r="BD15" s="25">
        <f t="shared" si="21"/>
        <v>0</v>
      </c>
      <c r="BE15" s="25">
        <v>0</v>
      </c>
      <c r="BF15" s="25">
        <f t="shared" si="22"/>
        <v>0.008154000000000002</v>
      </c>
      <c r="BH15" s="25">
        <f t="shared" si="23"/>
        <v>0</v>
      </c>
      <c r="BI15" s="25">
        <f t="shared" si="24"/>
        <v>0</v>
      </c>
      <c r="BJ15" s="25">
        <f t="shared" si="25"/>
        <v>0</v>
      </c>
    </row>
    <row r="16" spans="1:62" ht="12.75">
      <c r="A16" s="12" t="s">
        <v>35</v>
      </c>
      <c r="B16" s="12"/>
      <c r="C16" s="12" t="s">
        <v>36</v>
      </c>
      <c r="D16" s="12" t="s">
        <v>37</v>
      </c>
      <c r="E16" s="12" t="s">
        <v>27</v>
      </c>
      <c r="F16" s="25">
        <f>'Rozpočet - vybrané sloupce'!AL15</f>
        <v>37.8</v>
      </c>
      <c r="G16" s="25">
        <f>'Rozpočet - vybrané sloupce'!AQ15</f>
        <v>0</v>
      </c>
      <c r="H16" s="25">
        <f t="shared" si="0"/>
        <v>0</v>
      </c>
      <c r="I16" s="25">
        <f t="shared" si="1"/>
        <v>0</v>
      </c>
      <c r="J16" s="25">
        <f t="shared" si="2"/>
        <v>0</v>
      </c>
      <c r="K16" s="25">
        <v>0.00114</v>
      </c>
      <c r="L16" s="25">
        <f t="shared" si="3"/>
        <v>0.043092</v>
      </c>
      <c r="M16" s="48" t="s">
        <v>154</v>
      </c>
      <c r="Z16" s="25">
        <f t="shared" si="4"/>
        <v>0</v>
      </c>
      <c r="AB16" s="25">
        <f t="shared" si="5"/>
        <v>0</v>
      </c>
      <c r="AC16" s="25">
        <f t="shared" si="6"/>
        <v>0</v>
      </c>
      <c r="AD16" s="25">
        <f t="shared" si="7"/>
        <v>0</v>
      </c>
      <c r="AE16" s="25">
        <f t="shared" si="8"/>
        <v>0</v>
      </c>
      <c r="AF16" s="25">
        <f t="shared" si="9"/>
        <v>0</v>
      </c>
      <c r="AG16" s="25">
        <f t="shared" si="10"/>
        <v>0</v>
      </c>
      <c r="AH16" s="25">
        <f t="shared" si="11"/>
        <v>0</v>
      </c>
      <c r="AI16" s="28"/>
      <c r="AJ16" s="25">
        <f t="shared" si="12"/>
        <v>0</v>
      </c>
      <c r="AK16" s="25">
        <f t="shared" si="13"/>
        <v>0</v>
      </c>
      <c r="AL16" s="25">
        <f t="shared" si="14"/>
        <v>0</v>
      </c>
      <c r="AN16" s="25">
        <v>15</v>
      </c>
      <c r="AO16" s="25">
        <f>G16*0.586609769737263</f>
        <v>0</v>
      </c>
      <c r="AP16" s="25">
        <f>G16*(1-0.586609769737263)</f>
        <v>0</v>
      </c>
      <c r="AQ16" s="48" t="s">
        <v>44</v>
      </c>
      <c r="AV16" s="25">
        <f t="shared" si="17"/>
        <v>0</v>
      </c>
      <c r="AW16" s="25">
        <f t="shared" si="18"/>
        <v>0</v>
      </c>
      <c r="AX16" s="25">
        <f t="shared" si="19"/>
        <v>0</v>
      </c>
      <c r="AY16" s="48" t="s">
        <v>230</v>
      </c>
      <c r="AZ16" s="48" t="s">
        <v>231</v>
      </c>
      <c r="BA16" s="28" t="s">
        <v>232</v>
      </c>
      <c r="BC16" s="25">
        <f t="shared" si="20"/>
        <v>0</v>
      </c>
      <c r="BD16" s="25">
        <f t="shared" si="21"/>
        <v>0</v>
      </c>
      <c r="BE16" s="25">
        <v>0</v>
      </c>
      <c r="BF16" s="25">
        <f t="shared" si="22"/>
        <v>0.043092</v>
      </c>
      <c r="BH16" s="25">
        <f t="shared" si="23"/>
        <v>0</v>
      </c>
      <c r="BI16" s="25">
        <f t="shared" si="24"/>
        <v>0</v>
      </c>
      <c r="BJ16" s="25">
        <f t="shared" si="25"/>
        <v>0</v>
      </c>
    </row>
    <row r="17" spans="1:62" ht="12.75">
      <c r="A17" s="12" t="s">
        <v>38</v>
      </c>
      <c r="B17" s="12"/>
      <c r="C17" s="12" t="s">
        <v>39</v>
      </c>
      <c r="D17" s="12" t="s">
        <v>40</v>
      </c>
      <c r="E17" s="12" t="s">
        <v>27</v>
      </c>
      <c r="F17" s="25">
        <f>'Rozpočet - vybrané sloupce'!AL16</f>
        <v>10.8</v>
      </c>
      <c r="G17" s="25">
        <f>'Rozpočet - vybrané sloupce'!AQ16</f>
        <v>0</v>
      </c>
      <c r="H17" s="25">
        <f t="shared" si="0"/>
        <v>0</v>
      </c>
      <c r="I17" s="25">
        <f t="shared" si="1"/>
        <v>0</v>
      </c>
      <c r="J17" s="25">
        <f t="shared" si="2"/>
        <v>0</v>
      </c>
      <c r="K17" s="25">
        <v>0.00083</v>
      </c>
      <c r="L17" s="25">
        <f t="shared" si="3"/>
        <v>0.008964000000000001</v>
      </c>
      <c r="M17" s="48" t="s">
        <v>154</v>
      </c>
      <c r="Z17" s="25">
        <f t="shared" si="4"/>
        <v>0</v>
      </c>
      <c r="AB17" s="25">
        <f t="shared" si="5"/>
        <v>0</v>
      </c>
      <c r="AC17" s="25">
        <f t="shared" si="6"/>
        <v>0</v>
      </c>
      <c r="AD17" s="25">
        <f t="shared" si="7"/>
        <v>0</v>
      </c>
      <c r="AE17" s="25">
        <f t="shared" si="8"/>
        <v>0</v>
      </c>
      <c r="AF17" s="25">
        <f t="shared" si="9"/>
        <v>0</v>
      </c>
      <c r="AG17" s="25">
        <f t="shared" si="10"/>
        <v>0</v>
      </c>
      <c r="AH17" s="25">
        <f t="shared" si="11"/>
        <v>0</v>
      </c>
      <c r="AI17" s="28"/>
      <c r="AJ17" s="25">
        <f t="shared" si="12"/>
        <v>0</v>
      </c>
      <c r="AK17" s="25">
        <f t="shared" si="13"/>
        <v>0</v>
      </c>
      <c r="AL17" s="25">
        <f t="shared" si="14"/>
        <v>0</v>
      </c>
      <c r="AN17" s="25">
        <v>15</v>
      </c>
      <c r="AO17" s="25">
        <f>G17*0.467151886411387</f>
        <v>0</v>
      </c>
      <c r="AP17" s="25">
        <f>G17*(1-0.467151886411387)</f>
        <v>0</v>
      </c>
      <c r="AQ17" s="48" t="s">
        <v>44</v>
      </c>
      <c r="AV17" s="25">
        <f t="shared" si="17"/>
        <v>0</v>
      </c>
      <c r="AW17" s="25">
        <f t="shared" si="18"/>
        <v>0</v>
      </c>
      <c r="AX17" s="25">
        <f t="shared" si="19"/>
        <v>0</v>
      </c>
      <c r="AY17" s="48" t="s">
        <v>230</v>
      </c>
      <c r="AZ17" s="48" t="s">
        <v>231</v>
      </c>
      <c r="BA17" s="28" t="s">
        <v>232</v>
      </c>
      <c r="BC17" s="25">
        <f t="shared" si="20"/>
        <v>0</v>
      </c>
      <c r="BD17" s="25">
        <f t="shared" si="21"/>
        <v>0</v>
      </c>
      <c r="BE17" s="25">
        <v>0</v>
      </c>
      <c r="BF17" s="25">
        <f t="shared" si="22"/>
        <v>0.008964000000000001</v>
      </c>
      <c r="BH17" s="25">
        <f t="shared" si="23"/>
        <v>0</v>
      </c>
      <c r="BI17" s="25">
        <f t="shared" si="24"/>
        <v>0</v>
      </c>
      <c r="BJ17" s="25">
        <f t="shared" si="25"/>
        <v>0</v>
      </c>
    </row>
    <row r="18" spans="1:62" ht="12.75">
      <c r="A18" s="12" t="s">
        <v>41</v>
      </c>
      <c r="B18" s="12"/>
      <c r="C18" s="12" t="s">
        <v>42</v>
      </c>
      <c r="D18" s="12" t="s">
        <v>43</v>
      </c>
      <c r="E18" s="12" t="s">
        <v>27</v>
      </c>
      <c r="F18" s="25">
        <f>'Rozpočet - vybrané sloupce'!AL17</f>
        <v>35</v>
      </c>
      <c r="G18" s="25">
        <f>'Rozpočet - vybrané sloupce'!AQ17</f>
        <v>0</v>
      </c>
      <c r="H18" s="25">
        <f t="shared" si="0"/>
        <v>0</v>
      </c>
      <c r="I18" s="25">
        <f t="shared" si="1"/>
        <v>0</v>
      </c>
      <c r="J18" s="25">
        <f t="shared" si="2"/>
        <v>0</v>
      </c>
      <c r="K18" s="25">
        <v>0.00064</v>
      </c>
      <c r="L18" s="25">
        <f t="shared" si="3"/>
        <v>0.022400000000000003</v>
      </c>
      <c r="M18" s="48" t="s">
        <v>154</v>
      </c>
      <c r="Z18" s="25">
        <f t="shared" si="4"/>
        <v>0</v>
      </c>
      <c r="AB18" s="25">
        <f t="shared" si="5"/>
        <v>0</v>
      </c>
      <c r="AC18" s="25">
        <f t="shared" si="6"/>
        <v>0</v>
      </c>
      <c r="AD18" s="25">
        <f t="shared" si="7"/>
        <v>0</v>
      </c>
      <c r="AE18" s="25">
        <f t="shared" si="8"/>
        <v>0</v>
      </c>
      <c r="AF18" s="25">
        <f t="shared" si="9"/>
        <v>0</v>
      </c>
      <c r="AG18" s="25">
        <f t="shared" si="10"/>
        <v>0</v>
      </c>
      <c r="AH18" s="25">
        <f t="shared" si="11"/>
        <v>0</v>
      </c>
      <c r="AI18" s="28"/>
      <c r="AJ18" s="25">
        <f t="shared" si="12"/>
        <v>0</v>
      </c>
      <c r="AK18" s="25">
        <f t="shared" si="13"/>
        <v>0</v>
      </c>
      <c r="AL18" s="25">
        <f t="shared" si="14"/>
        <v>0</v>
      </c>
      <c r="AN18" s="25">
        <v>15</v>
      </c>
      <c r="AO18" s="25">
        <f>G18*0.378140787711578</f>
        <v>0</v>
      </c>
      <c r="AP18" s="25">
        <f>G18*(1-0.378140787711578)</f>
        <v>0</v>
      </c>
      <c r="AQ18" s="48" t="s">
        <v>44</v>
      </c>
      <c r="AV18" s="25">
        <f t="shared" si="17"/>
        <v>0</v>
      </c>
      <c r="AW18" s="25">
        <f t="shared" si="18"/>
        <v>0</v>
      </c>
      <c r="AX18" s="25">
        <f t="shared" si="19"/>
        <v>0</v>
      </c>
      <c r="AY18" s="48" t="s">
        <v>230</v>
      </c>
      <c r="AZ18" s="48" t="s">
        <v>231</v>
      </c>
      <c r="BA18" s="28" t="s">
        <v>232</v>
      </c>
      <c r="BC18" s="25">
        <f t="shared" si="20"/>
        <v>0</v>
      </c>
      <c r="BD18" s="25">
        <f t="shared" si="21"/>
        <v>0</v>
      </c>
      <c r="BE18" s="25">
        <v>0</v>
      </c>
      <c r="BF18" s="25">
        <f t="shared" si="22"/>
        <v>0.022400000000000003</v>
      </c>
      <c r="BH18" s="25">
        <f t="shared" si="23"/>
        <v>0</v>
      </c>
      <c r="BI18" s="25">
        <f t="shared" si="24"/>
        <v>0</v>
      </c>
      <c r="BJ18" s="25">
        <f t="shared" si="25"/>
        <v>0</v>
      </c>
    </row>
    <row r="19" spans="1:62" ht="12.75">
      <c r="A19" s="12" t="s">
        <v>44</v>
      </c>
      <c r="B19" s="12"/>
      <c r="C19" s="12" t="s">
        <v>45</v>
      </c>
      <c r="D19" s="12" t="s">
        <v>46</v>
      </c>
      <c r="E19" s="12" t="s">
        <v>27</v>
      </c>
      <c r="F19" s="25">
        <f>'Rozpočet - vybrané sloupce'!AL18</f>
        <v>5.4</v>
      </c>
      <c r="G19" s="25">
        <f>'Rozpočet - vybrané sloupce'!AQ18</f>
        <v>0</v>
      </c>
      <c r="H19" s="25">
        <f t="shared" si="0"/>
        <v>0</v>
      </c>
      <c r="I19" s="25">
        <f t="shared" si="1"/>
        <v>0</v>
      </c>
      <c r="J19" s="25">
        <f t="shared" si="2"/>
        <v>0</v>
      </c>
      <c r="K19" s="25">
        <v>0.00014</v>
      </c>
      <c r="L19" s="25">
        <f t="shared" si="3"/>
        <v>0.0007559999999999999</v>
      </c>
      <c r="M19" s="48" t="s">
        <v>154</v>
      </c>
      <c r="Z19" s="25">
        <f t="shared" si="4"/>
        <v>0</v>
      </c>
      <c r="AB19" s="25">
        <f t="shared" si="5"/>
        <v>0</v>
      </c>
      <c r="AC19" s="25">
        <f t="shared" si="6"/>
        <v>0</v>
      </c>
      <c r="AD19" s="25">
        <f t="shared" si="7"/>
        <v>0</v>
      </c>
      <c r="AE19" s="25">
        <f t="shared" si="8"/>
        <v>0</v>
      </c>
      <c r="AF19" s="25">
        <f t="shared" si="9"/>
        <v>0</v>
      </c>
      <c r="AG19" s="25">
        <f t="shared" si="10"/>
        <v>0</v>
      </c>
      <c r="AH19" s="25">
        <f t="shared" si="11"/>
        <v>0</v>
      </c>
      <c r="AI19" s="28"/>
      <c r="AJ19" s="25">
        <f t="shared" si="12"/>
        <v>0</v>
      </c>
      <c r="AK19" s="25">
        <f t="shared" si="13"/>
        <v>0</v>
      </c>
      <c r="AL19" s="25">
        <f t="shared" si="14"/>
        <v>0</v>
      </c>
      <c r="AN19" s="25">
        <v>15</v>
      </c>
      <c r="AO19" s="25">
        <f>G19*0.456856177757508</f>
        <v>0</v>
      </c>
      <c r="AP19" s="25">
        <f>G19*(1-0.456856177757508)</f>
        <v>0</v>
      </c>
      <c r="AQ19" s="48" t="s">
        <v>44</v>
      </c>
      <c r="AV19" s="25">
        <f t="shared" si="17"/>
        <v>0</v>
      </c>
      <c r="AW19" s="25">
        <f t="shared" si="18"/>
        <v>0</v>
      </c>
      <c r="AX19" s="25">
        <f t="shared" si="19"/>
        <v>0</v>
      </c>
      <c r="AY19" s="48" t="s">
        <v>230</v>
      </c>
      <c r="AZ19" s="48" t="s">
        <v>231</v>
      </c>
      <c r="BA19" s="28" t="s">
        <v>232</v>
      </c>
      <c r="BC19" s="25">
        <f t="shared" si="20"/>
        <v>0</v>
      </c>
      <c r="BD19" s="25">
        <f t="shared" si="21"/>
        <v>0</v>
      </c>
      <c r="BE19" s="25">
        <v>0</v>
      </c>
      <c r="BF19" s="25">
        <f t="shared" si="22"/>
        <v>0.0007559999999999999</v>
      </c>
      <c r="BH19" s="25">
        <f t="shared" si="23"/>
        <v>0</v>
      </c>
      <c r="BI19" s="25">
        <f t="shared" si="24"/>
        <v>0</v>
      </c>
      <c r="BJ19" s="25">
        <f t="shared" si="25"/>
        <v>0</v>
      </c>
    </row>
    <row r="20" spans="1:62" ht="12.75">
      <c r="A20" s="12" t="s">
        <v>47</v>
      </c>
      <c r="B20" s="12"/>
      <c r="C20" s="12" t="s">
        <v>48</v>
      </c>
      <c r="D20" s="12" t="s">
        <v>49</v>
      </c>
      <c r="E20" s="12" t="s">
        <v>27</v>
      </c>
      <c r="F20" s="25">
        <f>'Rozpočet - vybrané sloupce'!AL19</f>
        <v>37.8</v>
      </c>
      <c r="G20" s="25">
        <f>'Rozpočet - vybrané sloupce'!AQ19</f>
        <v>0</v>
      </c>
      <c r="H20" s="25">
        <f t="shared" si="0"/>
        <v>0</v>
      </c>
      <c r="I20" s="25">
        <f t="shared" si="1"/>
        <v>0</v>
      </c>
      <c r="J20" s="25">
        <f t="shared" si="2"/>
        <v>0</v>
      </c>
      <c r="K20" s="25">
        <v>0.00011</v>
      </c>
      <c r="L20" s="25">
        <f t="shared" si="3"/>
        <v>0.004158</v>
      </c>
      <c r="M20" s="48" t="s">
        <v>154</v>
      </c>
      <c r="Z20" s="25">
        <f t="shared" si="4"/>
        <v>0</v>
      </c>
      <c r="AB20" s="25">
        <f t="shared" si="5"/>
        <v>0</v>
      </c>
      <c r="AC20" s="25">
        <f t="shared" si="6"/>
        <v>0</v>
      </c>
      <c r="AD20" s="25">
        <f t="shared" si="7"/>
        <v>0</v>
      </c>
      <c r="AE20" s="25">
        <f t="shared" si="8"/>
        <v>0</v>
      </c>
      <c r="AF20" s="25">
        <f t="shared" si="9"/>
        <v>0</v>
      </c>
      <c r="AG20" s="25">
        <f t="shared" si="10"/>
        <v>0</v>
      </c>
      <c r="AH20" s="25">
        <f t="shared" si="11"/>
        <v>0</v>
      </c>
      <c r="AI20" s="28"/>
      <c r="AJ20" s="25">
        <f t="shared" si="12"/>
        <v>0</v>
      </c>
      <c r="AK20" s="25">
        <f t="shared" si="13"/>
        <v>0</v>
      </c>
      <c r="AL20" s="25">
        <f t="shared" si="14"/>
        <v>0</v>
      </c>
      <c r="AN20" s="25">
        <v>15</v>
      </c>
      <c r="AO20" s="25">
        <f>G20*0.429510002848363</f>
        <v>0</v>
      </c>
      <c r="AP20" s="25">
        <f>G20*(1-0.429510002848363)</f>
        <v>0</v>
      </c>
      <c r="AQ20" s="48" t="s">
        <v>44</v>
      </c>
      <c r="AV20" s="25">
        <f t="shared" si="17"/>
        <v>0</v>
      </c>
      <c r="AW20" s="25">
        <f t="shared" si="18"/>
        <v>0</v>
      </c>
      <c r="AX20" s="25">
        <f t="shared" si="19"/>
        <v>0</v>
      </c>
      <c r="AY20" s="48" t="s">
        <v>230</v>
      </c>
      <c r="AZ20" s="48" t="s">
        <v>231</v>
      </c>
      <c r="BA20" s="28" t="s">
        <v>232</v>
      </c>
      <c r="BC20" s="25">
        <f t="shared" si="20"/>
        <v>0</v>
      </c>
      <c r="BD20" s="25">
        <f t="shared" si="21"/>
        <v>0</v>
      </c>
      <c r="BE20" s="25">
        <v>0</v>
      </c>
      <c r="BF20" s="25">
        <f t="shared" si="22"/>
        <v>0.004158</v>
      </c>
      <c r="BH20" s="25">
        <f t="shared" si="23"/>
        <v>0</v>
      </c>
      <c r="BI20" s="25">
        <f t="shared" si="24"/>
        <v>0</v>
      </c>
      <c r="BJ20" s="25">
        <f t="shared" si="25"/>
        <v>0</v>
      </c>
    </row>
    <row r="21" spans="1:62" ht="12.75">
      <c r="A21" s="12" t="s">
        <v>50</v>
      </c>
      <c r="B21" s="12"/>
      <c r="C21" s="12" t="s">
        <v>51</v>
      </c>
      <c r="D21" s="12" t="s">
        <v>52</v>
      </c>
      <c r="E21" s="12" t="s">
        <v>27</v>
      </c>
      <c r="F21" s="25">
        <f>'Rozpočet - vybrané sloupce'!AL20</f>
        <v>10.8</v>
      </c>
      <c r="G21" s="25">
        <f>'Rozpočet - vybrané sloupce'!AQ20</f>
        <v>0</v>
      </c>
      <c r="H21" s="25">
        <f t="shared" si="0"/>
        <v>0</v>
      </c>
      <c r="I21" s="25">
        <f t="shared" si="1"/>
        <v>0</v>
      </c>
      <c r="J21" s="25">
        <f t="shared" si="2"/>
        <v>0</v>
      </c>
      <c r="K21" s="25">
        <v>6E-05</v>
      </c>
      <c r="L21" s="25">
        <f t="shared" si="3"/>
        <v>0.000648</v>
      </c>
      <c r="M21" s="48" t="s">
        <v>154</v>
      </c>
      <c r="Z21" s="25">
        <f t="shared" si="4"/>
        <v>0</v>
      </c>
      <c r="AB21" s="25">
        <f t="shared" si="5"/>
        <v>0</v>
      </c>
      <c r="AC21" s="25">
        <f t="shared" si="6"/>
        <v>0</v>
      </c>
      <c r="AD21" s="25">
        <f t="shared" si="7"/>
        <v>0</v>
      </c>
      <c r="AE21" s="25">
        <f t="shared" si="8"/>
        <v>0</v>
      </c>
      <c r="AF21" s="25">
        <f t="shared" si="9"/>
        <v>0</v>
      </c>
      <c r="AG21" s="25">
        <f t="shared" si="10"/>
        <v>0</v>
      </c>
      <c r="AH21" s="25">
        <f t="shared" si="11"/>
        <v>0</v>
      </c>
      <c r="AI21" s="28"/>
      <c r="AJ21" s="25">
        <f t="shared" si="12"/>
        <v>0</v>
      </c>
      <c r="AK21" s="25">
        <f t="shared" si="13"/>
        <v>0</v>
      </c>
      <c r="AL21" s="25">
        <f t="shared" si="14"/>
        <v>0</v>
      </c>
      <c r="AN21" s="25">
        <v>15</v>
      </c>
      <c r="AO21" s="25">
        <f>G21*0.412113481205022</f>
        <v>0</v>
      </c>
      <c r="AP21" s="25">
        <f>G21*(1-0.412113481205022)</f>
        <v>0</v>
      </c>
      <c r="AQ21" s="48" t="s">
        <v>44</v>
      </c>
      <c r="AV21" s="25">
        <f t="shared" si="17"/>
        <v>0</v>
      </c>
      <c r="AW21" s="25">
        <f t="shared" si="18"/>
        <v>0</v>
      </c>
      <c r="AX21" s="25">
        <f t="shared" si="19"/>
        <v>0</v>
      </c>
      <c r="AY21" s="48" t="s">
        <v>230</v>
      </c>
      <c r="AZ21" s="48" t="s">
        <v>231</v>
      </c>
      <c r="BA21" s="28" t="s">
        <v>232</v>
      </c>
      <c r="BC21" s="25">
        <f t="shared" si="20"/>
        <v>0</v>
      </c>
      <c r="BD21" s="25">
        <f t="shared" si="21"/>
        <v>0</v>
      </c>
      <c r="BE21" s="25">
        <v>0</v>
      </c>
      <c r="BF21" s="25">
        <f t="shared" si="22"/>
        <v>0.000648</v>
      </c>
      <c r="BH21" s="25">
        <f t="shared" si="23"/>
        <v>0</v>
      </c>
      <c r="BI21" s="25">
        <f t="shared" si="24"/>
        <v>0</v>
      </c>
      <c r="BJ21" s="25">
        <f t="shared" si="25"/>
        <v>0</v>
      </c>
    </row>
    <row r="22" spans="1:62" ht="12.75">
      <c r="A22" s="12" t="s">
        <v>53</v>
      </c>
      <c r="B22" s="12"/>
      <c r="C22" s="12" t="s">
        <v>54</v>
      </c>
      <c r="D22" s="12" t="s">
        <v>55</v>
      </c>
      <c r="E22" s="12" t="s">
        <v>27</v>
      </c>
      <c r="F22" s="25">
        <f>'Rozpočet - vybrané sloupce'!AL21</f>
        <v>35</v>
      </c>
      <c r="G22" s="25">
        <f>'Rozpočet - vybrané sloupce'!AQ21</f>
        <v>0</v>
      </c>
      <c r="H22" s="25">
        <f t="shared" si="0"/>
        <v>0</v>
      </c>
      <c r="I22" s="25">
        <f t="shared" si="1"/>
        <v>0</v>
      </c>
      <c r="J22" s="25">
        <f t="shared" si="2"/>
        <v>0</v>
      </c>
      <c r="K22" s="25">
        <v>6E-05</v>
      </c>
      <c r="L22" s="25">
        <f t="shared" si="3"/>
        <v>0.0021</v>
      </c>
      <c r="M22" s="48" t="s">
        <v>154</v>
      </c>
      <c r="Z22" s="25">
        <f t="shared" si="4"/>
        <v>0</v>
      </c>
      <c r="AB22" s="25">
        <f t="shared" si="5"/>
        <v>0</v>
      </c>
      <c r="AC22" s="25">
        <f t="shared" si="6"/>
        <v>0</v>
      </c>
      <c r="AD22" s="25">
        <f t="shared" si="7"/>
        <v>0</v>
      </c>
      <c r="AE22" s="25">
        <f t="shared" si="8"/>
        <v>0</v>
      </c>
      <c r="AF22" s="25">
        <f t="shared" si="9"/>
        <v>0</v>
      </c>
      <c r="AG22" s="25">
        <f t="shared" si="10"/>
        <v>0</v>
      </c>
      <c r="AH22" s="25">
        <f t="shared" si="11"/>
        <v>0</v>
      </c>
      <c r="AI22" s="28"/>
      <c r="AJ22" s="25">
        <f t="shared" si="12"/>
        <v>0</v>
      </c>
      <c r="AK22" s="25">
        <f t="shared" si="13"/>
        <v>0</v>
      </c>
      <c r="AL22" s="25">
        <f t="shared" si="14"/>
        <v>0</v>
      </c>
      <c r="AN22" s="25">
        <v>15</v>
      </c>
      <c r="AO22" s="25">
        <f>G22*0.388618925831202</f>
        <v>0</v>
      </c>
      <c r="AP22" s="25">
        <f>G22*(1-0.388618925831202)</f>
        <v>0</v>
      </c>
      <c r="AQ22" s="48" t="s">
        <v>44</v>
      </c>
      <c r="AV22" s="25">
        <f t="shared" si="17"/>
        <v>0</v>
      </c>
      <c r="AW22" s="25">
        <f t="shared" si="18"/>
        <v>0</v>
      </c>
      <c r="AX22" s="25">
        <f t="shared" si="19"/>
        <v>0</v>
      </c>
      <c r="AY22" s="48" t="s">
        <v>230</v>
      </c>
      <c r="AZ22" s="48" t="s">
        <v>231</v>
      </c>
      <c r="BA22" s="28" t="s">
        <v>232</v>
      </c>
      <c r="BC22" s="25">
        <f t="shared" si="20"/>
        <v>0</v>
      </c>
      <c r="BD22" s="25">
        <f t="shared" si="21"/>
        <v>0</v>
      </c>
      <c r="BE22" s="25">
        <v>0</v>
      </c>
      <c r="BF22" s="25">
        <f t="shared" si="22"/>
        <v>0.0021</v>
      </c>
      <c r="BH22" s="25">
        <f t="shared" si="23"/>
        <v>0</v>
      </c>
      <c r="BI22" s="25">
        <f t="shared" si="24"/>
        <v>0</v>
      </c>
      <c r="BJ22" s="25">
        <f t="shared" si="25"/>
        <v>0</v>
      </c>
    </row>
    <row r="23" spans="1:62" ht="12.75">
      <c r="A23" s="12" t="s">
        <v>56</v>
      </c>
      <c r="B23" s="12"/>
      <c r="C23" s="12" t="s">
        <v>57</v>
      </c>
      <c r="D23" s="12" t="s">
        <v>58</v>
      </c>
      <c r="E23" s="12" t="s">
        <v>59</v>
      </c>
      <c r="F23" s="25">
        <f>'Rozpočet - vybrané sloupce'!AL22</f>
        <v>3</v>
      </c>
      <c r="G23" s="25">
        <f>'Rozpočet - vybrané sloupce'!AQ22</f>
        <v>0</v>
      </c>
      <c r="H23" s="25">
        <f t="shared" si="0"/>
        <v>0</v>
      </c>
      <c r="I23" s="25">
        <f t="shared" si="1"/>
        <v>0</v>
      </c>
      <c r="J23" s="25">
        <f t="shared" si="2"/>
        <v>0</v>
      </c>
      <c r="K23" s="25">
        <v>0.00102</v>
      </c>
      <c r="L23" s="25">
        <f t="shared" si="3"/>
        <v>0.0030600000000000002</v>
      </c>
      <c r="M23" s="48" t="s">
        <v>154</v>
      </c>
      <c r="Z23" s="25">
        <f t="shared" si="4"/>
        <v>0</v>
      </c>
      <c r="AB23" s="25">
        <f t="shared" si="5"/>
        <v>0</v>
      </c>
      <c r="AC23" s="25">
        <f t="shared" si="6"/>
        <v>0</v>
      </c>
      <c r="AD23" s="25">
        <f t="shared" si="7"/>
        <v>0</v>
      </c>
      <c r="AE23" s="25">
        <f t="shared" si="8"/>
        <v>0</v>
      </c>
      <c r="AF23" s="25">
        <f t="shared" si="9"/>
        <v>0</v>
      </c>
      <c r="AG23" s="25">
        <f t="shared" si="10"/>
        <v>0</v>
      </c>
      <c r="AH23" s="25">
        <f t="shared" si="11"/>
        <v>0</v>
      </c>
      <c r="AI23" s="28"/>
      <c r="AJ23" s="25">
        <f t="shared" si="12"/>
        <v>0</v>
      </c>
      <c r="AK23" s="25">
        <f t="shared" si="13"/>
        <v>0</v>
      </c>
      <c r="AL23" s="25">
        <f t="shared" si="14"/>
        <v>0</v>
      </c>
      <c r="AN23" s="25">
        <v>15</v>
      </c>
      <c r="AO23" s="25">
        <f>G23*0.463064516129032</f>
        <v>0</v>
      </c>
      <c r="AP23" s="25">
        <f>G23*(1-0.463064516129032)</f>
        <v>0</v>
      </c>
      <c r="AQ23" s="48" t="s">
        <v>44</v>
      </c>
      <c r="AV23" s="25">
        <f t="shared" si="17"/>
        <v>0</v>
      </c>
      <c r="AW23" s="25">
        <f t="shared" si="18"/>
        <v>0</v>
      </c>
      <c r="AX23" s="25">
        <f t="shared" si="19"/>
        <v>0</v>
      </c>
      <c r="AY23" s="48" t="s">
        <v>230</v>
      </c>
      <c r="AZ23" s="48" t="s">
        <v>231</v>
      </c>
      <c r="BA23" s="28" t="s">
        <v>232</v>
      </c>
      <c r="BC23" s="25">
        <f t="shared" si="20"/>
        <v>0</v>
      </c>
      <c r="BD23" s="25">
        <f t="shared" si="21"/>
        <v>0</v>
      </c>
      <c r="BE23" s="25">
        <v>0</v>
      </c>
      <c r="BF23" s="25">
        <f t="shared" si="22"/>
        <v>0.0030600000000000002</v>
      </c>
      <c r="BH23" s="25">
        <f t="shared" si="23"/>
        <v>0</v>
      </c>
      <c r="BI23" s="25">
        <f t="shared" si="24"/>
        <v>0</v>
      </c>
      <c r="BJ23" s="25">
        <f t="shared" si="25"/>
        <v>0</v>
      </c>
    </row>
    <row r="24" spans="1:62" ht="12.75">
      <c r="A24" s="12" t="s">
        <v>60</v>
      </c>
      <c r="B24" s="12"/>
      <c r="C24" s="12" t="s">
        <v>61</v>
      </c>
      <c r="D24" s="12" t="s">
        <v>62</v>
      </c>
      <c r="E24" s="12" t="s">
        <v>59</v>
      </c>
      <c r="F24" s="25">
        <f>'Rozpočet - vybrané sloupce'!AL23</f>
        <v>1</v>
      </c>
      <c r="G24" s="25">
        <f>'Rozpočet - vybrané sloupce'!AQ23</f>
        <v>0</v>
      </c>
      <c r="H24" s="25">
        <f t="shared" si="0"/>
        <v>0</v>
      </c>
      <c r="I24" s="25">
        <f t="shared" si="1"/>
        <v>0</v>
      </c>
      <c r="J24" s="25">
        <f t="shared" si="2"/>
        <v>0</v>
      </c>
      <c r="K24" s="25">
        <v>0.00076</v>
      </c>
      <c r="L24" s="25">
        <f t="shared" si="3"/>
        <v>0.00076</v>
      </c>
      <c r="M24" s="48" t="s">
        <v>154</v>
      </c>
      <c r="Z24" s="25">
        <f t="shared" si="4"/>
        <v>0</v>
      </c>
      <c r="AB24" s="25">
        <f t="shared" si="5"/>
        <v>0</v>
      </c>
      <c r="AC24" s="25">
        <f t="shared" si="6"/>
        <v>0</v>
      </c>
      <c r="AD24" s="25">
        <f t="shared" si="7"/>
        <v>0</v>
      </c>
      <c r="AE24" s="25">
        <f t="shared" si="8"/>
        <v>0</v>
      </c>
      <c r="AF24" s="25">
        <f t="shared" si="9"/>
        <v>0</v>
      </c>
      <c r="AG24" s="25">
        <f t="shared" si="10"/>
        <v>0</v>
      </c>
      <c r="AH24" s="25">
        <f t="shared" si="11"/>
        <v>0</v>
      </c>
      <c r="AI24" s="28"/>
      <c r="AJ24" s="25">
        <f t="shared" si="12"/>
        <v>0</v>
      </c>
      <c r="AK24" s="25">
        <f t="shared" si="13"/>
        <v>0</v>
      </c>
      <c r="AL24" s="25">
        <f t="shared" si="14"/>
        <v>0</v>
      </c>
      <c r="AN24" s="25">
        <v>15</v>
      </c>
      <c r="AO24" s="25">
        <f>G24*0.40263868065967</f>
        <v>0</v>
      </c>
      <c r="AP24" s="25">
        <f>G24*(1-0.40263868065967)</f>
        <v>0</v>
      </c>
      <c r="AQ24" s="48" t="s">
        <v>44</v>
      </c>
      <c r="AV24" s="25">
        <f t="shared" si="17"/>
        <v>0</v>
      </c>
      <c r="AW24" s="25">
        <f t="shared" si="18"/>
        <v>0</v>
      </c>
      <c r="AX24" s="25">
        <f t="shared" si="19"/>
        <v>0</v>
      </c>
      <c r="AY24" s="48" t="s">
        <v>230</v>
      </c>
      <c r="AZ24" s="48" t="s">
        <v>231</v>
      </c>
      <c r="BA24" s="28" t="s">
        <v>232</v>
      </c>
      <c r="BC24" s="25">
        <f t="shared" si="20"/>
        <v>0</v>
      </c>
      <c r="BD24" s="25">
        <f t="shared" si="21"/>
        <v>0</v>
      </c>
      <c r="BE24" s="25">
        <v>0</v>
      </c>
      <c r="BF24" s="25">
        <f t="shared" si="22"/>
        <v>0.00076</v>
      </c>
      <c r="BH24" s="25">
        <f t="shared" si="23"/>
        <v>0</v>
      </c>
      <c r="BI24" s="25">
        <f t="shared" si="24"/>
        <v>0</v>
      </c>
      <c r="BJ24" s="25">
        <f t="shared" si="25"/>
        <v>0</v>
      </c>
    </row>
    <row r="25" spans="1:62" ht="12.75">
      <c r="A25" s="12" t="s">
        <v>63</v>
      </c>
      <c r="B25" s="12"/>
      <c r="C25" s="12" t="s">
        <v>64</v>
      </c>
      <c r="D25" s="12" t="s">
        <v>65</v>
      </c>
      <c r="E25" s="12" t="s">
        <v>59</v>
      </c>
      <c r="F25" s="25">
        <f>'Rozpočet - vybrané sloupce'!AL24</f>
        <v>4</v>
      </c>
      <c r="G25" s="25">
        <f>'Rozpočet - vybrané sloupce'!AQ24</f>
        <v>0</v>
      </c>
      <c r="H25" s="25">
        <f t="shared" si="0"/>
        <v>0</v>
      </c>
      <c r="I25" s="25">
        <f t="shared" si="1"/>
        <v>0</v>
      </c>
      <c r="J25" s="25">
        <f t="shared" si="2"/>
        <v>0</v>
      </c>
      <c r="K25" s="25">
        <v>0.00052</v>
      </c>
      <c r="L25" s="25">
        <f t="shared" si="3"/>
        <v>0.00208</v>
      </c>
      <c r="M25" s="48" t="s">
        <v>154</v>
      </c>
      <c r="Z25" s="25">
        <f t="shared" si="4"/>
        <v>0</v>
      </c>
      <c r="AB25" s="25">
        <f t="shared" si="5"/>
        <v>0</v>
      </c>
      <c r="AC25" s="25">
        <f t="shared" si="6"/>
        <v>0</v>
      </c>
      <c r="AD25" s="25">
        <f t="shared" si="7"/>
        <v>0</v>
      </c>
      <c r="AE25" s="25">
        <f t="shared" si="8"/>
        <v>0</v>
      </c>
      <c r="AF25" s="25">
        <f t="shared" si="9"/>
        <v>0</v>
      </c>
      <c r="AG25" s="25">
        <f t="shared" si="10"/>
        <v>0</v>
      </c>
      <c r="AH25" s="25">
        <f t="shared" si="11"/>
        <v>0</v>
      </c>
      <c r="AI25" s="28"/>
      <c r="AJ25" s="25">
        <f t="shared" si="12"/>
        <v>0</v>
      </c>
      <c r="AK25" s="25">
        <f t="shared" si="13"/>
        <v>0</v>
      </c>
      <c r="AL25" s="25">
        <f t="shared" si="14"/>
        <v>0</v>
      </c>
      <c r="AN25" s="25">
        <v>15</v>
      </c>
      <c r="AO25" s="25">
        <f>G25*0.339800399201597</f>
        <v>0</v>
      </c>
      <c r="AP25" s="25">
        <f>G25*(1-0.339800399201597)</f>
        <v>0</v>
      </c>
      <c r="AQ25" s="48" t="s">
        <v>44</v>
      </c>
      <c r="AV25" s="25">
        <f t="shared" si="17"/>
        <v>0</v>
      </c>
      <c r="AW25" s="25">
        <f t="shared" si="18"/>
        <v>0</v>
      </c>
      <c r="AX25" s="25">
        <f t="shared" si="19"/>
        <v>0</v>
      </c>
      <c r="AY25" s="48" t="s">
        <v>230</v>
      </c>
      <c r="AZ25" s="48" t="s">
        <v>231</v>
      </c>
      <c r="BA25" s="28" t="s">
        <v>232</v>
      </c>
      <c r="BC25" s="25">
        <f t="shared" si="20"/>
        <v>0</v>
      </c>
      <c r="BD25" s="25">
        <f t="shared" si="21"/>
        <v>0</v>
      </c>
      <c r="BE25" s="25">
        <v>0</v>
      </c>
      <c r="BF25" s="25">
        <f t="shared" si="22"/>
        <v>0.00208</v>
      </c>
      <c r="BH25" s="25">
        <f t="shared" si="23"/>
        <v>0</v>
      </c>
      <c r="BI25" s="25">
        <f t="shared" si="24"/>
        <v>0</v>
      </c>
      <c r="BJ25" s="25">
        <f t="shared" si="25"/>
        <v>0</v>
      </c>
    </row>
    <row r="26" spans="1:62" ht="12.75">
      <c r="A26" s="12" t="s">
        <v>66</v>
      </c>
      <c r="B26" s="12"/>
      <c r="C26" s="12" t="s">
        <v>67</v>
      </c>
      <c r="D26" s="12" t="s">
        <v>68</v>
      </c>
      <c r="E26" s="12" t="s">
        <v>59</v>
      </c>
      <c r="F26" s="25">
        <f>'Rozpočet - vybrané sloupce'!AL25</f>
        <v>22</v>
      </c>
      <c r="G26" s="25">
        <f>'Rozpočet - vybrané sloupce'!AQ25</f>
        <v>0</v>
      </c>
      <c r="H26" s="25">
        <f t="shared" si="0"/>
        <v>0</v>
      </c>
      <c r="I26" s="25">
        <f t="shared" si="1"/>
        <v>0</v>
      </c>
      <c r="J26" s="25">
        <f t="shared" si="2"/>
        <v>0</v>
      </c>
      <c r="K26" s="25">
        <v>0.00012</v>
      </c>
      <c r="L26" s="25">
        <f t="shared" si="3"/>
        <v>0.00264</v>
      </c>
      <c r="M26" s="48" t="s">
        <v>154</v>
      </c>
      <c r="Z26" s="25">
        <f t="shared" si="4"/>
        <v>0</v>
      </c>
      <c r="AB26" s="25">
        <f t="shared" si="5"/>
        <v>0</v>
      </c>
      <c r="AC26" s="25">
        <f t="shared" si="6"/>
        <v>0</v>
      </c>
      <c r="AD26" s="25">
        <f t="shared" si="7"/>
        <v>0</v>
      </c>
      <c r="AE26" s="25">
        <f t="shared" si="8"/>
        <v>0</v>
      </c>
      <c r="AF26" s="25">
        <f t="shared" si="9"/>
        <v>0</v>
      </c>
      <c r="AG26" s="25">
        <f t="shared" si="10"/>
        <v>0</v>
      </c>
      <c r="AH26" s="25">
        <f t="shared" si="11"/>
        <v>0</v>
      </c>
      <c r="AI26" s="28"/>
      <c r="AJ26" s="25">
        <f t="shared" si="12"/>
        <v>0</v>
      </c>
      <c r="AK26" s="25">
        <f t="shared" si="13"/>
        <v>0</v>
      </c>
      <c r="AL26" s="25">
        <f t="shared" si="14"/>
        <v>0</v>
      </c>
      <c r="AN26" s="25">
        <v>15</v>
      </c>
      <c r="AO26" s="25">
        <f aca="true" t="shared" si="26" ref="AO26:AO27">G26*1</f>
        <v>0</v>
      </c>
      <c r="AP26" s="25">
        <f aca="true" t="shared" si="27" ref="AP26:AP27">G26*(1-1)</f>
        <v>0</v>
      </c>
      <c r="AQ26" s="48" t="s">
        <v>44</v>
      </c>
      <c r="AV26" s="25">
        <f t="shared" si="17"/>
        <v>0</v>
      </c>
      <c r="AW26" s="25">
        <f t="shared" si="18"/>
        <v>0</v>
      </c>
      <c r="AX26" s="25">
        <f t="shared" si="19"/>
        <v>0</v>
      </c>
      <c r="AY26" s="48" t="s">
        <v>230</v>
      </c>
      <c r="AZ26" s="48" t="s">
        <v>231</v>
      </c>
      <c r="BA26" s="28" t="s">
        <v>232</v>
      </c>
      <c r="BC26" s="25">
        <f t="shared" si="20"/>
        <v>0</v>
      </c>
      <c r="BD26" s="25">
        <f t="shared" si="21"/>
        <v>0</v>
      </c>
      <c r="BE26" s="25">
        <v>0</v>
      </c>
      <c r="BF26" s="25">
        <f t="shared" si="22"/>
        <v>0.00264</v>
      </c>
      <c r="BH26" s="25">
        <f t="shared" si="23"/>
        <v>0</v>
      </c>
      <c r="BI26" s="25">
        <f t="shared" si="24"/>
        <v>0</v>
      </c>
      <c r="BJ26" s="25">
        <f t="shared" si="25"/>
        <v>0</v>
      </c>
    </row>
    <row r="27" spans="1:62" ht="12.75">
      <c r="A27" s="12" t="s">
        <v>28</v>
      </c>
      <c r="B27" s="12"/>
      <c r="C27" s="12" t="s">
        <v>69</v>
      </c>
      <c r="D27" s="12" t="s">
        <v>70</v>
      </c>
      <c r="E27" s="12" t="s">
        <v>59</v>
      </c>
      <c r="F27" s="25">
        <f>'Rozpočet - vybrané sloupce'!AL26</f>
        <v>22</v>
      </c>
      <c r="G27" s="25">
        <f>'Rozpočet - vybrané sloupce'!AQ26</f>
        <v>0</v>
      </c>
      <c r="H27" s="25">
        <f t="shared" si="0"/>
        <v>0</v>
      </c>
      <c r="I27" s="25">
        <f t="shared" si="1"/>
        <v>0</v>
      </c>
      <c r="J27" s="25">
        <f t="shared" si="2"/>
        <v>0</v>
      </c>
      <c r="K27" s="25">
        <v>9E-05</v>
      </c>
      <c r="L27" s="25">
        <f t="shared" si="3"/>
        <v>0.00198</v>
      </c>
      <c r="M27" s="48" t="s">
        <v>154</v>
      </c>
      <c r="Z27" s="25">
        <f t="shared" si="4"/>
        <v>0</v>
      </c>
      <c r="AB27" s="25">
        <f t="shared" si="5"/>
        <v>0</v>
      </c>
      <c r="AC27" s="25">
        <f t="shared" si="6"/>
        <v>0</v>
      </c>
      <c r="AD27" s="25">
        <f t="shared" si="7"/>
        <v>0</v>
      </c>
      <c r="AE27" s="25">
        <f t="shared" si="8"/>
        <v>0</v>
      </c>
      <c r="AF27" s="25">
        <f t="shared" si="9"/>
        <v>0</v>
      </c>
      <c r="AG27" s="25">
        <f t="shared" si="10"/>
        <v>0</v>
      </c>
      <c r="AH27" s="25">
        <f t="shared" si="11"/>
        <v>0</v>
      </c>
      <c r="AI27" s="28"/>
      <c r="AJ27" s="25">
        <f t="shared" si="12"/>
        <v>0</v>
      </c>
      <c r="AK27" s="25">
        <f t="shared" si="13"/>
        <v>0</v>
      </c>
      <c r="AL27" s="25">
        <f t="shared" si="14"/>
        <v>0</v>
      </c>
      <c r="AN27" s="25">
        <v>15</v>
      </c>
      <c r="AO27" s="25">
        <f t="shared" si="26"/>
        <v>0</v>
      </c>
      <c r="AP27" s="25">
        <f t="shared" si="27"/>
        <v>0</v>
      </c>
      <c r="AQ27" s="48" t="s">
        <v>44</v>
      </c>
      <c r="AV27" s="25">
        <f t="shared" si="17"/>
        <v>0</v>
      </c>
      <c r="AW27" s="25">
        <f t="shared" si="18"/>
        <v>0</v>
      </c>
      <c r="AX27" s="25">
        <f t="shared" si="19"/>
        <v>0</v>
      </c>
      <c r="AY27" s="48" t="s">
        <v>230</v>
      </c>
      <c r="AZ27" s="48" t="s">
        <v>231</v>
      </c>
      <c r="BA27" s="28" t="s">
        <v>232</v>
      </c>
      <c r="BC27" s="25">
        <f t="shared" si="20"/>
        <v>0</v>
      </c>
      <c r="BD27" s="25">
        <f t="shared" si="21"/>
        <v>0</v>
      </c>
      <c r="BE27" s="25">
        <v>0</v>
      </c>
      <c r="BF27" s="25">
        <f t="shared" si="22"/>
        <v>0.00198</v>
      </c>
      <c r="BH27" s="25">
        <f t="shared" si="23"/>
        <v>0</v>
      </c>
      <c r="BI27" s="25">
        <f t="shared" si="24"/>
        <v>0</v>
      </c>
      <c r="BJ27" s="25">
        <f t="shared" si="25"/>
        <v>0</v>
      </c>
    </row>
    <row r="28" spans="1:62" ht="12.75">
      <c r="A28" s="12" t="s">
        <v>71</v>
      </c>
      <c r="B28" s="12"/>
      <c r="C28" s="12" t="s">
        <v>72</v>
      </c>
      <c r="D28" s="12" t="s">
        <v>73</v>
      </c>
      <c r="E28" s="12" t="s">
        <v>59</v>
      </c>
      <c r="F28" s="25">
        <f>'Rozpočet - vybrané sloupce'!AL27</f>
        <v>22</v>
      </c>
      <c r="G28" s="25">
        <f>'Rozpočet - vybrané sloupce'!AQ27</f>
        <v>0</v>
      </c>
      <c r="H28" s="25">
        <f t="shared" si="0"/>
        <v>0</v>
      </c>
      <c r="I28" s="25">
        <f t="shared" si="1"/>
        <v>0</v>
      </c>
      <c r="J28" s="25">
        <f t="shared" si="2"/>
        <v>0</v>
      </c>
      <c r="K28" s="25">
        <v>0.00549</v>
      </c>
      <c r="L28" s="25">
        <f t="shared" si="3"/>
        <v>0.12078</v>
      </c>
      <c r="M28" s="48" t="s">
        <v>154</v>
      </c>
      <c r="Z28" s="25">
        <f t="shared" si="4"/>
        <v>0</v>
      </c>
      <c r="AB28" s="25">
        <f t="shared" si="5"/>
        <v>0</v>
      </c>
      <c r="AC28" s="25">
        <f t="shared" si="6"/>
        <v>0</v>
      </c>
      <c r="AD28" s="25">
        <f t="shared" si="7"/>
        <v>0</v>
      </c>
      <c r="AE28" s="25">
        <f t="shared" si="8"/>
        <v>0</v>
      </c>
      <c r="AF28" s="25">
        <f t="shared" si="9"/>
        <v>0</v>
      </c>
      <c r="AG28" s="25">
        <f t="shared" si="10"/>
        <v>0</v>
      </c>
      <c r="AH28" s="25">
        <f t="shared" si="11"/>
        <v>0</v>
      </c>
      <c r="AI28" s="28"/>
      <c r="AJ28" s="25">
        <f t="shared" si="12"/>
        <v>0</v>
      </c>
      <c r="AK28" s="25">
        <f t="shared" si="13"/>
        <v>0</v>
      </c>
      <c r="AL28" s="25">
        <f t="shared" si="14"/>
        <v>0</v>
      </c>
      <c r="AN28" s="25">
        <v>15</v>
      </c>
      <c r="AO28" s="25">
        <f>G28*0</f>
        <v>0</v>
      </c>
      <c r="AP28" s="25">
        <f>G28*(1-0)</f>
        <v>0</v>
      </c>
      <c r="AQ28" s="48" t="s">
        <v>44</v>
      </c>
      <c r="AV28" s="25">
        <f t="shared" si="17"/>
        <v>0</v>
      </c>
      <c r="AW28" s="25">
        <f t="shared" si="18"/>
        <v>0</v>
      </c>
      <c r="AX28" s="25">
        <f t="shared" si="19"/>
        <v>0</v>
      </c>
      <c r="AY28" s="48" t="s">
        <v>230</v>
      </c>
      <c r="AZ28" s="48" t="s">
        <v>231</v>
      </c>
      <c r="BA28" s="28" t="s">
        <v>232</v>
      </c>
      <c r="BC28" s="25">
        <f t="shared" si="20"/>
        <v>0</v>
      </c>
      <c r="BD28" s="25">
        <f t="shared" si="21"/>
        <v>0</v>
      </c>
      <c r="BE28" s="25">
        <v>0</v>
      </c>
      <c r="BF28" s="25">
        <f t="shared" si="22"/>
        <v>0.12078</v>
      </c>
      <c r="BH28" s="25">
        <f t="shared" si="23"/>
        <v>0</v>
      </c>
      <c r="BI28" s="25">
        <f t="shared" si="24"/>
        <v>0</v>
      </c>
      <c r="BJ28" s="25">
        <f t="shared" si="25"/>
        <v>0</v>
      </c>
    </row>
    <row r="29" spans="1:62" ht="12.75">
      <c r="A29" s="12" t="s">
        <v>74</v>
      </c>
      <c r="B29" s="12"/>
      <c r="C29" s="12" t="s">
        <v>75</v>
      </c>
      <c r="D29" s="12" t="s">
        <v>76</v>
      </c>
      <c r="E29" s="12" t="s">
        <v>59</v>
      </c>
      <c r="F29" s="25">
        <f>'Rozpočet - vybrané sloupce'!AL28</f>
        <v>22</v>
      </c>
      <c r="G29" s="25">
        <f>'Rozpočet - vybrané sloupce'!AQ28</f>
        <v>0</v>
      </c>
      <c r="H29" s="25">
        <f t="shared" si="0"/>
        <v>0</v>
      </c>
      <c r="I29" s="25">
        <f t="shared" si="1"/>
        <v>0</v>
      </c>
      <c r="J29" s="25">
        <f t="shared" si="2"/>
        <v>0</v>
      </c>
      <c r="K29" s="25">
        <v>2E-05</v>
      </c>
      <c r="L29" s="25">
        <f t="shared" si="3"/>
        <v>0.00044</v>
      </c>
      <c r="M29" s="48" t="s">
        <v>154</v>
      </c>
      <c r="Z29" s="25">
        <f t="shared" si="4"/>
        <v>0</v>
      </c>
      <c r="AB29" s="25">
        <f t="shared" si="5"/>
        <v>0</v>
      </c>
      <c r="AC29" s="25">
        <f t="shared" si="6"/>
        <v>0</v>
      </c>
      <c r="AD29" s="25">
        <f t="shared" si="7"/>
        <v>0</v>
      </c>
      <c r="AE29" s="25">
        <f t="shared" si="8"/>
        <v>0</v>
      </c>
      <c r="AF29" s="25">
        <f t="shared" si="9"/>
        <v>0</v>
      </c>
      <c r="AG29" s="25">
        <f t="shared" si="10"/>
        <v>0</v>
      </c>
      <c r="AH29" s="25">
        <f t="shared" si="11"/>
        <v>0</v>
      </c>
      <c r="AI29" s="28"/>
      <c r="AJ29" s="25">
        <f t="shared" si="12"/>
        <v>0</v>
      </c>
      <c r="AK29" s="25">
        <f t="shared" si="13"/>
        <v>0</v>
      </c>
      <c r="AL29" s="25">
        <f t="shared" si="14"/>
        <v>0</v>
      </c>
      <c r="AN29" s="25">
        <v>15</v>
      </c>
      <c r="AO29" s="25">
        <f>G29*0.0308867734849143</f>
        <v>0</v>
      </c>
      <c r="AP29" s="25">
        <f>G29*(1-0.0308867734849143)</f>
        <v>0</v>
      </c>
      <c r="AQ29" s="48" t="s">
        <v>44</v>
      </c>
      <c r="AV29" s="25">
        <f t="shared" si="17"/>
        <v>0</v>
      </c>
      <c r="AW29" s="25">
        <f t="shared" si="18"/>
        <v>0</v>
      </c>
      <c r="AX29" s="25">
        <f t="shared" si="19"/>
        <v>0</v>
      </c>
      <c r="AY29" s="48" t="s">
        <v>230</v>
      </c>
      <c r="AZ29" s="48" t="s">
        <v>231</v>
      </c>
      <c r="BA29" s="28" t="s">
        <v>232</v>
      </c>
      <c r="BC29" s="25">
        <f t="shared" si="20"/>
        <v>0</v>
      </c>
      <c r="BD29" s="25">
        <f t="shared" si="21"/>
        <v>0</v>
      </c>
      <c r="BE29" s="25">
        <v>0</v>
      </c>
      <c r="BF29" s="25">
        <f t="shared" si="22"/>
        <v>0.00044</v>
      </c>
      <c r="BH29" s="25">
        <f t="shared" si="23"/>
        <v>0</v>
      </c>
      <c r="BI29" s="25">
        <f t="shared" si="24"/>
        <v>0</v>
      </c>
      <c r="BJ29" s="25">
        <f t="shared" si="25"/>
        <v>0</v>
      </c>
    </row>
    <row r="30" spans="1:62" ht="12.75">
      <c r="A30" s="12" t="s">
        <v>77</v>
      </c>
      <c r="B30" s="12"/>
      <c r="C30" s="12" t="s">
        <v>78</v>
      </c>
      <c r="D30" s="12" t="s">
        <v>79</v>
      </c>
      <c r="E30" s="12" t="s">
        <v>59</v>
      </c>
      <c r="F30" s="25">
        <f>'Rozpočet - vybrané sloupce'!AL29</f>
        <v>22</v>
      </c>
      <c r="G30" s="25">
        <f>'Rozpočet - vybrané sloupce'!AQ29</f>
        <v>0</v>
      </c>
      <c r="H30" s="25">
        <f t="shared" si="0"/>
        <v>0</v>
      </c>
      <c r="I30" s="25">
        <f t="shared" si="1"/>
        <v>0</v>
      </c>
      <c r="J30" s="25">
        <f t="shared" si="2"/>
        <v>0</v>
      </c>
      <c r="K30" s="25">
        <v>0.00033</v>
      </c>
      <c r="L30" s="25">
        <f t="shared" si="3"/>
        <v>0.00726</v>
      </c>
      <c r="M30" s="48" t="s">
        <v>154</v>
      </c>
      <c r="Z30" s="25">
        <f t="shared" si="4"/>
        <v>0</v>
      </c>
      <c r="AB30" s="25">
        <f t="shared" si="5"/>
        <v>0</v>
      </c>
      <c r="AC30" s="25">
        <f t="shared" si="6"/>
        <v>0</v>
      </c>
      <c r="AD30" s="25">
        <f t="shared" si="7"/>
        <v>0</v>
      </c>
      <c r="AE30" s="25">
        <f t="shared" si="8"/>
        <v>0</v>
      </c>
      <c r="AF30" s="25">
        <f t="shared" si="9"/>
        <v>0</v>
      </c>
      <c r="AG30" s="25">
        <f t="shared" si="10"/>
        <v>0</v>
      </c>
      <c r="AH30" s="25">
        <f t="shared" si="11"/>
        <v>0</v>
      </c>
      <c r="AI30" s="28"/>
      <c r="AJ30" s="25">
        <f t="shared" si="12"/>
        <v>0</v>
      </c>
      <c r="AK30" s="25">
        <f t="shared" si="13"/>
        <v>0</v>
      </c>
      <c r="AL30" s="25">
        <f t="shared" si="14"/>
        <v>0</v>
      </c>
      <c r="AN30" s="25">
        <v>15</v>
      </c>
      <c r="AO30" s="25">
        <f>G30*0.803280575539568</f>
        <v>0</v>
      </c>
      <c r="AP30" s="25">
        <f>G30*(1-0.803280575539568)</f>
        <v>0</v>
      </c>
      <c r="AQ30" s="48" t="s">
        <v>44</v>
      </c>
      <c r="AV30" s="25">
        <f t="shared" si="17"/>
        <v>0</v>
      </c>
      <c r="AW30" s="25">
        <f t="shared" si="18"/>
        <v>0</v>
      </c>
      <c r="AX30" s="25">
        <f t="shared" si="19"/>
        <v>0</v>
      </c>
      <c r="AY30" s="48" t="s">
        <v>230</v>
      </c>
      <c r="AZ30" s="48" t="s">
        <v>231</v>
      </c>
      <c r="BA30" s="28" t="s">
        <v>232</v>
      </c>
      <c r="BC30" s="25">
        <f t="shared" si="20"/>
        <v>0</v>
      </c>
      <c r="BD30" s="25">
        <f t="shared" si="21"/>
        <v>0</v>
      </c>
      <c r="BE30" s="25">
        <v>0</v>
      </c>
      <c r="BF30" s="25">
        <f t="shared" si="22"/>
        <v>0.00726</v>
      </c>
      <c r="BH30" s="25">
        <f t="shared" si="23"/>
        <v>0</v>
      </c>
      <c r="BI30" s="25">
        <f t="shared" si="24"/>
        <v>0</v>
      </c>
      <c r="BJ30" s="25">
        <f t="shared" si="25"/>
        <v>0</v>
      </c>
    </row>
    <row r="31" spans="1:62" ht="12.75">
      <c r="A31" s="12" t="s">
        <v>80</v>
      </c>
      <c r="B31" s="12"/>
      <c r="C31" s="12" t="s">
        <v>81</v>
      </c>
      <c r="D31" s="12" t="s">
        <v>82</v>
      </c>
      <c r="E31" s="12" t="s">
        <v>59</v>
      </c>
      <c r="F31" s="25">
        <f>'Rozpočet - vybrané sloupce'!AL30</f>
        <v>22</v>
      </c>
      <c r="G31" s="25">
        <f>'Rozpočet - vybrané sloupce'!AQ30</f>
        <v>0</v>
      </c>
      <c r="H31" s="25">
        <f t="shared" si="0"/>
        <v>0</v>
      </c>
      <c r="I31" s="25">
        <f t="shared" si="1"/>
        <v>0</v>
      </c>
      <c r="J31" s="25">
        <f t="shared" si="2"/>
        <v>0</v>
      </c>
      <c r="K31" s="25">
        <v>0</v>
      </c>
      <c r="L31" s="25">
        <f t="shared" si="3"/>
        <v>0</v>
      </c>
      <c r="M31" s="48" t="s">
        <v>154</v>
      </c>
      <c r="Z31" s="25">
        <f t="shared" si="4"/>
        <v>0</v>
      </c>
      <c r="AB31" s="25">
        <f t="shared" si="5"/>
        <v>0</v>
      </c>
      <c r="AC31" s="25">
        <f t="shared" si="6"/>
        <v>0</v>
      </c>
      <c r="AD31" s="25">
        <f t="shared" si="7"/>
        <v>0</v>
      </c>
      <c r="AE31" s="25">
        <f t="shared" si="8"/>
        <v>0</v>
      </c>
      <c r="AF31" s="25">
        <f t="shared" si="9"/>
        <v>0</v>
      </c>
      <c r="AG31" s="25">
        <f t="shared" si="10"/>
        <v>0</v>
      </c>
      <c r="AH31" s="25">
        <f t="shared" si="11"/>
        <v>0</v>
      </c>
      <c r="AI31" s="28"/>
      <c r="AJ31" s="25">
        <f t="shared" si="12"/>
        <v>0</v>
      </c>
      <c r="AK31" s="25">
        <f t="shared" si="13"/>
        <v>0</v>
      </c>
      <c r="AL31" s="25">
        <f t="shared" si="14"/>
        <v>0</v>
      </c>
      <c r="AN31" s="25">
        <v>15</v>
      </c>
      <c r="AO31" s="25">
        <f>G31*0.402252877316138</f>
        <v>0</v>
      </c>
      <c r="AP31" s="25">
        <f>G31*(1-0.402252877316138)</f>
        <v>0</v>
      </c>
      <c r="AQ31" s="48" t="s">
        <v>44</v>
      </c>
      <c r="AV31" s="25">
        <f t="shared" si="17"/>
        <v>0</v>
      </c>
      <c r="AW31" s="25">
        <f t="shared" si="18"/>
        <v>0</v>
      </c>
      <c r="AX31" s="25">
        <f t="shared" si="19"/>
        <v>0</v>
      </c>
      <c r="AY31" s="48" t="s">
        <v>230</v>
      </c>
      <c r="AZ31" s="48" t="s">
        <v>231</v>
      </c>
      <c r="BA31" s="28" t="s">
        <v>232</v>
      </c>
      <c r="BC31" s="25">
        <f t="shared" si="20"/>
        <v>0</v>
      </c>
      <c r="BD31" s="25">
        <f t="shared" si="21"/>
        <v>0</v>
      </c>
      <c r="BE31" s="25">
        <v>0</v>
      </c>
      <c r="BF31" s="25">
        <f t="shared" si="22"/>
        <v>0</v>
      </c>
      <c r="BH31" s="25">
        <f t="shared" si="23"/>
        <v>0</v>
      </c>
      <c r="BI31" s="25">
        <f t="shared" si="24"/>
        <v>0</v>
      </c>
      <c r="BJ31" s="25">
        <f t="shared" si="25"/>
        <v>0</v>
      </c>
    </row>
    <row r="32" spans="1:62" ht="12.75">
      <c r="A32" s="12" t="s">
        <v>83</v>
      </c>
      <c r="B32" s="12"/>
      <c r="C32" s="12" t="s">
        <v>84</v>
      </c>
      <c r="D32" s="12" t="s">
        <v>85</v>
      </c>
      <c r="E32" s="12" t="s">
        <v>27</v>
      </c>
      <c r="F32" s="25">
        <f>'Rozpočet - vybrané sloupce'!AL31</f>
        <v>89</v>
      </c>
      <c r="G32" s="25">
        <f>'Rozpočet - vybrané sloupce'!AQ31</f>
        <v>0</v>
      </c>
      <c r="H32" s="25">
        <f t="shared" si="0"/>
        <v>0</v>
      </c>
      <c r="I32" s="25">
        <f t="shared" si="1"/>
        <v>0</v>
      </c>
      <c r="J32" s="25">
        <f t="shared" si="2"/>
        <v>0</v>
      </c>
      <c r="K32" s="25">
        <v>0</v>
      </c>
      <c r="L32" s="25">
        <f t="shared" si="3"/>
        <v>0</v>
      </c>
      <c r="M32" s="48" t="s">
        <v>154</v>
      </c>
      <c r="Z32" s="25">
        <f t="shared" si="4"/>
        <v>0</v>
      </c>
      <c r="AB32" s="25">
        <f t="shared" si="5"/>
        <v>0</v>
      </c>
      <c r="AC32" s="25">
        <f t="shared" si="6"/>
        <v>0</v>
      </c>
      <c r="AD32" s="25">
        <f t="shared" si="7"/>
        <v>0</v>
      </c>
      <c r="AE32" s="25">
        <f t="shared" si="8"/>
        <v>0</v>
      </c>
      <c r="AF32" s="25">
        <f t="shared" si="9"/>
        <v>0</v>
      </c>
      <c r="AG32" s="25">
        <f t="shared" si="10"/>
        <v>0</v>
      </c>
      <c r="AH32" s="25">
        <f t="shared" si="11"/>
        <v>0</v>
      </c>
      <c r="AI32" s="28"/>
      <c r="AJ32" s="25">
        <f t="shared" si="12"/>
        <v>0</v>
      </c>
      <c r="AK32" s="25">
        <f t="shared" si="13"/>
        <v>0</v>
      </c>
      <c r="AL32" s="25">
        <f t="shared" si="14"/>
        <v>0</v>
      </c>
      <c r="AN32" s="25">
        <v>15</v>
      </c>
      <c r="AO32" s="25">
        <f>G32*0.0192089959985037</f>
        <v>0</v>
      </c>
      <c r="AP32" s="25">
        <f>G32*(1-0.0192089959985037)</f>
        <v>0</v>
      </c>
      <c r="AQ32" s="48" t="s">
        <v>44</v>
      </c>
      <c r="AV32" s="25">
        <f t="shared" si="17"/>
        <v>0</v>
      </c>
      <c r="AW32" s="25">
        <f t="shared" si="18"/>
        <v>0</v>
      </c>
      <c r="AX32" s="25">
        <f t="shared" si="19"/>
        <v>0</v>
      </c>
      <c r="AY32" s="48" t="s">
        <v>230</v>
      </c>
      <c r="AZ32" s="48" t="s">
        <v>231</v>
      </c>
      <c r="BA32" s="28" t="s">
        <v>232</v>
      </c>
      <c r="BC32" s="25">
        <f t="shared" si="20"/>
        <v>0</v>
      </c>
      <c r="BD32" s="25">
        <f t="shared" si="21"/>
        <v>0</v>
      </c>
      <c r="BE32" s="25">
        <v>0</v>
      </c>
      <c r="BF32" s="25">
        <f t="shared" si="22"/>
        <v>0</v>
      </c>
      <c r="BH32" s="25">
        <f t="shared" si="23"/>
        <v>0</v>
      </c>
      <c r="BI32" s="25">
        <f t="shared" si="24"/>
        <v>0</v>
      </c>
      <c r="BJ32" s="25">
        <f t="shared" si="25"/>
        <v>0</v>
      </c>
    </row>
    <row r="33" spans="1:62" ht="12.75">
      <c r="A33" s="12" t="s">
        <v>86</v>
      </c>
      <c r="B33" s="12"/>
      <c r="C33" s="12" t="s">
        <v>87</v>
      </c>
      <c r="D33" s="12" t="s">
        <v>88</v>
      </c>
      <c r="E33" s="12" t="s">
        <v>89</v>
      </c>
      <c r="F33" s="25">
        <f>'Rozpočet - vybrané sloupce'!AL32</f>
        <v>0.0257</v>
      </c>
      <c r="G33" s="25">
        <f>'Rozpočet - vybrané sloupce'!AQ32</f>
        <v>0</v>
      </c>
      <c r="H33" s="25">
        <f t="shared" si="0"/>
        <v>0</v>
      </c>
      <c r="I33" s="25">
        <f t="shared" si="1"/>
        <v>0</v>
      </c>
      <c r="J33" s="25">
        <f t="shared" si="2"/>
        <v>0</v>
      </c>
      <c r="K33" s="25">
        <v>0</v>
      </c>
      <c r="L33" s="25">
        <f t="shared" si="3"/>
        <v>0</v>
      </c>
      <c r="M33" s="48" t="s">
        <v>154</v>
      </c>
      <c r="Z33" s="25">
        <f t="shared" si="4"/>
        <v>0</v>
      </c>
      <c r="AB33" s="25">
        <f t="shared" si="5"/>
        <v>0</v>
      </c>
      <c r="AC33" s="25">
        <f t="shared" si="6"/>
        <v>0</v>
      </c>
      <c r="AD33" s="25">
        <f t="shared" si="7"/>
        <v>0</v>
      </c>
      <c r="AE33" s="25">
        <f t="shared" si="8"/>
        <v>0</v>
      </c>
      <c r="AF33" s="25">
        <f t="shared" si="9"/>
        <v>0</v>
      </c>
      <c r="AG33" s="25">
        <f t="shared" si="10"/>
        <v>0</v>
      </c>
      <c r="AH33" s="25">
        <f t="shared" si="11"/>
        <v>0</v>
      </c>
      <c r="AI33" s="28"/>
      <c r="AJ33" s="25">
        <f t="shared" si="12"/>
        <v>0</v>
      </c>
      <c r="AK33" s="25">
        <f t="shared" si="13"/>
        <v>0</v>
      </c>
      <c r="AL33" s="25">
        <f t="shared" si="14"/>
        <v>0</v>
      </c>
      <c r="AN33" s="25">
        <v>15</v>
      </c>
      <c r="AO33" s="25">
        <f>G33*0</f>
        <v>0</v>
      </c>
      <c r="AP33" s="25">
        <f>G33*(1-0)</f>
        <v>0</v>
      </c>
      <c r="AQ33" s="48" t="s">
        <v>44</v>
      </c>
      <c r="AV33" s="25">
        <f t="shared" si="17"/>
        <v>0</v>
      </c>
      <c r="AW33" s="25">
        <f t="shared" si="18"/>
        <v>0</v>
      </c>
      <c r="AX33" s="25">
        <f t="shared" si="19"/>
        <v>0</v>
      </c>
      <c r="AY33" s="48" t="s">
        <v>230</v>
      </c>
      <c r="AZ33" s="48" t="s">
        <v>231</v>
      </c>
      <c r="BA33" s="28" t="s">
        <v>232</v>
      </c>
      <c r="BC33" s="25">
        <f t="shared" si="20"/>
        <v>0</v>
      </c>
      <c r="BD33" s="25">
        <f t="shared" si="21"/>
        <v>0</v>
      </c>
      <c r="BE33" s="25">
        <v>0</v>
      </c>
      <c r="BF33" s="25">
        <f t="shared" si="22"/>
        <v>0</v>
      </c>
      <c r="BH33" s="25">
        <f t="shared" si="23"/>
        <v>0</v>
      </c>
      <c r="BI33" s="25">
        <f t="shared" si="24"/>
        <v>0</v>
      </c>
      <c r="BJ33" s="25">
        <f t="shared" si="25"/>
        <v>0</v>
      </c>
    </row>
    <row r="34" spans="1:62" ht="12.75">
      <c r="A34" s="12" t="s">
        <v>90</v>
      </c>
      <c r="B34" s="12"/>
      <c r="C34" s="12" t="s">
        <v>91</v>
      </c>
      <c r="D34" s="12" t="s">
        <v>92</v>
      </c>
      <c r="E34" s="12" t="s">
        <v>59</v>
      </c>
      <c r="F34" s="25">
        <f>'Rozpočet - vybrané sloupce'!AL33</f>
        <v>22</v>
      </c>
      <c r="G34" s="25">
        <f>'Rozpočet - vybrané sloupce'!AQ33</f>
        <v>0</v>
      </c>
      <c r="H34" s="25">
        <f t="shared" si="0"/>
        <v>0</v>
      </c>
      <c r="I34" s="25">
        <f t="shared" si="1"/>
        <v>0</v>
      </c>
      <c r="J34" s="25">
        <f t="shared" si="2"/>
        <v>0</v>
      </c>
      <c r="K34" s="25">
        <v>0.00551</v>
      </c>
      <c r="L34" s="25">
        <f t="shared" si="3"/>
        <v>0.12122000000000001</v>
      </c>
      <c r="M34" s="48" t="s">
        <v>154</v>
      </c>
      <c r="Z34" s="25">
        <f t="shared" si="4"/>
        <v>0</v>
      </c>
      <c r="AB34" s="25">
        <f t="shared" si="5"/>
        <v>0</v>
      </c>
      <c r="AC34" s="25">
        <f t="shared" si="6"/>
        <v>0</v>
      </c>
      <c r="AD34" s="25">
        <f t="shared" si="7"/>
        <v>0</v>
      </c>
      <c r="AE34" s="25">
        <f t="shared" si="8"/>
        <v>0</v>
      </c>
      <c r="AF34" s="25">
        <f t="shared" si="9"/>
        <v>0</v>
      </c>
      <c r="AG34" s="25">
        <f t="shared" si="10"/>
        <v>0</v>
      </c>
      <c r="AH34" s="25">
        <f t="shared" si="11"/>
        <v>0</v>
      </c>
      <c r="AI34" s="28"/>
      <c r="AJ34" s="25">
        <f t="shared" si="12"/>
        <v>0</v>
      </c>
      <c r="AK34" s="25">
        <f t="shared" si="13"/>
        <v>0</v>
      </c>
      <c r="AL34" s="25">
        <f t="shared" si="14"/>
        <v>0</v>
      </c>
      <c r="AN34" s="25">
        <v>15</v>
      </c>
      <c r="AO34" s="25">
        <f>G34*0.285714285714286</f>
        <v>0</v>
      </c>
      <c r="AP34" s="25">
        <f>G34*(1-0.285714285714286)</f>
        <v>0</v>
      </c>
      <c r="AQ34" s="48" t="s">
        <v>44</v>
      </c>
      <c r="AV34" s="25">
        <f t="shared" si="17"/>
        <v>0</v>
      </c>
      <c r="AW34" s="25">
        <f t="shared" si="18"/>
        <v>0</v>
      </c>
      <c r="AX34" s="25">
        <f t="shared" si="19"/>
        <v>0</v>
      </c>
      <c r="AY34" s="48" t="s">
        <v>230</v>
      </c>
      <c r="AZ34" s="48" t="s">
        <v>231</v>
      </c>
      <c r="BA34" s="28" t="s">
        <v>232</v>
      </c>
      <c r="BC34" s="25">
        <f t="shared" si="20"/>
        <v>0</v>
      </c>
      <c r="BD34" s="25">
        <f t="shared" si="21"/>
        <v>0</v>
      </c>
      <c r="BE34" s="25">
        <v>0</v>
      </c>
      <c r="BF34" s="25">
        <f t="shared" si="22"/>
        <v>0.12122000000000001</v>
      </c>
      <c r="BH34" s="25">
        <f t="shared" si="23"/>
        <v>0</v>
      </c>
      <c r="BI34" s="25">
        <f t="shared" si="24"/>
        <v>0</v>
      </c>
      <c r="BJ34" s="25">
        <f t="shared" si="25"/>
        <v>0</v>
      </c>
    </row>
    <row r="35" spans="1:47" ht="12.75">
      <c r="A35" s="97"/>
      <c r="B35" s="27"/>
      <c r="C35" s="27" t="s">
        <v>93</v>
      </c>
      <c r="D35" s="27" t="s">
        <v>94</v>
      </c>
      <c r="E35" s="97" t="s">
        <v>21</v>
      </c>
      <c r="F35" s="97" t="s">
        <v>21</v>
      </c>
      <c r="G35" s="97" t="s">
        <v>21</v>
      </c>
      <c r="H35" s="29">
        <f>SUM(H36:H39)</f>
        <v>0</v>
      </c>
      <c r="I35" s="29">
        <f>SUM(I36:I39)</f>
        <v>0</v>
      </c>
      <c r="J35" s="29">
        <f>SUM(J36:J39)</f>
        <v>0</v>
      </c>
      <c r="K35" s="28"/>
      <c r="L35" s="29">
        <f>SUM(L36:L39)</f>
        <v>0.05005</v>
      </c>
      <c r="M35" s="28"/>
      <c r="AI35" s="28"/>
      <c r="AS35" s="29">
        <f>SUM(AJ36:AJ39)</f>
        <v>0</v>
      </c>
      <c r="AT35" s="29">
        <f>SUM(AK36:AK39)</f>
        <v>0</v>
      </c>
      <c r="AU35" s="29">
        <f>SUM(AL36:AL39)</f>
        <v>0</v>
      </c>
    </row>
    <row r="36" spans="1:62" ht="12.75">
      <c r="A36" s="12" t="s">
        <v>95</v>
      </c>
      <c r="B36" s="12"/>
      <c r="C36" s="12" t="s">
        <v>96</v>
      </c>
      <c r="D36" s="12" t="s">
        <v>97</v>
      </c>
      <c r="E36" s="12" t="s">
        <v>59</v>
      </c>
      <c r="F36" s="25">
        <f>'Rozpočet - vybrané sloupce'!AL35</f>
        <v>11</v>
      </c>
      <c r="G36" s="25">
        <f>'Rozpočet - vybrané sloupce'!AQ35</f>
        <v>0</v>
      </c>
      <c r="H36" s="25">
        <f aca="true" t="shared" si="28" ref="H36:H39">F36*AO36</f>
        <v>0</v>
      </c>
      <c r="I36" s="25">
        <f aca="true" t="shared" si="29" ref="I36:I39">F36*AP36</f>
        <v>0</v>
      </c>
      <c r="J36" s="25">
        <f aca="true" t="shared" si="30" ref="J36:J39">F36*G36</f>
        <v>0</v>
      </c>
      <c r="K36" s="25">
        <v>0.00438</v>
      </c>
      <c r="L36" s="25">
        <f aca="true" t="shared" si="31" ref="L36:L39">F36*K36</f>
        <v>0.04818</v>
      </c>
      <c r="M36" s="48" t="s">
        <v>154</v>
      </c>
      <c r="Z36" s="25">
        <f aca="true" t="shared" si="32" ref="Z36:Z39">IF(AQ36="5",BJ36,0)</f>
        <v>0</v>
      </c>
      <c r="AB36" s="25">
        <f aca="true" t="shared" si="33" ref="AB36:AB39">IF(AQ36="1",BH36,0)</f>
        <v>0</v>
      </c>
      <c r="AC36" s="25">
        <f aca="true" t="shared" si="34" ref="AC36:AC39">IF(AQ36="1",BI36,0)</f>
        <v>0</v>
      </c>
      <c r="AD36" s="25">
        <f aca="true" t="shared" si="35" ref="AD36:AD39">IF(AQ36="7",BH36,0)</f>
        <v>0</v>
      </c>
      <c r="AE36" s="25">
        <f aca="true" t="shared" si="36" ref="AE36:AE39">IF(AQ36="7",BI36,0)</f>
        <v>0</v>
      </c>
      <c r="AF36" s="25">
        <f aca="true" t="shared" si="37" ref="AF36:AF39">IF(AQ36="2",BH36,0)</f>
        <v>0</v>
      </c>
      <c r="AG36" s="25">
        <f aca="true" t="shared" si="38" ref="AG36:AG39">IF(AQ36="2",BI36,0)</f>
        <v>0</v>
      </c>
      <c r="AH36" s="25">
        <f aca="true" t="shared" si="39" ref="AH36:AH39">IF(AQ36="0",BJ36,0)</f>
        <v>0</v>
      </c>
      <c r="AI36" s="28"/>
      <c r="AJ36" s="25">
        <f aca="true" t="shared" si="40" ref="AJ36:AJ39">IF(AN36=0,J36,0)</f>
        <v>0</v>
      </c>
      <c r="AK36" s="25">
        <f aca="true" t="shared" si="41" ref="AK36:AK39">IF(AN36=15,J36,0)</f>
        <v>0</v>
      </c>
      <c r="AL36" s="25">
        <f aca="true" t="shared" si="42" ref="AL36:AL39">IF(AN36=21,J36,0)</f>
        <v>0</v>
      </c>
      <c r="AN36" s="25">
        <v>15</v>
      </c>
      <c r="AO36" s="25">
        <f>G36*0.206772908366534</f>
        <v>0</v>
      </c>
      <c r="AP36" s="25">
        <f>G36*(1-0.206772908366534)</f>
        <v>0</v>
      </c>
      <c r="AQ36" s="48" t="s">
        <v>44</v>
      </c>
      <c r="AV36" s="25">
        <f aca="true" t="shared" si="43" ref="AV36:AV39">AW36+AX36</f>
        <v>0</v>
      </c>
      <c r="AW36" s="25">
        <f aca="true" t="shared" si="44" ref="AW36:AW39">F36*AO36</f>
        <v>0</v>
      </c>
      <c r="AX36" s="25">
        <f aca="true" t="shared" si="45" ref="AX36:AX39">F36*AP36</f>
        <v>0</v>
      </c>
      <c r="AY36" s="48" t="s">
        <v>233</v>
      </c>
      <c r="AZ36" s="48" t="s">
        <v>231</v>
      </c>
      <c r="BA36" s="28" t="s">
        <v>232</v>
      </c>
      <c r="BC36" s="25">
        <f aca="true" t="shared" si="46" ref="BC36:BC39">AW36+AX36</f>
        <v>0</v>
      </c>
      <c r="BD36" s="25">
        <f aca="true" t="shared" si="47" ref="BD36:BD39">G36/(100-BE36)*100</f>
        <v>0</v>
      </c>
      <c r="BE36" s="25">
        <v>0</v>
      </c>
      <c r="BF36" s="25">
        <f aca="true" t="shared" si="48" ref="BF36:BF39">L36</f>
        <v>0.04818</v>
      </c>
      <c r="BH36" s="25">
        <f aca="true" t="shared" si="49" ref="BH36:BH39">F36*AO36</f>
        <v>0</v>
      </c>
      <c r="BI36" s="25">
        <f aca="true" t="shared" si="50" ref="BI36:BI39">F36*AP36</f>
        <v>0</v>
      </c>
      <c r="BJ36" s="25">
        <f aca="true" t="shared" si="51" ref="BJ36:BJ39">F36*G36</f>
        <v>0</v>
      </c>
    </row>
    <row r="37" spans="1:62" ht="12.75">
      <c r="A37" s="12" t="s">
        <v>98</v>
      </c>
      <c r="B37" s="12"/>
      <c r="C37" s="12" t="s">
        <v>99</v>
      </c>
      <c r="D37" s="12" t="s">
        <v>100</v>
      </c>
      <c r="E37" s="12" t="s">
        <v>59</v>
      </c>
      <c r="F37" s="25">
        <f>'Rozpočet - vybrané sloupce'!AL36</f>
        <v>11</v>
      </c>
      <c r="G37" s="25">
        <f>'Rozpočet - vybrané sloupce'!AQ36</f>
        <v>0</v>
      </c>
      <c r="H37" s="25">
        <f t="shared" si="28"/>
        <v>0</v>
      </c>
      <c r="I37" s="25">
        <f t="shared" si="29"/>
        <v>0</v>
      </c>
      <c r="J37" s="25">
        <f t="shared" si="30"/>
        <v>0</v>
      </c>
      <c r="K37" s="25">
        <v>0.00017</v>
      </c>
      <c r="L37" s="25">
        <f t="shared" si="31"/>
        <v>0.0018700000000000001</v>
      </c>
      <c r="M37" s="48" t="s">
        <v>154</v>
      </c>
      <c r="Z37" s="25">
        <f t="shared" si="32"/>
        <v>0</v>
      </c>
      <c r="AB37" s="25">
        <f t="shared" si="33"/>
        <v>0</v>
      </c>
      <c r="AC37" s="25">
        <f t="shared" si="34"/>
        <v>0</v>
      </c>
      <c r="AD37" s="25">
        <f t="shared" si="35"/>
        <v>0</v>
      </c>
      <c r="AE37" s="25">
        <f t="shared" si="36"/>
        <v>0</v>
      </c>
      <c r="AF37" s="25">
        <f t="shared" si="37"/>
        <v>0</v>
      </c>
      <c r="AG37" s="25">
        <f t="shared" si="38"/>
        <v>0</v>
      </c>
      <c r="AH37" s="25">
        <f t="shared" si="39"/>
        <v>0</v>
      </c>
      <c r="AI37" s="28"/>
      <c r="AJ37" s="25">
        <f t="shared" si="40"/>
        <v>0</v>
      </c>
      <c r="AK37" s="25">
        <f t="shared" si="41"/>
        <v>0</v>
      </c>
      <c r="AL37" s="25">
        <f t="shared" si="42"/>
        <v>0</v>
      </c>
      <c r="AN37" s="25">
        <v>15</v>
      </c>
      <c r="AO37" s="25">
        <f>G37*0.269779735682819</f>
        <v>0</v>
      </c>
      <c r="AP37" s="25">
        <f>G37*(1-0.269779735682819)</f>
        <v>0</v>
      </c>
      <c r="AQ37" s="48" t="s">
        <v>44</v>
      </c>
      <c r="AV37" s="25">
        <f t="shared" si="43"/>
        <v>0</v>
      </c>
      <c r="AW37" s="25">
        <f t="shared" si="44"/>
        <v>0</v>
      </c>
      <c r="AX37" s="25">
        <f t="shared" si="45"/>
        <v>0</v>
      </c>
      <c r="AY37" s="48" t="s">
        <v>233</v>
      </c>
      <c r="AZ37" s="48" t="s">
        <v>231</v>
      </c>
      <c r="BA37" s="28" t="s">
        <v>232</v>
      </c>
      <c r="BC37" s="25">
        <f t="shared" si="46"/>
        <v>0</v>
      </c>
      <c r="BD37" s="25">
        <f t="shared" si="47"/>
        <v>0</v>
      </c>
      <c r="BE37" s="25">
        <v>0</v>
      </c>
      <c r="BF37" s="25">
        <f t="shared" si="48"/>
        <v>0.0018700000000000001</v>
      </c>
      <c r="BH37" s="25">
        <f t="shared" si="49"/>
        <v>0</v>
      </c>
      <c r="BI37" s="25">
        <f t="shared" si="50"/>
        <v>0</v>
      </c>
      <c r="BJ37" s="25">
        <f t="shared" si="51"/>
        <v>0</v>
      </c>
    </row>
    <row r="38" spans="1:62" ht="12.75">
      <c r="A38" s="12" t="s">
        <v>101</v>
      </c>
      <c r="B38" s="12"/>
      <c r="C38" s="12" t="s">
        <v>102</v>
      </c>
      <c r="D38" s="12" t="s">
        <v>103</v>
      </c>
      <c r="E38" s="12" t="s">
        <v>104</v>
      </c>
      <c r="F38" s="25">
        <f>'Rozpočet - vybrané sloupce'!AL37</f>
        <v>11</v>
      </c>
      <c r="G38" s="25">
        <f>'Rozpočet - vybrané sloupce'!AQ37</f>
        <v>0</v>
      </c>
      <c r="H38" s="25">
        <f t="shared" si="28"/>
        <v>0</v>
      </c>
      <c r="I38" s="25">
        <f t="shared" si="29"/>
        <v>0</v>
      </c>
      <c r="J38" s="25">
        <f t="shared" si="30"/>
        <v>0</v>
      </c>
      <c r="K38" s="25">
        <v>0</v>
      </c>
      <c r="L38" s="25">
        <f t="shared" si="31"/>
        <v>0</v>
      </c>
      <c r="M38" s="48" t="s">
        <v>234</v>
      </c>
      <c r="Z38" s="25">
        <f t="shared" si="32"/>
        <v>0</v>
      </c>
      <c r="AB38" s="25">
        <f t="shared" si="33"/>
        <v>0</v>
      </c>
      <c r="AC38" s="25">
        <f t="shared" si="34"/>
        <v>0</v>
      </c>
      <c r="AD38" s="25">
        <f t="shared" si="35"/>
        <v>0</v>
      </c>
      <c r="AE38" s="25">
        <f t="shared" si="36"/>
        <v>0</v>
      </c>
      <c r="AF38" s="25">
        <f t="shared" si="37"/>
        <v>0</v>
      </c>
      <c r="AG38" s="25">
        <f t="shared" si="38"/>
        <v>0</v>
      </c>
      <c r="AH38" s="25">
        <f t="shared" si="39"/>
        <v>0</v>
      </c>
      <c r="AI38" s="28"/>
      <c r="AJ38" s="25">
        <f t="shared" si="40"/>
        <v>0</v>
      </c>
      <c r="AK38" s="25">
        <f t="shared" si="41"/>
        <v>0</v>
      </c>
      <c r="AL38" s="25">
        <f t="shared" si="42"/>
        <v>0</v>
      </c>
      <c r="AN38" s="25">
        <v>15</v>
      </c>
      <c r="AO38" s="25">
        <f aca="true" t="shared" si="52" ref="AO38:AO39">G38*0</f>
        <v>0</v>
      </c>
      <c r="AP38" s="25">
        <f aca="true" t="shared" si="53" ref="AP38:AP39">G38*(1-0)</f>
        <v>0</v>
      </c>
      <c r="AQ38" s="48" t="s">
        <v>44</v>
      </c>
      <c r="AV38" s="25">
        <f t="shared" si="43"/>
        <v>0</v>
      </c>
      <c r="AW38" s="25">
        <f t="shared" si="44"/>
        <v>0</v>
      </c>
      <c r="AX38" s="25">
        <f t="shared" si="45"/>
        <v>0</v>
      </c>
      <c r="AY38" s="48" t="s">
        <v>233</v>
      </c>
      <c r="AZ38" s="48" t="s">
        <v>231</v>
      </c>
      <c r="BA38" s="28" t="s">
        <v>232</v>
      </c>
      <c r="BC38" s="25">
        <f t="shared" si="46"/>
        <v>0</v>
      </c>
      <c r="BD38" s="25">
        <f t="shared" si="47"/>
        <v>0</v>
      </c>
      <c r="BE38" s="25">
        <v>0</v>
      </c>
      <c r="BF38" s="25">
        <f t="shared" si="48"/>
        <v>0</v>
      </c>
      <c r="BH38" s="25">
        <f t="shared" si="49"/>
        <v>0</v>
      </c>
      <c r="BI38" s="25">
        <f t="shared" si="50"/>
        <v>0</v>
      </c>
      <c r="BJ38" s="25">
        <f t="shared" si="51"/>
        <v>0</v>
      </c>
    </row>
    <row r="39" spans="1:62" ht="12.75">
      <c r="A39" s="12" t="s">
        <v>105</v>
      </c>
      <c r="B39" s="12"/>
      <c r="C39" s="12" t="s">
        <v>106</v>
      </c>
      <c r="D39" s="12" t="s">
        <v>107</v>
      </c>
      <c r="E39" s="12" t="s">
        <v>104</v>
      </c>
      <c r="F39" s="25">
        <f>'Rozpočet - vybrané sloupce'!AL38</f>
        <v>11</v>
      </c>
      <c r="G39" s="25">
        <f>'Rozpočet - vybrané sloupce'!AQ38</f>
        <v>0</v>
      </c>
      <c r="H39" s="25">
        <f t="shared" si="28"/>
        <v>0</v>
      </c>
      <c r="I39" s="25">
        <f t="shared" si="29"/>
        <v>0</v>
      </c>
      <c r="J39" s="25">
        <f t="shared" si="30"/>
        <v>0</v>
      </c>
      <c r="K39" s="25">
        <v>0</v>
      </c>
      <c r="L39" s="25">
        <f t="shared" si="31"/>
        <v>0</v>
      </c>
      <c r="M39" s="48"/>
      <c r="Z39" s="25">
        <f t="shared" si="32"/>
        <v>0</v>
      </c>
      <c r="AB39" s="25">
        <f t="shared" si="33"/>
        <v>0</v>
      </c>
      <c r="AC39" s="25">
        <f t="shared" si="34"/>
        <v>0</v>
      </c>
      <c r="AD39" s="25">
        <f t="shared" si="35"/>
        <v>0</v>
      </c>
      <c r="AE39" s="25">
        <f t="shared" si="36"/>
        <v>0</v>
      </c>
      <c r="AF39" s="25">
        <f t="shared" si="37"/>
        <v>0</v>
      </c>
      <c r="AG39" s="25">
        <f t="shared" si="38"/>
        <v>0</v>
      </c>
      <c r="AH39" s="25">
        <f t="shared" si="39"/>
        <v>0</v>
      </c>
      <c r="AI39" s="28"/>
      <c r="AJ39" s="25">
        <f t="shared" si="40"/>
        <v>0</v>
      </c>
      <c r="AK39" s="25">
        <f t="shared" si="41"/>
        <v>0</v>
      </c>
      <c r="AL39" s="25">
        <f t="shared" si="42"/>
        <v>0</v>
      </c>
      <c r="AN39" s="25">
        <v>15</v>
      </c>
      <c r="AO39" s="25">
        <f t="shared" si="52"/>
        <v>0</v>
      </c>
      <c r="AP39" s="25">
        <f t="shared" si="53"/>
        <v>0</v>
      </c>
      <c r="AQ39" s="48" t="s">
        <v>44</v>
      </c>
      <c r="AV39" s="25">
        <f t="shared" si="43"/>
        <v>0</v>
      </c>
      <c r="AW39" s="25">
        <f t="shared" si="44"/>
        <v>0</v>
      </c>
      <c r="AX39" s="25">
        <f t="shared" si="45"/>
        <v>0</v>
      </c>
      <c r="AY39" s="48" t="s">
        <v>233</v>
      </c>
      <c r="AZ39" s="48" t="s">
        <v>231</v>
      </c>
      <c r="BA39" s="28" t="s">
        <v>232</v>
      </c>
      <c r="BC39" s="25">
        <f t="shared" si="46"/>
        <v>0</v>
      </c>
      <c r="BD39" s="25">
        <f t="shared" si="47"/>
        <v>0</v>
      </c>
      <c r="BE39" s="25">
        <v>0</v>
      </c>
      <c r="BF39" s="25">
        <f t="shared" si="48"/>
        <v>0</v>
      </c>
      <c r="BH39" s="25">
        <f t="shared" si="49"/>
        <v>0</v>
      </c>
      <c r="BI39" s="25">
        <f t="shared" si="50"/>
        <v>0</v>
      </c>
      <c r="BJ39" s="25">
        <f t="shared" si="51"/>
        <v>0</v>
      </c>
    </row>
    <row r="40" spans="1:47" ht="12.75">
      <c r="A40" s="97"/>
      <c r="B40" s="27"/>
      <c r="C40" s="27" t="s">
        <v>108</v>
      </c>
      <c r="D40" s="27" t="s">
        <v>109</v>
      </c>
      <c r="E40" s="97" t="s">
        <v>21</v>
      </c>
      <c r="F40" s="97" t="s">
        <v>21</v>
      </c>
      <c r="G40" s="97" t="s">
        <v>21</v>
      </c>
      <c r="H40" s="29">
        <f>SUM(H41:H44)</f>
        <v>0</v>
      </c>
      <c r="I40" s="29">
        <f>SUM(I41:I44)</f>
        <v>0</v>
      </c>
      <c r="J40" s="29">
        <f>SUM(J41:J44)</f>
        <v>0</v>
      </c>
      <c r="K40" s="28"/>
      <c r="L40" s="29">
        <f>SUM(L41:L44)</f>
        <v>0.00148</v>
      </c>
      <c r="M40" s="28"/>
      <c r="AI40" s="28"/>
      <c r="AS40" s="29">
        <f>SUM(AJ41:AJ44)</f>
        <v>0</v>
      </c>
      <c r="AT40" s="29">
        <f>SUM(AK41:AK44)</f>
        <v>0</v>
      </c>
      <c r="AU40" s="29">
        <f>SUM(AL41:AL44)</f>
        <v>0</v>
      </c>
    </row>
    <row r="41" spans="1:62" ht="12.75">
      <c r="A41" s="12" t="s">
        <v>110</v>
      </c>
      <c r="B41" s="12"/>
      <c r="C41" s="12" t="s">
        <v>111</v>
      </c>
      <c r="D41" s="12" t="s">
        <v>112</v>
      </c>
      <c r="E41" s="12" t="s">
        <v>59</v>
      </c>
      <c r="F41" s="25">
        <f>'Rozpočet - vybrané sloupce'!AL40</f>
        <v>2</v>
      </c>
      <c r="G41" s="25">
        <f>'Rozpočet - vybrané sloupce'!AQ40</f>
        <v>0</v>
      </c>
      <c r="H41" s="25">
        <f aca="true" t="shared" si="54" ref="H41:H44">F41*AO41</f>
        <v>0</v>
      </c>
      <c r="I41" s="25">
        <f aca="true" t="shared" si="55" ref="I41:I44">F41*AP41</f>
        <v>0</v>
      </c>
      <c r="J41" s="25">
        <f aca="true" t="shared" si="56" ref="J41:J44">F41*G41</f>
        <v>0</v>
      </c>
      <c r="K41" s="25">
        <v>8E-05</v>
      </c>
      <c r="L41" s="25">
        <f aca="true" t="shared" si="57" ref="L41:L44">F41*K41</f>
        <v>0.00016</v>
      </c>
      <c r="M41" s="48"/>
      <c r="Z41" s="25">
        <f aca="true" t="shared" si="58" ref="Z41:Z44">IF(AQ41="5",BJ41,0)</f>
        <v>0</v>
      </c>
      <c r="AB41" s="25">
        <f aca="true" t="shared" si="59" ref="AB41:AB44">IF(AQ41="1",BH41,0)</f>
        <v>0</v>
      </c>
      <c r="AC41" s="25">
        <f aca="true" t="shared" si="60" ref="AC41:AC44">IF(AQ41="1",BI41,0)</f>
        <v>0</v>
      </c>
      <c r="AD41" s="25">
        <f aca="true" t="shared" si="61" ref="AD41:AD44">IF(AQ41="7",BH41,0)</f>
        <v>0</v>
      </c>
      <c r="AE41" s="25">
        <f aca="true" t="shared" si="62" ref="AE41:AE44">IF(AQ41="7",BI41,0)</f>
        <v>0</v>
      </c>
      <c r="AF41" s="25">
        <f aca="true" t="shared" si="63" ref="AF41:AF44">IF(AQ41="2",BH41,0)</f>
        <v>0</v>
      </c>
      <c r="AG41" s="25">
        <f aca="true" t="shared" si="64" ref="AG41:AG44">IF(AQ41="2",BI41,0)</f>
        <v>0</v>
      </c>
      <c r="AH41" s="25">
        <f aca="true" t="shared" si="65" ref="AH41:AH44">IF(AQ41="0",BJ41,0)</f>
        <v>0</v>
      </c>
      <c r="AI41" s="28"/>
      <c r="AJ41" s="25">
        <f aca="true" t="shared" si="66" ref="AJ41:AJ44">IF(AN41=0,J41,0)</f>
        <v>0</v>
      </c>
      <c r="AK41" s="25">
        <f aca="true" t="shared" si="67" ref="AK41:AK44">IF(AN41=15,J41,0)</f>
        <v>0</v>
      </c>
      <c r="AL41" s="25">
        <f aca="true" t="shared" si="68" ref="AL41:AL44">IF(AN41=21,J41,0)</f>
        <v>0</v>
      </c>
      <c r="AN41" s="25">
        <v>15</v>
      </c>
      <c r="AO41" s="25">
        <f aca="true" t="shared" si="69" ref="AO41:AO42">G41*0.375</f>
        <v>0</v>
      </c>
      <c r="AP41" s="25">
        <f aca="true" t="shared" si="70" ref="AP41:AP42">G41*(1-0.375)</f>
        <v>0</v>
      </c>
      <c r="AQ41" s="48" t="s">
        <v>24</v>
      </c>
      <c r="AV41" s="25">
        <f aca="true" t="shared" si="71" ref="AV41:AV44">AW41+AX41</f>
        <v>0</v>
      </c>
      <c r="AW41" s="25">
        <f aca="true" t="shared" si="72" ref="AW41:AW44">F41*AO41</f>
        <v>0</v>
      </c>
      <c r="AX41" s="25">
        <f aca="true" t="shared" si="73" ref="AX41:AX44">F41*AP41</f>
        <v>0</v>
      </c>
      <c r="AY41" s="48" t="s">
        <v>235</v>
      </c>
      <c r="AZ41" s="48" t="s">
        <v>236</v>
      </c>
      <c r="BA41" s="28" t="s">
        <v>232</v>
      </c>
      <c r="BC41" s="25">
        <f aca="true" t="shared" si="74" ref="BC41:BC44">AW41+AX41</f>
        <v>0</v>
      </c>
      <c r="BD41" s="25">
        <f aca="true" t="shared" si="75" ref="BD41:BD44">G41/(100-BE41)*100</f>
        <v>0</v>
      </c>
      <c r="BE41" s="25">
        <v>0</v>
      </c>
      <c r="BF41" s="25">
        <f aca="true" t="shared" si="76" ref="BF41:BF44">L41</f>
        <v>0.00016</v>
      </c>
      <c r="BH41" s="25">
        <f aca="true" t="shared" si="77" ref="BH41:BH44">F41*AO41</f>
        <v>0</v>
      </c>
      <c r="BI41" s="25">
        <f aca="true" t="shared" si="78" ref="BI41:BI44">F41*AP41</f>
        <v>0</v>
      </c>
      <c r="BJ41" s="25">
        <f aca="true" t="shared" si="79" ref="BJ41:BJ44">F41*G41</f>
        <v>0</v>
      </c>
    </row>
    <row r="42" spans="1:62" ht="12.75">
      <c r="A42" s="12" t="s">
        <v>113</v>
      </c>
      <c r="B42" s="12"/>
      <c r="C42" s="12" t="s">
        <v>114</v>
      </c>
      <c r="D42" s="12" t="s">
        <v>115</v>
      </c>
      <c r="E42" s="12" t="s">
        <v>59</v>
      </c>
      <c r="F42" s="25">
        <f>'Rozpočet - vybrané sloupce'!AL41</f>
        <v>14</v>
      </c>
      <c r="G42" s="25">
        <f>'Rozpočet - vybrané sloupce'!AQ41</f>
        <v>0</v>
      </c>
      <c r="H42" s="25">
        <f t="shared" si="54"/>
        <v>0</v>
      </c>
      <c r="I42" s="25">
        <f t="shared" si="55"/>
        <v>0</v>
      </c>
      <c r="J42" s="25">
        <f t="shared" si="56"/>
        <v>0</v>
      </c>
      <c r="K42" s="25">
        <v>7E-05</v>
      </c>
      <c r="L42" s="25">
        <f t="shared" si="57"/>
        <v>0.00098</v>
      </c>
      <c r="M42" s="48"/>
      <c r="Z42" s="25">
        <f t="shared" si="58"/>
        <v>0</v>
      </c>
      <c r="AB42" s="25">
        <f t="shared" si="59"/>
        <v>0</v>
      </c>
      <c r="AC42" s="25">
        <f t="shared" si="60"/>
        <v>0</v>
      </c>
      <c r="AD42" s="25">
        <f t="shared" si="61"/>
        <v>0</v>
      </c>
      <c r="AE42" s="25">
        <f t="shared" si="62"/>
        <v>0</v>
      </c>
      <c r="AF42" s="25">
        <f t="shared" si="63"/>
        <v>0</v>
      </c>
      <c r="AG42" s="25">
        <f t="shared" si="64"/>
        <v>0</v>
      </c>
      <c r="AH42" s="25">
        <f t="shared" si="65"/>
        <v>0</v>
      </c>
      <c r="AI42" s="28"/>
      <c r="AJ42" s="25">
        <f t="shared" si="66"/>
        <v>0</v>
      </c>
      <c r="AK42" s="25">
        <f t="shared" si="67"/>
        <v>0</v>
      </c>
      <c r="AL42" s="25">
        <f t="shared" si="68"/>
        <v>0</v>
      </c>
      <c r="AN42" s="25">
        <v>15</v>
      </c>
      <c r="AO42" s="25">
        <f t="shared" si="69"/>
        <v>0</v>
      </c>
      <c r="AP42" s="25">
        <f t="shared" si="70"/>
        <v>0</v>
      </c>
      <c r="AQ42" s="48" t="s">
        <v>24</v>
      </c>
      <c r="AV42" s="25">
        <f t="shared" si="71"/>
        <v>0</v>
      </c>
      <c r="AW42" s="25">
        <f t="shared" si="72"/>
        <v>0</v>
      </c>
      <c r="AX42" s="25">
        <f t="shared" si="73"/>
        <v>0</v>
      </c>
      <c r="AY42" s="48" t="s">
        <v>235</v>
      </c>
      <c r="AZ42" s="48" t="s">
        <v>236</v>
      </c>
      <c r="BA42" s="28" t="s">
        <v>232</v>
      </c>
      <c r="BC42" s="25">
        <f t="shared" si="74"/>
        <v>0</v>
      </c>
      <c r="BD42" s="25">
        <f t="shared" si="75"/>
        <v>0</v>
      </c>
      <c r="BE42" s="25">
        <v>0</v>
      </c>
      <c r="BF42" s="25">
        <f t="shared" si="76"/>
        <v>0.00098</v>
      </c>
      <c r="BH42" s="25">
        <f t="shared" si="77"/>
        <v>0</v>
      </c>
      <c r="BI42" s="25">
        <f t="shared" si="78"/>
        <v>0</v>
      </c>
      <c r="BJ42" s="25">
        <f t="shared" si="79"/>
        <v>0</v>
      </c>
    </row>
    <row r="43" spans="1:62" ht="12.75">
      <c r="A43" s="12" t="s">
        <v>116</v>
      </c>
      <c r="B43" s="12"/>
      <c r="C43" s="12" t="s">
        <v>117</v>
      </c>
      <c r="D43" s="12" t="s">
        <v>118</v>
      </c>
      <c r="E43" s="12" t="s">
        <v>59</v>
      </c>
      <c r="F43" s="25">
        <f>'Rozpočet - vybrané sloupce'!AL42</f>
        <v>4</v>
      </c>
      <c r="G43" s="25">
        <f>'Rozpočet - vybrané sloupce'!AQ42</f>
        <v>0</v>
      </c>
      <c r="H43" s="25">
        <f t="shared" si="54"/>
        <v>0</v>
      </c>
      <c r="I43" s="25">
        <f t="shared" si="55"/>
        <v>0</v>
      </c>
      <c r="J43" s="25">
        <f t="shared" si="56"/>
        <v>0</v>
      </c>
      <c r="K43" s="25">
        <v>6E-05</v>
      </c>
      <c r="L43" s="25">
        <f t="shared" si="57"/>
        <v>0.00024</v>
      </c>
      <c r="M43" s="48"/>
      <c r="Z43" s="25">
        <f t="shared" si="58"/>
        <v>0</v>
      </c>
      <c r="AB43" s="25">
        <f t="shared" si="59"/>
        <v>0</v>
      </c>
      <c r="AC43" s="25">
        <f t="shared" si="60"/>
        <v>0</v>
      </c>
      <c r="AD43" s="25">
        <f t="shared" si="61"/>
        <v>0</v>
      </c>
      <c r="AE43" s="25">
        <f t="shared" si="62"/>
        <v>0</v>
      </c>
      <c r="AF43" s="25">
        <f t="shared" si="63"/>
        <v>0</v>
      </c>
      <c r="AG43" s="25">
        <f t="shared" si="64"/>
        <v>0</v>
      </c>
      <c r="AH43" s="25">
        <f t="shared" si="65"/>
        <v>0</v>
      </c>
      <c r="AI43" s="28"/>
      <c r="AJ43" s="25">
        <f t="shared" si="66"/>
        <v>0</v>
      </c>
      <c r="AK43" s="25">
        <f t="shared" si="67"/>
        <v>0</v>
      </c>
      <c r="AL43" s="25">
        <f t="shared" si="68"/>
        <v>0</v>
      </c>
      <c r="AN43" s="25">
        <v>15</v>
      </c>
      <c r="AO43" s="25">
        <f>G43*0.361434517361309</f>
        <v>0</v>
      </c>
      <c r="AP43" s="25">
        <f>G43*(1-0.361434517361309)</f>
        <v>0</v>
      </c>
      <c r="AQ43" s="48" t="s">
        <v>24</v>
      </c>
      <c r="AV43" s="25">
        <f t="shared" si="71"/>
        <v>0</v>
      </c>
      <c r="AW43" s="25">
        <f t="shared" si="72"/>
        <v>0</v>
      </c>
      <c r="AX43" s="25">
        <f t="shared" si="73"/>
        <v>0</v>
      </c>
      <c r="AY43" s="48" t="s">
        <v>235</v>
      </c>
      <c r="AZ43" s="48" t="s">
        <v>236</v>
      </c>
      <c r="BA43" s="28" t="s">
        <v>232</v>
      </c>
      <c r="BC43" s="25">
        <f t="shared" si="74"/>
        <v>0</v>
      </c>
      <c r="BD43" s="25">
        <f t="shared" si="75"/>
        <v>0</v>
      </c>
      <c r="BE43" s="25">
        <v>0</v>
      </c>
      <c r="BF43" s="25">
        <f t="shared" si="76"/>
        <v>0.00024</v>
      </c>
      <c r="BH43" s="25">
        <f t="shared" si="77"/>
        <v>0</v>
      </c>
      <c r="BI43" s="25">
        <f t="shared" si="78"/>
        <v>0</v>
      </c>
      <c r="BJ43" s="25">
        <f t="shared" si="79"/>
        <v>0</v>
      </c>
    </row>
    <row r="44" spans="1:62" ht="12.75">
      <c r="A44" s="12" t="s">
        <v>119</v>
      </c>
      <c r="B44" s="12"/>
      <c r="C44" s="12" t="s">
        <v>120</v>
      </c>
      <c r="D44" s="12" t="s">
        <v>121</v>
      </c>
      <c r="E44" s="12" t="s">
        <v>59</v>
      </c>
      <c r="F44" s="25">
        <f>'Rozpočet - vybrané sloupce'!AL43</f>
        <v>2</v>
      </c>
      <c r="G44" s="25">
        <f>'Rozpočet - vybrané sloupce'!AQ43</f>
        <v>0</v>
      </c>
      <c r="H44" s="25">
        <f t="shared" si="54"/>
        <v>0</v>
      </c>
      <c r="I44" s="25">
        <f t="shared" si="55"/>
        <v>0</v>
      </c>
      <c r="J44" s="25">
        <f t="shared" si="56"/>
        <v>0</v>
      </c>
      <c r="K44" s="25">
        <v>5E-05</v>
      </c>
      <c r="L44" s="25">
        <f t="shared" si="57"/>
        <v>0.0001</v>
      </c>
      <c r="M44" s="48"/>
      <c r="Z44" s="25">
        <f t="shared" si="58"/>
        <v>0</v>
      </c>
      <c r="AB44" s="25">
        <f t="shared" si="59"/>
        <v>0</v>
      </c>
      <c r="AC44" s="25">
        <f t="shared" si="60"/>
        <v>0</v>
      </c>
      <c r="AD44" s="25">
        <f t="shared" si="61"/>
        <v>0</v>
      </c>
      <c r="AE44" s="25">
        <f t="shared" si="62"/>
        <v>0</v>
      </c>
      <c r="AF44" s="25">
        <f t="shared" si="63"/>
        <v>0</v>
      </c>
      <c r="AG44" s="25">
        <f t="shared" si="64"/>
        <v>0</v>
      </c>
      <c r="AH44" s="25">
        <f t="shared" si="65"/>
        <v>0</v>
      </c>
      <c r="AI44" s="28"/>
      <c r="AJ44" s="25">
        <f t="shared" si="66"/>
        <v>0</v>
      </c>
      <c r="AK44" s="25">
        <f t="shared" si="67"/>
        <v>0</v>
      </c>
      <c r="AL44" s="25">
        <f t="shared" si="68"/>
        <v>0</v>
      </c>
      <c r="AN44" s="25">
        <v>15</v>
      </c>
      <c r="AO44" s="25">
        <f>G44*0.338632337309555</f>
        <v>0</v>
      </c>
      <c r="AP44" s="25">
        <f>G44*(1-0.338632337309555)</f>
        <v>0</v>
      </c>
      <c r="AQ44" s="48" t="s">
        <v>24</v>
      </c>
      <c r="AV44" s="25">
        <f t="shared" si="71"/>
        <v>0</v>
      </c>
      <c r="AW44" s="25">
        <f t="shared" si="72"/>
        <v>0</v>
      </c>
      <c r="AX44" s="25">
        <f t="shared" si="73"/>
        <v>0</v>
      </c>
      <c r="AY44" s="48" t="s">
        <v>235</v>
      </c>
      <c r="AZ44" s="48" t="s">
        <v>236</v>
      </c>
      <c r="BA44" s="28" t="s">
        <v>232</v>
      </c>
      <c r="BC44" s="25">
        <f t="shared" si="74"/>
        <v>0</v>
      </c>
      <c r="BD44" s="25">
        <f t="shared" si="75"/>
        <v>0</v>
      </c>
      <c r="BE44" s="25">
        <v>0</v>
      </c>
      <c r="BF44" s="25">
        <f t="shared" si="76"/>
        <v>0.0001</v>
      </c>
      <c r="BH44" s="25">
        <f t="shared" si="77"/>
        <v>0</v>
      </c>
      <c r="BI44" s="25">
        <f t="shared" si="78"/>
        <v>0</v>
      </c>
      <c r="BJ44" s="25">
        <f t="shared" si="79"/>
        <v>0</v>
      </c>
    </row>
    <row r="45" spans="1:47" ht="12.75">
      <c r="A45" s="97"/>
      <c r="B45" s="27"/>
      <c r="C45" s="27" t="s">
        <v>122</v>
      </c>
      <c r="D45" s="27" t="s">
        <v>123</v>
      </c>
      <c r="E45" s="97" t="s">
        <v>21</v>
      </c>
      <c r="F45" s="97" t="s">
        <v>21</v>
      </c>
      <c r="G45" s="97" t="s">
        <v>21</v>
      </c>
      <c r="H45" s="29">
        <f>SUM(H46:H47)</f>
        <v>0</v>
      </c>
      <c r="I45" s="29">
        <f>SUM(I46:I47)</f>
        <v>0</v>
      </c>
      <c r="J45" s="29">
        <f>SUM(J46:J47)</f>
        <v>0</v>
      </c>
      <c r="K45" s="28"/>
      <c r="L45" s="29">
        <f>SUM(L46:L47)</f>
        <v>0.00168</v>
      </c>
      <c r="M45" s="28"/>
      <c r="AI45" s="28"/>
      <c r="AS45" s="29">
        <f>SUM(AJ46:AJ47)</f>
        <v>0</v>
      </c>
      <c r="AT45" s="29">
        <f>SUM(AK46:AK47)</f>
        <v>0</v>
      </c>
      <c r="AU45" s="29">
        <f>SUM(AL46:AL47)</f>
        <v>0</v>
      </c>
    </row>
    <row r="46" spans="1:62" ht="12.75">
      <c r="A46" s="12" t="s">
        <v>124</v>
      </c>
      <c r="B46" s="12"/>
      <c r="C46" s="12" t="s">
        <v>125</v>
      </c>
      <c r="D46" s="12" t="s">
        <v>126</v>
      </c>
      <c r="E46" s="12" t="s">
        <v>127</v>
      </c>
      <c r="F46" s="25">
        <f>'Rozpočet - vybrané sloupce'!AL45</f>
        <v>42</v>
      </c>
      <c r="G46" s="25">
        <f>'Rozpočet - vybrané sloupce'!AQ45</f>
        <v>0</v>
      </c>
      <c r="H46" s="25">
        <f aca="true" t="shared" si="80" ref="H46:H47">F46*AO46</f>
        <v>0</v>
      </c>
      <c r="I46" s="25">
        <f aca="true" t="shared" si="81" ref="I46:I47">F46*AP46</f>
        <v>0</v>
      </c>
      <c r="J46" s="25">
        <f aca="true" t="shared" si="82" ref="J46:J47">F46*G46</f>
        <v>0</v>
      </c>
      <c r="K46" s="25">
        <v>4E-05</v>
      </c>
      <c r="L46" s="25">
        <f aca="true" t="shared" si="83" ref="L46:L47">F46*K46</f>
        <v>0.00168</v>
      </c>
      <c r="M46" s="48" t="s">
        <v>154</v>
      </c>
      <c r="Z46" s="25">
        <f aca="true" t="shared" si="84" ref="Z46:Z47">IF(AQ46="5",BJ46,0)</f>
        <v>0</v>
      </c>
      <c r="AB46" s="25">
        <f aca="true" t="shared" si="85" ref="AB46:AB47">IF(AQ46="1",BH46,0)</f>
        <v>0</v>
      </c>
      <c r="AC46" s="25">
        <f aca="true" t="shared" si="86" ref="AC46:AC47">IF(AQ46="1",BI46,0)</f>
        <v>0</v>
      </c>
      <c r="AD46" s="25">
        <f aca="true" t="shared" si="87" ref="AD46:AD47">IF(AQ46="7",BH46,0)</f>
        <v>0</v>
      </c>
      <c r="AE46" s="25">
        <f aca="true" t="shared" si="88" ref="AE46:AE47">IF(AQ46="7",BI46,0)</f>
        <v>0</v>
      </c>
      <c r="AF46" s="25">
        <f aca="true" t="shared" si="89" ref="AF46:AF47">IF(AQ46="2",BH46,0)</f>
        <v>0</v>
      </c>
      <c r="AG46" s="25">
        <f aca="true" t="shared" si="90" ref="AG46:AG47">IF(AQ46="2",BI46,0)</f>
        <v>0</v>
      </c>
      <c r="AH46" s="25">
        <f aca="true" t="shared" si="91" ref="AH46:AH47">IF(AQ46="0",BJ46,0)</f>
        <v>0</v>
      </c>
      <c r="AI46" s="28"/>
      <c r="AJ46" s="25">
        <f aca="true" t="shared" si="92" ref="AJ46:AJ47">IF(AN46=0,J46,0)</f>
        <v>0</v>
      </c>
      <c r="AK46" s="25">
        <f aca="true" t="shared" si="93" ref="AK46:AK47">IF(AN46=15,J46,0)</f>
        <v>0</v>
      </c>
      <c r="AL46" s="25">
        <f aca="true" t="shared" si="94" ref="AL46:AL47">IF(AN46=21,J46,0)</f>
        <v>0</v>
      </c>
      <c r="AN46" s="25">
        <v>15</v>
      </c>
      <c r="AO46" s="25">
        <f>G46*0.320172413793103</f>
        <v>0</v>
      </c>
      <c r="AP46" s="25">
        <f>G46*(1-0.320172413793103)</f>
        <v>0</v>
      </c>
      <c r="AQ46" s="48" t="s">
        <v>24</v>
      </c>
      <c r="AV46" s="25">
        <f aca="true" t="shared" si="95" ref="AV46:AV47">AW46+AX46</f>
        <v>0</v>
      </c>
      <c r="AW46" s="25">
        <f aca="true" t="shared" si="96" ref="AW46:AW47">F46*AO46</f>
        <v>0</v>
      </c>
      <c r="AX46" s="25">
        <f aca="true" t="shared" si="97" ref="AX46:AX47">F46*AP46</f>
        <v>0</v>
      </c>
      <c r="AY46" s="48" t="s">
        <v>237</v>
      </c>
      <c r="AZ46" s="48" t="s">
        <v>238</v>
      </c>
      <c r="BA46" s="28" t="s">
        <v>232</v>
      </c>
      <c r="BC46" s="25">
        <f aca="true" t="shared" si="98" ref="BC46:BC47">AW46+AX46</f>
        <v>0</v>
      </c>
      <c r="BD46" s="25">
        <f aca="true" t="shared" si="99" ref="BD46:BD47">G46/(100-BE46)*100</f>
        <v>0</v>
      </c>
      <c r="BE46" s="25">
        <v>0</v>
      </c>
      <c r="BF46" s="25">
        <f aca="true" t="shared" si="100" ref="BF46:BF47">L46</f>
        <v>0.00168</v>
      </c>
      <c r="BH46" s="25">
        <f aca="true" t="shared" si="101" ref="BH46:BH47">F46*AO46</f>
        <v>0</v>
      </c>
      <c r="BI46" s="25">
        <f aca="true" t="shared" si="102" ref="BI46:BI47">F46*AP46</f>
        <v>0</v>
      </c>
      <c r="BJ46" s="25">
        <f aca="true" t="shared" si="103" ref="BJ46:BJ47">F46*G46</f>
        <v>0</v>
      </c>
    </row>
    <row r="47" spans="1:62" ht="12.75">
      <c r="A47" s="12" t="s">
        <v>128</v>
      </c>
      <c r="B47" s="12"/>
      <c r="C47" s="12" t="s">
        <v>129</v>
      </c>
      <c r="D47" s="12" t="s">
        <v>130</v>
      </c>
      <c r="E47" s="12" t="s">
        <v>127</v>
      </c>
      <c r="F47" s="25">
        <f>'Rozpočet - vybrané sloupce'!AL46</f>
        <v>42</v>
      </c>
      <c r="G47" s="25">
        <f>'Rozpočet - vybrané sloupce'!AQ46</f>
        <v>0</v>
      </c>
      <c r="H47" s="25">
        <f t="shared" si="80"/>
        <v>0</v>
      </c>
      <c r="I47" s="25">
        <f t="shared" si="81"/>
        <v>0</v>
      </c>
      <c r="J47" s="25">
        <f t="shared" si="82"/>
        <v>0</v>
      </c>
      <c r="K47" s="25">
        <v>0</v>
      </c>
      <c r="L47" s="25">
        <f t="shared" si="83"/>
        <v>0</v>
      </c>
      <c r="M47" s="48" t="s">
        <v>154</v>
      </c>
      <c r="Z47" s="25">
        <f t="shared" si="84"/>
        <v>0</v>
      </c>
      <c r="AB47" s="25">
        <f t="shared" si="85"/>
        <v>0</v>
      </c>
      <c r="AC47" s="25">
        <f t="shared" si="86"/>
        <v>0</v>
      </c>
      <c r="AD47" s="25">
        <f t="shared" si="87"/>
        <v>0</v>
      </c>
      <c r="AE47" s="25">
        <f t="shared" si="88"/>
        <v>0</v>
      </c>
      <c r="AF47" s="25">
        <f t="shared" si="89"/>
        <v>0</v>
      </c>
      <c r="AG47" s="25">
        <f t="shared" si="90"/>
        <v>0</v>
      </c>
      <c r="AH47" s="25">
        <f t="shared" si="91"/>
        <v>0</v>
      </c>
      <c r="AI47" s="28"/>
      <c r="AJ47" s="25">
        <f t="shared" si="92"/>
        <v>0</v>
      </c>
      <c r="AK47" s="25">
        <f t="shared" si="93"/>
        <v>0</v>
      </c>
      <c r="AL47" s="25">
        <f t="shared" si="94"/>
        <v>0</v>
      </c>
      <c r="AN47" s="25">
        <v>15</v>
      </c>
      <c r="AO47" s="25">
        <f>G47*0</f>
        <v>0</v>
      </c>
      <c r="AP47" s="25">
        <f>G47*(1-0)</f>
        <v>0</v>
      </c>
      <c r="AQ47" s="48" t="s">
        <v>24</v>
      </c>
      <c r="AV47" s="25">
        <f t="shared" si="95"/>
        <v>0</v>
      </c>
      <c r="AW47" s="25">
        <f t="shared" si="96"/>
        <v>0</v>
      </c>
      <c r="AX47" s="25">
        <f t="shared" si="97"/>
        <v>0</v>
      </c>
      <c r="AY47" s="48" t="s">
        <v>237</v>
      </c>
      <c r="AZ47" s="48" t="s">
        <v>238</v>
      </c>
      <c r="BA47" s="28" t="s">
        <v>232</v>
      </c>
      <c r="BC47" s="25">
        <f t="shared" si="98"/>
        <v>0</v>
      </c>
      <c r="BD47" s="25">
        <f t="shared" si="99"/>
        <v>0</v>
      </c>
      <c r="BE47" s="25">
        <v>0</v>
      </c>
      <c r="BF47" s="25">
        <f t="shared" si="100"/>
        <v>0</v>
      </c>
      <c r="BH47" s="25">
        <f t="shared" si="101"/>
        <v>0</v>
      </c>
      <c r="BI47" s="25">
        <f t="shared" si="102"/>
        <v>0</v>
      </c>
      <c r="BJ47" s="25">
        <f t="shared" si="103"/>
        <v>0</v>
      </c>
    </row>
    <row r="48" spans="1:47" ht="12.75">
      <c r="A48" s="97"/>
      <c r="B48" s="27"/>
      <c r="C48" s="27" t="s">
        <v>131</v>
      </c>
      <c r="D48" s="27" t="s">
        <v>132</v>
      </c>
      <c r="E48" s="97" t="s">
        <v>21</v>
      </c>
      <c r="F48" s="97" t="s">
        <v>21</v>
      </c>
      <c r="G48" s="97" t="s">
        <v>21</v>
      </c>
      <c r="H48" s="29">
        <f>SUM(H49:H49)</f>
        <v>0</v>
      </c>
      <c r="I48" s="29">
        <f>SUM(I49:I49)</f>
        <v>0</v>
      </c>
      <c r="J48" s="29">
        <f>SUM(J49:J49)</f>
        <v>0</v>
      </c>
      <c r="K48" s="28"/>
      <c r="L48" s="29">
        <f>SUM(L49:L49)</f>
        <v>0</v>
      </c>
      <c r="M48" s="28"/>
      <c r="AI48" s="28"/>
      <c r="AS48" s="29">
        <f>SUM(AJ49:AJ49)</f>
        <v>0</v>
      </c>
      <c r="AT48" s="29">
        <f>SUM(AK49:AK49)</f>
        <v>0</v>
      </c>
      <c r="AU48" s="29">
        <f>SUM(AL49:AL49)</f>
        <v>0</v>
      </c>
    </row>
    <row r="49" spans="1:62" ht="12.75">
      <c r="A49" s="12" t="s">
        <v>133</v>
      </c>
      <c r="B49" s="12"/>
      <c r="C49" s="12" t="s">
        <v>134</v>
      </c>
      <c r="D49" s="12" t="s">
        <v>135</v>
      </c>
      <c r="E49" s="12" t="s">
        <v>136</v>
      </c>
      <c r="F49" s="25">
        <f>'Rozpočet - vybrané sloupce'!AL48</f>
        <v>3</v>
      </c>
      <c r="G49" s="25">
        <f>'Rozpočet - vybrané sloupce'!AQ48</f>
        <v>0</v>
      </c>
      <c r="H49" s="25">
        <f>F49*AO49</f>
        <v>0</v>
      </c>
      <c r="I49" s="25">
        <f>F49*AP49</f>
        <v>0</v>
      </c>
      <c r="J49" s="25">
        <f>F49*G49</f>
        <v>0</v>
      </c>
      <c r="K49" s="25">
        <v>0</v>
      </c>
      <c r="L49" s="25">
        <f>F49*K49</f>
        <v>0</v>
      </c>
      <c r="M49" s="48"/>
      <c r="Z49" s="25">
        <f>IF(AQ49="5",BJ49,0)</f>
        <v>0</v>
      </c>
      <c r="AB49" s="25">
        <f>IF(AQ49="1",BH49,0)</f>
        <v>0</v>
      </c>
      <c r="AC49" s="25">
        <f>IF(AQ49="1",BI49,0)</f>
        <v>0</v>
      </c>
      <c r="AD49" s="25">
        <f>IF(AQ49="7",BH49,0)</f>
        <v>0</v>
      </c>
      <c r="AE49" s="25">
        <f>IF(AQ49="7",BI49,0)</f>
        <v>0</v>
      </c>
      <c r="AF49" s="25">
        <f>IF(AQ49="2",BH49,0)</f>
        <v>0</v>
      </c>
      <c r="AG49" s="25">
        <f>IF(AQ49="2",BI49,0)</f>
        <v>0</v>
      </c>
      <c r="AH49" s="25">
        <f>IF(AQ49="0",BJ49,0)</f>
        <v>0</v>
      </c>
      <c r="AI49" s="28"/>
      <c r="AJ49" s="25">
        <f>IF(AN49=0,J49,0)</f>
        <v>0</v>
      </c>
      <c r="AK49" s="25">
        <f>IF(AN49=15,J49,0)</f>
        <v>0</v>
      </c>
      <c r="AL49" s="25">
        <f>IF(AN49=21,J49,0)</f>
        <v>0</v>
      </c>
      <c r="AN49" s="25">
        <v>15</v>
      </c>
      <c r="AO49" s="25">
        <f>G49*0.33403743315508</f>
        <v>0</v>
      </c>
      <c r="AP49" s="25">
        <f>G49*(1-0.33403743315508)</f>
        <v>0</v>
      </c>
      <c r="AQ49" s="48" t="s">
        <v>38</v>
      </c>
      <c r="AV49" s="25">
        <f>AW49+AX49</f>
        <v>0</v>
      </c>
      <c r="AW49" s="25">
        <f>F49*AO49</f>
        <v>0</v>
      </c>
      <c r="AX49" s="25">
        <f>F49*AP49</f>
        <v>0</v>
      </c>
      <c r="AY49" s="48" t="s">
        <v>239</v>
      </c>
      <c r="AZ49" s="48" t="s">
        <v>240</v>
      </c>
      <c r="BA49" s="28" t="s">
        <v>232</v>
      </c>
      <c r="BC49" s="25">
        <f>AW49+AX49</f>
        <v>0</v>
      </c>
      <c r="BD49" s="25">
        <f>G49/(100-BE49)*100</f>
        <v>0</v>
      </c>
      <c r="BE49" s="25">
        <v>0</v>
      </c>
      <c r="BF49" s="25">
        <f>L49</f>
        <v>0</v>
      </c>
      <c r="BH49" s="25">
        <f>F49*AO49</f>
        <v>0</v>
      </c>
      <c r="BI49" s="25">
        <f>F49*AP49</f>
        <v>0</v>
      </c>
      <c r="BJ49" s="25">
        <f>F49*G49</f>
        <v>0</v>
      </c>
    </row>
    <row r="50" spans="1:47" ht="12.75">
      <c r="A50" s="97"/>
      <c r="B50" s="27"/>
      <c r="C50" s="27" t="s">
        <v>137</v>
      </c>
      <c r="D50" s="27" t="s">
        <v>138</v>
      </c>
      <c r="E50" s="97" t="s">
        <v>21</v>
      </c>
      <c r="F50" s="97" t="s">
        <v>21</v>
      </c>
      <c r="G50" s="97" t="s">
        <v>21</v>
      </c>
      <c r="H50" s="29">
        <f>SUM(H51:H51)</f>
        <v>0</v>
      </c>
      <c r="I50" s="29">
        <f>SUM(I51:I51)</f>
        <v>0</v>
      </c>
      <c r="J50" s="29">
        <f>SUM(J51:J51)</f>
        <v>0</v>
      </c>
      <c r="K50" s="28"/>
      <c r="L50" s="29">
        <f>SUM(L51:L51)</f>
        <v>0</v>
      </c>
      <c r="M50" s="28"/>
      <c r="AI50" s="28"/>
      <c r="AS50" s="29">
        <f>SUM(AJ51:AJ51)</f>
        <v>0</v>
      </c>
      <c r="AT50" s="29">
        <f>SUM(AK51:AK51)</f>
        <v>0</v>
      </c>
      <c r="AU50" s="29">
        <f>SUM(AL51:AL51)</f>
        <v>0</v>
      </c>
    </row>
    <row r="51" spans="1:62" ht="12.75">
      <c r="A51" s="17" t="s">
        <v>139</v>
      </c>
      <c r="B51" s="17"/>
      <c r="C51" s="17" t="s">
        <v>140</v>
      </c>
      <c r="D51" s="17" t="s">
        <v>141</v>
      </c>
      <c r="E51" s="17" t="s">
        <v>136</v>
      </c>
      <c r="F51" s="98">
        <f>'Rozpočet - vybrané sloupce'!AL50</f>
        <v>1</v>
      </c>
      <c r="G51" s="98">
        <f>'Rozpočet - vybrané sloupce'!AQ50</f>
        <v>0</v>
      </c>
      <c r="H51" s="98">
        <f>F51*AO51</f>
        <v>0</v>
      </c>
      <c r="I51" s="98">
        <f>F51*AP51</f>
        <v>0</v>
      </c>
      <c r="J51" s="98">
        <f>F51*G51</f>
        <v>0</v>
      </c>
      <c r="K51" s="98">
        <v>0</v>
      </c>
      <c r="L51" s="98">
        <f>F51*K51</f>
        <v>0</v>
      </c>
      <c r="M51" s="99" t="s">
        <v>241</v>
      </c>
      <c r="Z51" s="25">
        <f>IF(AQ51="5",BJ51,0)</f>
        <v>0</v>
      </c>
      <c r="AB51" s="25">
        <f>IF(AQ51="1",BH51,0)</f>
        <v>0</v>
      </c>
      <c r="AC51" s="25">
        <f>IF(AQ51="1",BI51,0)</f>
        <v>0</v>
      </c>
      <c r="AD51" s="25">
        <f>IF(AQ51="7",BH51,0)</f>
        <v>0</v>
      </c>
      <c r="AE51" s="25">
        <f>IF(AQ51="7",BI51,0)</f>
        <v>0</v>
      </c>
      <c r="AF51" s="25">
        <f>IF(AQ51="2",BH51,0)</f>
        <v>0</v>
      </c>
      <c r="AG51" s="25">
        <f>IF(AQ51="2",BI51,0)</f>
        <v>0</v>
      </c>
      <c r="AH51" s="25">
        <f>IF(AQ51="0",BJ51,0)</f>
        <v>0</v>
      </c>
      <c r="AI51" s="28"/>
      <c r="AJ51" s="25">
        <f>IF(AN51=0,J51,0)</f>
        <v>0</v>
      </c>
      <c r="AK51" s="25">
        <f>IF(AN51=15,J51,0)</f>
        <v>0</v>
      </c>
      <c r="AL51" s="25">
        <f>IF(AN51=21,J51,0)</f>
        <v>0</v>
      </c>
      <c r="AN51" s="25">
        <v>15</v>
      </c>
      <c r="AO51" s="25">
        <f>G51*0</f>
        <v>0</v>
      </c>
      <c r="AP51" s="25">
        <f>G51*(1-0)</f>
        <v>0</v>
      </c>
      <c r="AQ51" s="48" t="s">
        <v>38</v>
      </c>
      <c r="AV51" s="25">
        <f>AW51+AX51</f>
        <v>0</v>
      </c>
      <c r="AW51" s="25">
        <f>F51*AO51</f>
        <v>0</v>
      </c>
      <c r="AX51" s="25">
        <f>F51*AP51</f>
        <v>0</v>
      </c>
      <c r="AY51" s="48" t="s">
        <v>242</v>
      </c>
      <c r="AZ51" s="48" t="s">
        <v>240</v>
      </c>
      <c r="BA51" s="28" t="s">
        <v>232</v>
      </c>
      <c r="BC51" s="25">
        <f>AW51+AX51</f>
        <v>0</v>
      </c>
      <c r="BD51" s="25">
        <f>G51/(100-BE51)*100</f>
        <v>0</v>
      </c>
      <c r="BE51" s="25">
        <v>0</v>
      </c>
      <c r="BF51" s="25">
        <f>L51</f>
        <v>0</v>
      </c>
      <c r="BH51" s="25">
        <f>F51*AO51</f>
        <v>0</v>
      </c>
      <c r="BI51" s="25">
        <f>F51*AP51</f>
        <v>0</v>
      </c>
      <c r="BJ51" s="25">
        <f>F51*G51</f>
        <v>0</v>
      </c>
    </row>
    <row r="52" spans="1:13" ht="12.75">
      <c r="A52" s="64"/>
      <c r="B52" s="64"/>
      <c r="C52" s="64"/>
      <c r="D52" s="64"/>
      <c r="E52" s="64"/>
      <c r="F52" s="64"/>
      <c r="G52" s="64"/>
      <c r="H52" s="100" t="s">
        <v>150</v>
      </c>
      <c r="I52" s="100"/>
      <c r="J52" s="101">
        <f>J12+J35+J40+J45+J48+J50</f>
        <v>0</v>
      </c>
      <c r="K52" s="64"/>
      <c r="L52" s="64"/>
      <c r="M52" s="64"/>
    </row>
    <row r="53" ht="11.25" customHeight="1">
      <c r="A53" s="49" t="s">
        <v>155</v>
      </c>
    </row>
    <row r="54" spans="1:13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</sheetData>
  <sheetProtection selectLockedCells="1" selectUnlockedCells="1"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A8:C9"/>
    <mergeCell ref="D8:D9"/>
    <mergeCell ref="E8:F9"/>
    <mergeCell ref="G8:G9"/>
    <mergeCell ref="H8:H9"/>
    <mergeCell ref="I8:M9"/>
    <mergeCell ref="H10:J10"/>
    <mergeCell ref="K10:L10"/>
    <mergeCell ref="H52:I52"/>
    <mergeCell ref="A54:M5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Kalfas s.r.o.</dc:creator>
  <cp:keywords/>
  <dc:description/>
  <cp:lastModifiedBy>Tomáš Rumpík</cp:lastModifiedBy>
  <dcterms:created xsi:type="dcterms:W3CDTF">2018-11-08T10:08:40Z</dcterms:created>
  <dcterms:modified xsi:type="dcterms:W3CDTF">2019-09-06T20:07:36Z</dcterms:modified>
  <cp:category/>
  <cp:version/>
  <cp:contentType/>
  <cp:contentStatus/>
  <cp:revision>3</cp:revision>
</cp:coreProperties>
</file>