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 NTj\0_2022\02 n z\"/>
    </mc:Choice>
  </mc:AlternateContent>
  <xr:revisionPtr revIDLastSave="0" documentId="13_ncr:40001_{3E5C5937-9275-495D-82B3-4130470F3A5F}" xr6:coauthVersionLast="47" xr6:coauthVersionMax="47" xr10:uidLastSave="{00000000-0000-0000-0000-000000000000}"/>
  <bookViews>
    <workbookView xWindow="540" yWindow="150" windowWidth="7500" windowHeight="9980"/>
  </bookViews>
  <sheets>
    <sheet name="Hárok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5" i="1"/>
  <c r="B119" i="1"/>
  <c r="E116" i="1"/>
  <c r="E114" i="1"/>
  <c r="E113" i="1"/>
  <c r="E112" i="1"/>
  <c r="G109" i="1"/>
  <c r="B108" i="1"/>
  <c r="E107" i="1"/>
  <c r="G107" i="1" s="1"/>
  <c r="E105" i="1"/>
  <c r="G105" i="1" s="1"/>
  <c r="E100" i="1"/>
  <c r="E99" i="1"/>
  <c r="E98" i="1"/>
  <c r="E97" i="1"/>
  <c r="E96" i="1"/>
  <c r="E93" i="1"/>
  <c r="E89" i="1"/>
  <c r="E108" i="1" s="1"/>
  <c r="G108" i="1" s="1"/>
  <c r="E88" i="1"/>
  <c r="E86" i="1"/>
  <c r="E85" i="1"/>
  <c r="E84" i="1"/>
  <c r="E82" i="1"/>
  <c r="G79" i="1"/>
  <c r="E78" i="1"/>
  <c r="E72" i="1"/>
  <c r="G72" i="1" s="1"/>
  <c r="E68" i="1"/>
  <c r="E64" i="1"/>
  <c r="E59" i="1"/>
  <c r="E58" i="1"/>
  <c r="E57" i="1"/>
  <c r="E54" i="1"/>
  <c r="C54" i="1"/>
  <c r="E51" i="1"/>
  <c r="E47" i="1"/>
  <c r="E46" i="1"/>
  <c r="E45" i="1"/>
  <c r="E42" i="1"/>
  <c r="E41" i="1"/>
  <c r="E40" i="1"/>
  <c r="E33" i="1"/>
  <c r="E29" i="1"/>
  <c r="E28" i="1"/>
  <c r="E27" i="1"/>
  <c r="E26" i="1"/>
  <c r="E19" i="1"/>
  <c r="E13" i="1"/>
  <c r="G13" i="1" s="1"/>
  <c r="G11" i="1"/>
  <c r="E48" i="1" l="1"/>
  <c r="E21" i="1"/>
  <c r="E22" i="1" s="1"/>
  <c r="E106" i="1"/>
  <c r="G106" i="1" s="1"/>
  <c r="E30" i="1"/>
  <c r="E91" i="1"/>
  <c r="E109" i="1"/>
  <c r="E104" i="1"/>
  <c r="G104" i="1" s="1"/>
  <c r="E76" i="1"/>
  <c r="E43" i="1"/>
  <c r="E49" i="1" s="1"/>
  <c r="E50" i="1" s="1"/>
  <c r="E77" i="1"/>
  <c r="E65" i="1"/>
  <c r="E60" i="1"/>
  <c r="E66" i="1" s="1"/>
  <c r="E67" i="1" s="1"/>
  <c r="E75" i="1"/>
  <c r="E101" i="1"/>
  <c r="E94" i="1"/>
  <c r="E31" i="1" l="1"/>
  <c r="E103" i="1"/>
  <c r="E55" i="1"/>
  <c r="E36" i="1"/>
  <c r="E73" i="1"/>
  <c r="G73" i="1" s="1"/>
  <c r="E102" i="1"/>
  <c r="E32" i="1" l="1"/>
  <c r="B33" i="1" s="1"/>
  <c r="C33" i="1" s="1"/>
  <c r="E17" i="1"/>
  <c r="G17" i="1" s="1"/>
  <c r="E80" i="1"/>
  <c r="E115" i="1"/>
  <c r="G55" i="1"/>
  <c r="G36" i="1"/>
  <c r="B51" i="1"/>
  <c r="C51" i="1" s="1"/>
  <c r="G50" i="1"/>
  <c r="B68" i="1"/>
  <c r="C68" i="1" s="1"/>
  <c r="G67" i="1"/>
  <c r="G5" i="1" l="1"/>
  <c r="E12" i="1" s="1"/>
  <c r="G12" i="1" s="1"/>
  <c r="G10" i="1" s="1"/>
  <c r="G9" i="1" s="1"/>
  <c r="G32" i="1"/>
  <c r="C119" i="1"/>
  <c r="G80" i="1"/>
  <c r="G16" i="1" l="1"/>
  <c r="E118" i="1"/>
  <c r="G118" i="1" s="1"/>
  <c r="E117" i="1"/>
  <c r="G117" i="1" s="1"/>
  <c r="G111" i="1"/>
  <c r="G110" i="1" l="1"/>
</calcChain>
</file>

<file path=xl/sharedStrings.xml><?xml version="1.0" encoding="utf-8"?>
<sst xmlns="http://schemas.openxmlformats.org/spreadsheetml/2006/main" count="173" uniqueCount="132">
  <si>
    <t>ROZPOČET S VÝKAZOM  VÝMER</t>
  </si>
  <si>
    <t>m2/€</t>
  </si>
  <si>
    <t xml:space="preserve">Objednávateľ:   </t>
  </si>
  <si>
    <t>Aquario</t>
  </si>
  <si>
    <t>spolu €</t>
  </si>
  <si>
    <t xml:space="preserve">Zhotoviteľ:   </t>
  </si>
  <si>
    <t>NTj s.r.o</t>
  </si>
  <si>
    <t>spolu m2</t>
  </si>
  <si>
    <t xml:space="preserve">Miesto:  </t>
  </si>
  <si>
    <t>Aqua shoping, Nitrianska 111/A, Nové Zámky</t>
  </si>
  <si>
    <t>Č.</t>
  </si>
  <si>
    <t>Kód položky</t>
  </si>
  <si>
    <t>Popis</t>
  </si>
  <si>
    <t>MJ</t>
  </si>
  <si>
    <t>Množstvo celkom</t>
  </si>
  <si>
    <t>Cena jednotková</t>
  </si>
  <si>
    <t>Cena celkom</t>
  </si>
  <si>
    <t>03</t>
  </si>
  <si>
    <t xml:space="preserve">Lešenárske práce   </t>
  </si>
  <si>
    <t>0301</t>
  </si>
  <si>
    <t>Lešenia, plošiny, prac podstavce, práce vo výške BOZtP</t>
  </si>
  <si>
    <t>03010101010010rh</t>
  </si>
  <si>
    <t xml:space="preserve">Pojazdné Elektrické pracovné plošiny s podlahami šírky od 0, 80 do 1,00 m a výšky do 4m do 1,5t   </t>
  </si>
  <si>
    <t>D</t>
  </si>
  <si>
    <t>952903022rh</t>
  </si>
  <si>
    <t>Praca na Pojazdnej prac ploš Libherr/ praca vo výske BOZtP</t>
  </si>
  <si>
    <t>m2</t>
  </si>
  <si>
    <t>03010101015010rh</t>
  </si>
  <si>
    <t>Doprava presuny iné vrn</t>
  </si>
  <si>
    <t>kpl</t>
  </si>
  <si>
    <t>3.Np</t>
  </si>
  <si>
    <t>m</t>
  </si>
  <si>
    <t>ks</t>
  </si>
  <si>
    <t>t</t>
  </si>
  <si>
    <t>2.Np</t>
  </si>
  <si>
    <t>1.Np</t>
  </si>
  <si>
    <t xml:space="preserve">Súčet   </t>
  </si>
  <si>
    <t>Stavba:   ANZ komplet</t>
  </si>
  <si>
    <t>Objekt:   Murovanie</t>
  </si>
  <si>
    <t>1</t>
  </si>
  <si>
    <t>2</t>
  </si>
  <si>
    <t>3</t>
  </si>
  <si>
    <t>4</t>
  </si>
  <si>
    <t>5</t>
  </si>
  <si>
    <t>6</t>
  </si>
  <si>
    <t>7</t>
  </si>
  <si>
    <t>prace vo výške</t>
  </si>
  <si>
    <t>HSV</t>
  </si>
  <si>
    <t xml:space="preserve">Práce a dodávky HSV   </t>
  </si>
  <si>
    <t xml:space="preserve">Zvislé a kompletné konštrukcie   </t>
  </si>
  <si>
    <t>342272104</t>
  </si>
  <si>
    <t xml:space="preserve">Priečky z tvárnic YTONG/Porfix hr. 150 mm hladké, na maltu PlanoFix (150x249x(500)599)   </t>
  </si>
  <si>
    <t xml:space="preserve">"3NP:"   </t>
  </si>
  <si>
    <t>4*2,8+12,25+3*6,95+3,75+3,85+1,8+2*1,2)*3,6</t>
  </si>
  <si>
    <t xml:space="preserve">"okná "   </t>
  </si>
  <si>
    <t xml:space="preserve">"Dvere" -9*(0,8*1,97)-2*0,9*1,97  </t>
  </si>
  <si>
    <t xml:space="preserve">Medzisúčet III.NP   </t>
  </si>
  <si>
    <t xml:space="preserve">"2NP:"   </t>
  </si>
  <si>
    <t xml:space="preserve">Medzisúčet II.NP   </t>
  </si>
  <si>
    <t xml:space="preserve">"1.NP:"   </t>
  </si>
  <si>
    <t>(2*4,6+3*2,5+1,9+2,4+2*3,95+2*2,6)*4,5</t>
  </si>
  <si>
    <t>Dvere: 900: -4*0,9*1,97</t>
  </si>
  <si>
    <t>Dvere: 700: -2*0,7*1,97</t>
  </si>
  <si>
    <t>dvere okno</t>
  </si>
  <si>
    <t xml:space="preserve">Medzisúčet I.NP   </t>
  </si>
  <si>
    <t>595310002200</t>
  </si>
  <si>
    <t xml:space="preserve">Tvárnica pre priečky a výplňové murivo YTONG / Porfix , šxlxv 150x(500)599x249 mm   </t>
  </si>
  <si>
    <t xml:space="preserve">0,599*0,249   </t>
  </si>
  <si>
    <t>342272105rr</t>
  </si>
  <si>
    <t xml:space="preserve">Priečky z tvárnic YTONG/Porfix hr. 200 mm hladké, na maltu PlanoFix (200x249x(500)599)   </t>
  </si>
  <si>
    <t>(3,9+1,2*2+2,7+12+20,8+28,8+31,8+2,19*3)*4,5</t>
  </si>
  <si>
    <t>"Dvere" -6*(2*2,25)</t>
  </si>
  <si>
    <t>VZt 2*(1,2*1)</t>
  </si>
  <si>
    <t>(9,68+13,25+12+8,2+15,45+25)*4,5+(4,17+7,12+2*4+2*1,9+3,8+6,37+4*2,31)*4,5</t>
  </si>
  <si>
    <t>"Dvere" -3*(2*2,25)-3*(2*2,5)-2*(0,9*2,25)</t>
  </si>
  <si>
    <t>VZt (1,2*1)*2+1,5*1</t>
  </si>
  <si>
    <t xml:space="preserve">Medzisúčet   </t>
  </si>
  <si>
    <t>595310001800</t>
  </si>
  <si>
    <t xml:space="preserve">Tvárnica pre priečky a výplňové murivo YTONG / Porfix , šxlxv 200x(500)599x249 mm   </t>
  </si>
  <si>
    <t xml:space="preserve">486/0,149*1,15   </t>
  </si>
  <si>
    <t>342272105r</t>
  </si>
  <si>
    <t xml:space="preserve">Priečky z tvárnic YTONG hr. 250 mm hladké, na maltu PlanoFix (250x249x(500)599)   </t>
  </si>
  <si>
    <t>(4,6+24,885+15,194+13,2+6,746)*3,6</t>
  </si>
  <si>
    <t xml:space="preserve">"Okná" -6*(0,6*0,6)-4*(1,6*1,6) </t>
  </si>
  <si>
    <t>"Dvere" -1,35*2,07-2*1,1*2,7</t>
  </si>
  <si>
    <t xml:space="preserve">"1NP:"   </t>
  </si>
  <si>
    <t>Schodište</t>
  </si>
  <si>
    <t>595310002700</t>
  </si>
  <si>
    <t xml:space="preserve">Tvárnica pre priečky a výplňové murivo YTONG / Porfix , šxlxv 250x(500)599x249 mm   </t>
  </si>
  <si>
    <t xml:space="preserve">Otvor priemeru 150 mm.   </t>
  </si>
  <si>
    <t xml:space="preserve">(160,4/0,149)*1,15   </t>
  </si>
  <si>
    <t xml:space="preserve">(0,599*0,249)   </t>
  </si>
  <si>
    <t>342948112</t>
  </si>
  <si>
    <t>Ukotvenie priečok k murovaným konštrukciám</t>
  </si>
  <si>
    <t>342948115</t>
  </si>
  <si>
    <t xml:space="preserve">Ukončenie priečok ku konštrukciam montážnou penou   </t>
  </si>
  <si>
    <t>Horizont:</t>
  </si>
  <si>
    <t>vertikal</t>
  </si>
  <si>
    <t>Montažna pena nízko expanz, 750 ml</t>
  </si>
  <si>
    <t>317161251</t>
  </si>
  <si>
    <t xml:space="preserve">Preklad keramický  MNtž   </t>
  </si>
  <si>
    <t xml:space="preserve">"Dvere   (1,1*2,0)" 3   </t>
  </si>
  <si>
    <t xml:space="preserve">"Dvere   (1,3*2,0)" 1 </t>
  </si>
  <si>
    <t>"Vzt</t>
  </si>
  <si>
    <t xml:space="preserve">"Dvere d24: (0,8*1,97) " 5   </t>
  </si>
  <si>
    <t xml:space="preserve">"Dvere d27...26: 0,8*1,97"4   </t>
  </si>
  <si>
    <t xml:space="preserve">"Dvere  d28: 3*(0,9*1,97)" 2   </t>
  </si>
  <si>
    <t xml:space="preserve">"Okná o1 (0,6*0,6)"  6 </t>
  </si>
  <si>
    <t xml:space="preserve">"Okná o2 (1,6*1,6)"4   </t>
  </si>
  <si>
    <t xml:space="preserve">"Dvere (2*2,25*2)" 6   </t>
  </si>
  <si>
    <t>"Dvere (2*2,25)" 6</t>
  </si>
  <si>
    <t>"Dvere  (1,1*2,25)" 2</t>
  </si>
  <si>
    <t xml:space="preserve">"Dvere  (0,9*2,25)" 4   </t>
  </si>
  <si>
    <t xml:space="preserve">"Dvere  (0,7*2,25)" 2   </t>
  </si>
  <si>
    <t>"okno O2  + dv d4 3*</t>
  </si>
  <si>
    <t>317161255</t>
  </si>
  <si>
    <t>Preklad keramický nosný/ nenosný:</t>
  </si>
  <si>
    <t>preklad nosný 1,00 m</t>
  </si>
  <si>
    <t>Porotherm KP 14,5 preklad 1,25 bm</t>
  </si>
  <si>
    <t>preklad nosný 1,5 m</t>
  </si>
  <si>
    <t>preklad nosný 1,75 m</t>
  </si>
  <si>
    <t>preklad nosný 2,00 m</t>
  </si>
  <si>
    <t>preklad Heluz  250 cm</t>
  </si>
  <si>
    <t>99</t>
  </si>
  <si>
    <t xml:space="preserve">Presun hmôt HSV   </t>
  </si>
  <si>
    <t>998011001.S rh</t>
  </si>
  <si>
    <t>Presun hmôt pre budovy (801, 803, 812), zvislá konštr. z tehál,  výšky do 0 m,... a ručná práca do 4,5m</t>
  </si>
  <si>
    <t>Preklady</t>
  </si>
  <si>
    <t>PlnoFix</t>
  </si>
  <si>
    <t>Suť, skladka, kontajner, čistenie</t>
  </si>
  <si>
    <t>998011015.S rh</t>
  </si>
  <si>
    <t xml:space="preserve">Doprava presun (801,803,812) zvislá konštr. z tehál, tvárnic, z kovu nad dopravnú vzdialenosť staveniska okresu spolu s nakladkou a vykladkou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</si>
</sst>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"/>
    <numFmt numFmtId="165" formatCode="#,##0.000;\-#,##0.000"/>
  </numFmts>
  <fonts count="16"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sz val="8"/>
      <color rgb="FF0000FF"/>
      <name val="MS Sans Serif"/>
      <charset val="1"/>
    </font>
    <font>
      <sz val="8"/>
      <color indexed="63"/>
      <name val="Arial CE"/>
      <charset val="238"/>
    </font>
    <font>
      <sz val="8"/>
      <color indexed="20"/>
      <name val="Arial CE"/>
      <charset val="238"/>
    </font>
    <font>
      <sz val="8"/>
      <color indexed="18"/>
      <name val="Arial CE"/>
      <charset val="238"/>
    </font>
    <font>
      <sz val="8"/>
      <color indexed="61"/>
      <name val="Arial CE"/>
      <charset val="238"/>
    </font>
    <font>
      <i/>
      <sz val="8"/>
      <color indexed="12"/>
      <name val="Arial CE"/>
      <charset val="238"/>
    </font>
    <font>
      <i/>
      <sz val="8"/>
      <color rgb="FF0000FF"/>
      <name val="Arial CE"/>
      <charset val="238"/>
    </font>
    <font>
      <i/>
      <sz val="7"/>
      <name val="Arial CE"/>
      <charset val="238"/>
    </font>
    <font>
      <sz val="8"/>
      <color rgb="FF0000FF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 style="medium">
        <color rgb="FF505050"/>
      </right>
      <top style="medium">
        <color rgb="FF505050"/>
      </top>
      <bottom/>
      <diagonal/>
    </border>
    <border>
      <left style="medium">
        <color rgb="FF505050"/>
      </left>
      <right/>
      <top/>
      <bottom/>
      <diagonal/>
    </border>
    <border>
      <left/>
      <right style="medium">
        <color rgb="FF505050"/>
      </right>
      <top/>
      <bottom/>
      <diagonal/>
    </border>
    <border>
      <left style="medium">
        <color rgb="FF505050"/>
      </left>
      <right/>
      <top/>
      <bottom style="medium">
        <color rgb="FF505050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3" fontId="3" fillId="0" borderId="2" xfId="0" applyNumberFormat="1" applyFont="1" applyBorder="1" applyAlignment="1">
      <alignment horizontal="left" vertical="center"/>
    </xf>
    <xf numFmtId="43" fontId="3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9" fontId="3" fillId="0" borderId="0" xfId="0" applyNumberFormat="1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37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37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37" fontId="3" fillId="0" borderId="7" xfId="0" applyNumberFormat="1" applyFont="1" applyBorder="1" applyAlignment="1" applyProtection="1">
      <alignment horizontal="right"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164" fontId="3" fillId="0" borderId="6" xfId="0" applyNumberFormat="1" applyFont="1" applyBorder="1" applyAlignment="1">
      <alignment vertical="center"/>
    </xf>
    <xf numFmtId="165" fontId="5" fillId="0" borderId="0" xfId="0" applyNumberFormat="1" applyFont="1" applyAlignment="1" applyProtection="1">
      <alignment horizontal="right" vertical="center"/>
      <protection locked="0"/>
    </xf>
    <xf numFmtId="39" fontId="5" fillId="0" borderId="0" xfId="0" applyNumberFormat="1" applyFont="1" applyAlignment="1" applyProtection="1">
      <alignment horizontal="right" vertical="center"/>
      <protection locked="0"/>
    </xf>
    <xf numFmtId="165" fontId="6" fillId="0" borderId="0" xfId="0" applyNumberFormat="1" applyFont="1" applyAlignment="1" applyProtection="1">
      <alignment horizontal="right" vertical="center"/>
      <protection locked="0"/>
    </xf>
    <xf numFmtId="39" fontId="6" fillId="0" borderId="0" xfId="0" applyNumberFormat="1" applyFont="1" applyAlignment="1" applyProtection="1">
      <alignment horizontal="right" vertical="center"/>
      <protection locked="0"/>
    </xf>
    <xf numFmtId="165" fontId="3" fillId="0" borderId="7" xfId="0" applyNumberFormat="1" applyFont="1" applyBorder="1" applyAlignment="1" applyProtection="1">
      <alignment horizontal="right" vertical="center"/>
      <protection locked="0"/>
    </xf>
    <xf numFmtId="39" fontId="3" fillId="0" borderId="7" xfId="0" applyNumberFormat="1" applyFont="1" applyBorder="1" applyAlignment="1" applyProtection="1">
      <alignment horizontal="right" vertical="center"/>
      <protection locked="0"/>
    </xf>
    <xf numFmtId="37" fontId="8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65" fontId="8" fillId="0" borderId="0" xfId="0" applyNumberFormat="1" applyFont="1" applyAlignment="1" applyProtection="1">
      <alignment horizontal="right" vertical="center"/>
      <protection locked="0"/>
    </xf>
    <xf numFmtId="39" fontId="8" fillId="0" borderId="0" xfId="0" applyNumberFormat="1" applyFont="1" applyAlignment="1" applyProtection="1">
      <alignment horizontal="right" vertical="center"/>
      <protection locked="0"/>
    </xf>
    <xf numFmtId="37" fontId="9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39" fontId="9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5" fontId="3" fillId="0" borderId="0" xfId="0" applyNumberFormat="1" applyFont="1" applyAlignment="1" applyProtection="1">
      <alignment horizontal="right" vertical="center"/>
      <protection locked="0"/>
    </xf>
    <xf numFmtId="37" fontId="10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165" fontId="10" fillId="0" borderId="0" xfId="0" applyNumberFormat="1" applyFont="1" applyAlignment="1" applyProtection="1">
      <alignment horizontal="right" vertical="center"/>
      <protection locked="0"/>
    </xf>
    <xf numFmtId="39" fontId="10" fillId="0" borderId="0" xfId="0" applyNumberFormat="1" applyFont="1" applyAlignment="1" applyProtection="1">
      <alignment horizontal="right" vertical="center"/>
      <protection locked="0"/>
    </xf>
    <xf numFmtId="37" fontId="11" fillId="0" borderId="0" xfId="0" applyNumberFormat="1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165" fontId="11" fillId="0" borderId="0" xfId="0" applyNumberFormat="1" applyFont="1" applyAlignment="1" applyProtection="1">
      <alignment horizontal="right" vertical="center"/>
      <protection locked="0"/>
    </xf>
    <xf numFmtId="39" fontId="11" fillId="0" borderId="0" xfId="0" applyNumberFormat="1" applyFont="1" applyAlignment="1" applyProtection="1">
      <alignment horizontal="right" vertical="center"/>
      <protection locked="0"/>
    </xf>
    <xf numFmtId="37" fontId="12" fillId="0" borderId="7" xfId="0" applyNumberFormat="1" applyFont="1" applyBorder="1" applyAlignment="1" applyProtection="1">
      <alignment horizontal="right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165" fontId="12" fillId="0" borderId="7" xfId="0" applyNumberFormat="1" applyFont="1" applyBorder="1" applyAlignment="1" applyProtection="1">
      <alignment horizontal="right" vertical="center"/>
      <protection locked="0"/>
    </xf>
    <xf numFmtId="39" fontId="12" fillId="0" borderId="7" xfId="0" applyNumberFormat="1" applyFont="1" applyBorder="1" applyAlignment="1" applyProtection="1">
      <alignment horizontal="right" vertical="center"/>
      <protection locked="0"/>
    </xf>
    <xf numFmtId="37" fontId="12" fillId="3" borderId="0" xfId="0" applyNumberFormat="1" applyFont="1" applyFill="1" applyAlignment="1" applyProtection="1">
      <alignment horizontal="right" vertical="center"/>
      <protection locked="0"/>
    </xf>
    <xf numFmtId="43" fontId="12" fillId="0" borderId="0" xfId="0" applyNumberFormat="1" applyFont="1" applyAlignment="1" applyProtection="1">
      <alignment horizontal="left" vertical="center" wrapText="1"/>
      <protection locked="0"/>
    </xf>
    <xf numFmtId="43" fontId="12" fillId="0" borderId="0" xfId="0" applyNumberFormat="1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165" fontId="12" fillId="3" borderId="0" xfId="0" applyNumberFormat="1" applyFont="1" applyFill="1" applyAlignment="1" applyProtection="1">
      <alignment horizontal="right" vertical="center"/>
      <protection locked="0"/>
    </xf>
    <xf numFmtId="39" fontId="12" fillId="3" borderId="0" xfId="0" applyNumberFormat="1" applyFont="1" applyFill="1" applyAlignment="1" applyProtection="1">
      <alignment horizontal="right" vertical="center"/>
      <protection locked="0"/>
    </xf>
    <xf numFmtId="165" fontId="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37" fontId="12" fillId="0" borderId="0" xfId="0" applyNumberFormat="1" applyFont="1" applyAlignment="1" applyProtection="1">
      <alignment horizontal="right" vertical="center"/>
      <protection locked="0"/>
    </xf>
    <xf numFmtId="39" fontId="13" fillId="3" borderId="0" xfId="0" applyNumberFormat="1" applyFont="1" applyFill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37" fontId="14" fillId="0" borderId="0" xfId="0" applyNumberFormat="1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5" fontId="14" fillId="0" borderId="0" xfId="0" applyNumberFormat="1" applyFont="1" applyAlignment="1" applyProtection="1">
      <alignment horizontal="right" vertical="center"/>
      <protection locked="0"/>
    </xf>
    <xf numFmtId="39" fontId="14" fillId="0" borderId="0" xfId="0" applyNumberFormat="1" applyFont="1" applyAlignment="1" applyProtection="1">
      <alignment horizontal="right" vertical="center"/>
      <protection locked="0"/>
    </xf>
    <xf numFmtId="39" fontId="3" fillId="0" borderId="0" xfId="0" applyNumberFormat="1" applyFont="1" applyAlignment="1" applyProtection="1">
      <alignment horizontal="right" vertical="center"/>
      <protection locked="0"/>
    </xf>
    <xf numFmtId="37" fontId="15" fillId="0" borderId="7" xfId="0" applyNumberFormat="1" applyFont="1" applyBorder="1" applyAlignment="1" applyProtection="1">
      <alignment horizontal="right" vertical="center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165" fontId="15" fillId="0" borderId="7" xfId="0" applyNumberFormat="1" applyFont="1" applyBorder="1" applyAlignment="1" applyProtection="1">
      <alignment horizontal="right" vertical="center"/>
      <protection locked="0"/>
    </xf>
    <xf numFmtId="39" fontId="15" fillId="0" borderId="7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65" fontId="9" fillId="0" borderId="0" xfId="0" applyNumberFormat="1" applyFont="1" applyAlignment="1" applyProtection="1">
      <alignment horizontal="right" vertical="center"/>
      <protection locked="0"/>
    </xf>
    <xf numFmtId="37" fontId="3" fillId="0" borderId="7" xfId="0" applyNumberFormat="1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43" fontId="0" fillId="0" borderId="8" xfId="0" applyNumberFormat="1" applyBorder="1" applyAlignment="1" applyProtection="1">
      <alignment vertical="center"/>
      <protection locked="0"/>
    </xf>
    <xf numFmtId="43" fontId="0" fillId="0" borderId="8" xfId="0" applyNumberForma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165" fontId="3" fillId="0" borderId="9" xfId="0" applyNumberFormat="1" applyFont="1" applyBorder="1" applyAlignment="1" applyProtection="1">
      <alignment horizontal="right" vertical="center"/>
      <protection locked="0"/>
    </xf>
    <xf numFmtId="39" fontId="3" fillId="0" borderId="9" xfId="0" applyNumberFormat="1" applyFont="1" applyBorder="1" applyAlignment="1" applyProtection="1">
      <alignment horizontal="right" vertical="center"/>
      <protection locked="0"/>
    </xf>
    <xf numFmtId="37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43" fontId="0" fillId="0" borderId="0" xfId="0" applyNumberFormat="1" applyAlignment="1" applyProtection="1">
      <alignment horizontal="right" vertical="center" wrapText="1"/>
      <protection locked="0"/>
    </xf>
    <xf numFmtId="165" fontId="0" fillId="0" borderId="0" xfId="0" applyNumberFormat="1" applyAlignment="1" applyProtection="1">
      <alignment horizontal="right" vertical="center"/>
      <protection locked="0"/>
    </xf>
    <xf numFmtId="39" fontId="0" fillId="0" borderId="0" xfId="0" applyNumberFormat="1" applyAlignment="1" applyProtection="1">
      <alignment horizontal="righ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abSelected="1" zoomScale="60" zoomScaleNormal="60" workbookViewId="0">
      <selection activeCell="G4" sqref="G4"/>
    </sheetView>
  </sheetViews>
  <sheetFormatPr defaultColWidth="8.453125" defaultRowHeight="14.5"/>
  <cols>
    <col min="1" max="1" width="3.26953125" style="82" customWidth="1"/>
    <col min="2" max="2" width="11.453125" style="83" customWidth="1"/>
    <col min="3" max="3" width="32.26953125" style="83" customWidth="1"/>
    <col min="4" max="4" width="3.7265625" style="83" customWidth="1"/>
    <col min="5" max="5" width="8.81640625" style="85" customWidth="1"/>
    <col min="6" max="6" width="6.1796875" style="86" customWidth="1"/>
    <col min="7" max="7" width="11.81640625" style="86" customWidth="1"/>
    <col min="8" max="16384" width="8.453125" style="18"/>
  </cols>
  <sheetData>
    <row r="1" spans="1:7" ht="27.75" customHeight="1">
      <c r="A1" s="1" t="s">
        <v>0</v>
      </c>
      <c r="B1" s="1"/>
      <c r="C1" s="1"/>
      <c r="D1" s="1"/>
      <c r="E1" s="1"/>
      <c r="F1" s="1"/>
      <c r="G1" s="1"/>
    </row>
    <row r="2" spans="1:7" ht="12.75" customHeight="1" thickBot="1">
      <c r="A2" s="3" t="s">
        <v>37</v>
      </c>
      <c r="B2" s="4"/>
      <c r="C2" s="4"/>
      <c r="D2" s="4"/>
      <c r="E2" s="4"/>
      <c r="F2" s="4"/>
      <c r="G2" s="4"/>
    </row>
    <row r="3" spans="1:7" ht="12.75" customHeight="1">
      <c r="A3" s="3" t="s">
        <v>38</v>
      </c>
      <c r="B3" s="4"/>
      <c r="C3" s="4"/>
      <c r="D3" s="4"/>
      <c r="E3" s="4"/>
      <c r="F3" s="19" t="s">
        <v>1</v>
      </c>
      <c r="G3" s="5">
        <f>G4/G5</f>
        <v>0</v>
      </c>
    </row>
    <row r="4" spans="1:7" ht="12.75" customHeight="1">
      <c r="A4" s="4" t="s">
        <v>2</v>
      </c>
      <c r="B4" s="4"/>
      <c r="C4" s="4" t="s">
        <v>3</v>
      </c>
      <c r="D4" s="4"/>
      <c r="E4" s="4"/>
      <c r="F4" s="20" t="s">
        <v>4</v>
      </c>
      <c r="G4" s="6">
        <f>G9+G15</f>
        <v>0</v>
      </c>
    </row>
    <row r="5" spans="1:7" ht="13.5" customHeight="1" thickBot="1">
      <c r="A5" s="4" t="s">
        <v>5</v>
      </c>
      <c r="B5" s="4"/>
      <c r="C5" s="4" t="s">
        <v>6</v>
      </c>
      <c r="D5" s="4"/>
      <c r="E5" s="21"/>
      <c r="F5" s="22" t="s">
        <v>7</v>
      </c>
      <c r="G5" s="23">
        <f>E17+E36+E55</f>
        <v>1537.3960000000002</v>
      </c>
    </row>
    <row r="6" spans="1:7" ht="13.5" customHeight="1">
      <c r="A6" s="4" t="s">
        <v>8</v>
      </c>
      <c r="B6" s="7"/>
      <c r="C6" s="7" t="s">
        <v>9</v>
      </c>
      <c r="D6" s="7"/>
      <c r="E6" s="8"/>
      <c r="F6" s="9"/>
      <c r="G6" s="9"/>
    </row>
    <row r="7" spans="1:7" ht="24" customHeight="1">
      <c r="A7" s="10" t="s">
        <v>10</v>
      </c>
      <c r="B7" s="10" t="s">
        <v>11</v>
      </c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</row>
    <row r="8" spans="1:7" ht="12.75" hidden="1" customHeight="1">
      <c r="A8" s="10" t="s">
        <v>39</v>
      </c>
      <c r="B8" s="10" t="s">
        <v>40</v>
      </c>
      <c r="C8" s="10" t="s">
        <v>41</v>
      </c>
      <c r="D8" s="10" t="s">
        <v>42</v>
      </c>
      <c r="E8" s="10" t="s">
        <v>43</v>
      </c>
      <c r="F8" s="10" t="s">
        <v>44</v>
      </c>
      <c r="G8" s="10" t="s">
        <v>45</v>
      </c>
    </row>
    <row r="9" spans="1:7" ht="13.5" customHeight="1">
      <c r="A9" s="11"/>
      <c r="B9" s="12" t="s">
        <v>17</v>
      </c>
      <c r="C9" s="12" t="s">
        <v>18</v>
      </c>
      <c r="D9" s="12"/>
      <c r="E9" s="24"/>
      <c r="F9" s="25"/>
      <c r="G9" s="25">
        <f>G10</f>
        <v>0</v>
      </c>
    </row>
    <row r="10" spans="1:7" ht="27" customHeight="1">
      <c r="A10" s="13"/>
      <c r="B10" s="14" t="s">
        <v>19</v>
      </c>
      <c r="C10" s="14" t="s">
        <v>20</v>
      </c>
      <c r="D10" s="14"/>
      <c r="E10" s="26"/>
      <c r="F10" s="27"/>
      <c r="G10" s="27">
        <f>SUM(G11:G13)</f>
        <v>0</v>
      </c>
    </row>
    <row r="11" spans="1:7" ht="33" customHeight="1">
      <c r="A11" s="13"/>
      <c r="B11" s="15" t="s">
        <v>21</v>
      </c>
      <c r="C11" s="15" t="s">
        <v>22</v>
      </c>
      <c r="D11" s="15" t="s">
        <v>23</v>
      </c>
      <c r="E11" s="28">
        <v>62</v>
      </c>
      <c r="F11" s="29"/>
      <c r="G11" s="29">
        <f>F11*E11</f>
        <v>0</v>
      </c>
    </row>
    <row r="12" spans="1:7" ht="21" customHeight="1">
      <c r="A12" s="13"/>
      <c r="B12" s="15" t="s">
        <v>24</v>
      </c>
      <c r="C12" s="15" t="s">
        <v>25</v>
      </c>
      <c r="D12" s="15" t="s">
        <v>26</v>
      </c>
      <c r="E12" s="28">
        <f>G5/2</f>
        <v>768.69800000000009</v>
      </c>
      <c r="F12" s="29"/>
      <c r="G12" s="29">
        <f>F12*E12</f>
        <v>0</v>
      </c>
    </row>
    <row r="13" spans="1:7" ht="18" customHeight="1">
      <c r="A13" s="16">
        <v>9</v>
      </c>
      <c r="B13" s="15" t="s">
        <v>27</v>
      </c>
      <c r="C13" s="15" t="s">
        <v>28</v>
      </c>
      <c r="D13" s="15" t="s">
        <v>29</v>
      </c>
      <c r="E13" s="28">
        <f>80*4</f>
        <v>320</v>
      </c>
      <c r="F13" s="29"/>
      <c r="G13" s="29">
        <f>F13*E13</f>
        <v>0</v>
      </c>
    </row>
    <row r="14" spans="1:7" ht="13.5" customHeight="1">
      <c r="A14" s="30"/>
      <c r="B14" s="31"/>
      <c r="C14" s="31" t="s">
        <v>46</v>
      </c>
      <c r="D14" s="31"/>
      <c r="E14" s="32"/>
      <c r="F14" s="33"/>
      <c r="G14" s="33"/>
    </row>
    <row r="15" spans="1:7" ht="18" customHeight="1">
      <c r="A15" s="11"/>
      <c r="B15" s="12" t="s">
        <v>47</v>
      </c>
      <c r="C15" s="12" t="s">
        <v>48</v>
      </c>
      <c r="D15" s="12"/>
      <c r="E15" s="24"/>
      <c r="F15" s="25"/>
      <c r="G15" s="25">
        <f>G16+G110</f>
        <v>0</v>
      </c>
    </row>
    <row r="16" spans="1:7" ht="18" customHeight="1">
      <c r="A16" s="13"/>
      <c r="B16" s="14" t="s">
        <v>41</v>
      </c>
      <c r="C16" s="14" t="s">
        <v>49</v>
      </c>
      <c r="D16" s="14"/>
      <c r="E16" s="26"/>
      <c r="F16" s="27"/>
      <c r="G16" s="27">
        <f>SUM(G17:G109)</f>
        <v>0</v>
      </c>
    </row>
    <row r="17" spans="1:7" ht="33" customHeight="1">
      <c r="A17" s="16">
        <v>3</v>
      </c>
      <c r="B17" s="15" t="s">
        <v>50</v>
      </c>
      <c r="C17" s="15" t="s">
        <v>51</v>
      </c>
      <c r="D17" s="15" t="s">
        <v>26</v>
      </c>
      <c r="E17" s="28">
        <f>E31</f>
        <v>320.1155</v>
      </c>
      <c r="F17" s="29"/>
      <c r="G17" s="29">
        <f>F17*E17</f>
        <v>0</v>
      </c>
    </row>
    <row r="18" spans="1:7" ht="13.5" customHeight="1">
      <c r="A18" s="34"/>
      <c r="B18" s="35"/>
      <c r="C18" s="35" t="s">
        <v>52</v>
      </c>
      <c r="D18" s="35"/>
      <c r="E18" s="18"/>
      <c r="F18" s="36"/>
      <c r="G18" s="36"/>
    </row>
    <row r="19" spans="1:7" ht="13.5" customHeight="1">
      <c r="A19" s="34"/>
      <c r="B19" s="35"/>
      <c r="C19" s="37" t="s">
        <v>53</v>
      </c>
      <c r="D19" s="35"/>
      <c r="E19" s="38">
        <f>(4*2.8+12.25+3*6.95+3.75+3.85+1.8+2*1.2)*3.6</f>
        <v>201.95999999999998</v>
      </c>
      <c r="F19" s="36"/>
      <c r="G19" s="36"/>
    </row>
    <row r="20" spans="1:7" ht="13.5" customHeight="1">
      <c r="A20" s="34"/>
      <c r="B20" s="35"/>
      <c r="C20" s="37" t="s">
        <v>54</v>
      </c>
      <c r="D20" s="35"/>
      <c r="E20" s="38">
        <v>0</v>
      </c>
      <c r="F20" s="36"/>
      <c r="G20" s="36"/>
    </row>
    <row r="21" spans="1:7" ht="13.5" customHeight="1">
      <c r="A21" s="30"/>
      <c r="B21" s="31"/>
      <c r="C21" s="31" t="s">
        <v>55</v>
      </c>
      <c r="D21" s="31"/>
      <c r="E21" s="32">
        <f>+E58+E59</f>
        <v>-21.134500000000003</v>
      </c>
      <c r="F21" s="33"/>
      <c r="G21" s="33"/>
    </row>
    <row r="22" spans="1:7" ht="13.5" customHeight="1">
      <c r="A22" s="39"/>
      <c r="B22" s="40"/>
      <c r="C22" s="40" t="s">
        <v>56</v>
      </c>
      <c r="D22" s="40"/>
      <c r="E22" s="41">
        <f>SUM(E19:E21)</f>
        <v>180.82549999999998</v>
      </c>
      <c r="F22" s="42"/>
      <c r="G22" s="42"/>
    </row>
    <row r="23" spans="1:7" ht="13.5" customHeight="1">
      <c r="A23" s="34"/>
      <c r="B23" s="35"/>
      <c r="C23" s="35" t="s">
        <v>57</v>
      </c>
      <c r="D23" s="35"/>
      <c r="E23" s="18"/>
      <c r="F23" s="36"/>
      <c r="G23" s="36"/>
    </row>
    <row r="24" spans="1:7" ht="13.5" customHeight="1">
      <c r="A24" s="39"/>
      <c r="B24" s="40"/>
      <c r="C24" s="40" t="s">
        <v>58</v>
      </c>
      <c r="D24" s="40"/>
      <c r="E24" s="41">
        <v>0</v>
      </c>
      <c r="F24" s="42"/>
      <c r="G24" s="42"/>
    </row>
    <row r="25" spans="1:7" ht="13.5" customHeight="1">
      <c r="A25" s="34"/>
      <c r="B25" s="35"/>
      <c r="C25" s="35" t="s">
        <v>59</v>
      </c>
      <c r="D25" s="35"/>
      <c r="E25" s="18"/>
      <c r="F25" s="36"/>
      <c r="G25" s="36"/>
    </row>
    <row r="26" spans="1:7" ht="13.5" customHeight="1">
      <c r="A26" s="34"/>
      <c r="B26" s="35"/>
      <c r="C26" s="37" t="s">
        <v>60</v>
      </c>
      <c r="D26" s="35"/>
      <c r="E26" s="38">
        <f>(2*4.6+3*2.5+1.9+2.4+2*3.95+2*2.6)*4.5</f>
        <v>153.45000000000002</v>
      </c>
      <c r="F26" s="36"/>
      <c r="G26" s="36"/>
    </row>
    <row r="27" spans="1:7" ht="13.5" customHeight="1">
      <c r="A27" s="30"/>
      <c r="B27" s="31"/>
      <c r="C27" s="31" t="s">
        <v>61</v>
      </c>
      <c r="D27" s="31"/>
      <c r="E27" s="32">
        <f>-4*0.9*1.97</f>
        <v>-7.0919999999999996</v>
      </c>
      <c r="F27" s="33"/>
      <c r="G27" s="33"/>
    </row>
    <row r="28" spans="1:7" ht="13.5" customHeight="1">
      <c r="A28" s="30"/>
      <c r="B28" s="31"/>
      <c r="C28" s="31" t="s">
        <v>62</v>
      </c>
      <c r="D28" s="31"/>
      <c r="E28" s="32">
        <f>-2*0.7*1.97</f>
        <v>-2.758</v>
      </c>
      <c r="F28" s="33"/>
      <c r="G28" s="33"/>
    </row>
    <row r="29" spans="1:7" ht="13.5" customHeight="1">
      <c r="A29" s="30"/>
      <c r="B29" s="31"/>
      <c r="C29" s="31" t="s">
        <v>63</v>
      </c>
      <c r="D29" s="31"/>
      <c r="E29" s="32">
        <f>-1*(1.2*2.55+1*1.25)</f>
        <v>-4.3099999999999996</v>
      </c>
      <c r="F29" s="33"/>
      <c r="G29" s="33"/>
    </row>
    <row r="30" spans="1:7" ht="13.5" customHeight="1">
      <c r="A30" s="39"/>
      <c r="B30" s="40"/>
      <c r="C30" s="40" t="s">
        <v>64</v>
      </c>
      <c r="D30" s="40"/>
      <c r="E30" s="41">
        <f>SUM(E26:E29)</f>
        <v>139.29</v>
      </c>
      <c r="F30" s="42"/>
      <c r="G30" s="42"/>
    </row>
    <row r="31" spans="1:7" ht="13.5" customHeight="1">
      <c r="A31" s="43"/>
      <c r="B31" s="44"/>
      <c r="C31" s="44" t="s">
        <v>36</v>
      </c>
      <c r="D31" s="44"/>
      <c r="E31" s="45">
        <f>E30+E22</f>
        <v>320.1155</v>
      </c>
      <c r="F31" s="46"/>
      <c r="G31" s="46"/>
    </row>
    <row r="32" spans="1:7" ht="24" customHeight="1">
      <c r="A32" s="47">
        <v>4</v>
      </c>
      <c r="B32" s="48" t="s">
        <v>65</v>
      </c>
      <c r="C32" s="49" t="s">
        <v>66</v>
      </c>
      <c r="D32" s="48" t="s">
        <v>32</v>
      </c>
      <c r="E32" s="50">
        <f>E31*6.7</f>
        <v>2144.77385</v>
      </c>
      <c r="F32" s="51"/>
      <c r="G32" s="51">
        <f>F32*E32</f>
        <v>0</v>
      </c>
    </row>
    <row r="33" spans="1:7" ht="17.25" customHeight="1">
      <c r="A33" s="52"/>
      <c r="B33" s="53">
        <f>E32/60</f>
        <v>35.746230833333335</v>
      </c>
      <c r="C33" s="54">
        <f>B33*0.946</f>
        <v>33.81593436833333</v>
      </c>
      <c r="D33" s="55" t="s">
        <v>33</v>
      </c>
      <c r="E33" s="56">
        <f>30.17*0.8</f>
        <v>24.136000000000003</v>
      </c>
      <c r="F33" s="57"/>
      <c r="G33" s="57"/>
    </row>
    <row r="34" spans="1:7" ht="17.25" customHeight="1">
      <c r="A34" s="52"/>
      <c r="B34" s="53"/>
      <c r="C34" s="54"/>
      <c r="D34" s="55"/>
      <c r="E34" s="56"/>
      <c r="F34" s="57"/>
      <c r="G34" s="57"/>
    </row>
    <row r="35" spans="1:7" ht="13.5" customHeight="1">
      <c r="A35" s="30"/>
      <c r="B35" s="31"/>
      <c r="C35" s="31" t="s">
        <v>67</v>
      </c>
      <c r="D35" s="31"/>
      <c r="E35" s="32">
        <v>0.14899999999999999</v>
      </c>
      <c r="F35" s="33"/>
      <c r="G35" s="33"/>
    </row>
    <row r="36" spans="1:7" ht="33" customHeight="1">
      <c r="A36" s="16">
        <v>5</v>
      </c>
      <c r="B36" s="15" t="s">
        <v>68</v>
      </c>
      <c r="C36" s="15" t="s">
        <v>69</v>
      </c>
      <c r="D36" s="15" t="s">
        <v>26</v>
      </c>
      <c r="E36" s="28">
        <f>E49</f>
        <v>998.17500000000007</v>
      </c>
      <c r="F36" s="29"/>
      <c r="G36" s="29">
        <f>F36*E36</f>
        <v>0</v>
      </c>
    </row>
    <row r="37" spans="1:7" ht="13.5" customHeight="1">
      <c r="A37" s="34"/>
      <c r="B37" s="35"/>
      <c r="C37" s="35" t="s">
        <v>52</v>
      </c>
      <c r="D37" s="35"/>
      <c r="E37" s="18"/>
      <c r="F37" s="36"/>
      <c r="G37" s="36"/>
    </row>
    <row r="38" spans="1:7" ht="13.5" customHeight="1">
      <c r="A38" s="39"/>
      <c r="B38" s="40"/>
      <c r="C38" s="40" t="s">
        <v>56</v>
      </c>
      <c r="D38" s="40"/>
      <c r="E38" s="41">
        <v>0</v>
      </c>
      <c r="F38" s="36"/>
      <c r="G38" s="42"/>
    </row>
    <row r="39" spans="1:7" ht="13.5" customHeight="1">
      <c r="A39" s="34"/>
      <c r="B39" s="35"/>
      <c r="C39" s="35" t="s">
        <v>57</v>
      </c>
      <c r="D39" s="35"/>
      <c r="E39" s="18"/>
      <c r="F39" s="36"/>
      <c r="G39" s="36"/>
    </row>
    <row r="40" spans="1:7" ht="21" customHeight="1">
      <c r="A40" s="30"/>
      <c r="B40" s="31"/>
      <c r="C40" s="58" t="s">
        <v>70</v>
      </c>
      <c r="D40" s="31"/>
      <c r="E40" s="32">
        <f>(3.9+1.2*2+2.7+12+20.8+28.8+31.8+2.19*3)*4.5</f>
        <v>490.36500000000001</v>
      </c>
      <c r="F40" s="33"/>
      <c r="G40" s="33"/>
    </row>
    <row r="41" spans="1:7" ht="13.5" customHeight="1">
      <c r="A41" s="30"/>
      <c r="B41" s="31"/>
      <c r="C41" s="31" t="s">
        <v>71</v>
      </c>
      <c r="D41" s="18"/>
      <c r="E41" s="33">
        <f>-6*(2*2.25)</f>
        <v>-27</v>
      </c>
      <c r="F41" s="42"/>
      <c r="G41" s="33"/>
    </row>
    <row r="42" spans="1:7" ht="13.5" customHeight="1">
      <c r="A42" s="30"/>
      <c r="B42" s="31"/>
      <c r="C42" s="31" t="s">
        <v>72</v>
      </c>
      <c r="D42" s="18"/>
      <c r="E42" s="33">
        <f>-1*2*(1.2*1)</f>
        <v>-2.4</v>
      </c>
      <c r="F42" s="42"/>
      <c r="G42" s="33"/>
    </row>
    <row r="43" spans="1:7" ht="13.5" customHeight="1">
      <c r="A43" s="39"/>
      <c r="B43" s="40"/>
      <c r="C43" s="40" t="s">
        <v>58</v>
      </c>
      <c r="D43" s="40"/>
      <c r="E43" s="41">
        <f>SUM(E40:E41)</f>
        <v>463.36500000000001</v>
      </c>
      <c r="F43" s="36"/>
      <c r="G43" s="42"/>
    </row>
    <row r="44" spans="1:7" ht="13.5" customHeight="1">
      <c r="A44" s="34"/>
      <c r="B44" s="35"/>
      <c r="C44" s="35" t="s">
        <v>59</v>
      </c>
      <c r="D44" s="35"/>
      <c r="E44" s="18"/>
      <c r="F44" s="42"/>
      <c r="G44" s="36"/>
    </row>
    <row r="45" spans="1:7" ht="21" customHeight="1">
      <c r="A45" s="30"/>
      <c r="B45" s="31"/>
      <c r="C45" s="58" t="s">
        <v>73</v>
      </c>
      <c r="D45" s="31"/>
      <c r="E45" s="32">
        <f>(9.68+13.25+12+8.2+15.45+25)*4.5+(4.17+7.12+2*4+2*1.9+3.8+6.37+4*2.31)*4.5</f>
        <v>567.36</v>
      </c>
      <c r="F45" s="36"/>
      <c r="G45" s="33"/>
    </row>
    <row r="46" spans="1:7" ht="13.5" customHeight="1">
      <c r="A46" s="30"/>
      <c r="B46" s="31"/>
      <c r="C46" s="31" t="s">
        <v>74</v>
      </c>
      <c r="D46" s="31"/>
      <c r="E46" s="32">
        <f>-3*(2*2.25)-3*(2*2.5)-2*(0.9*2.25)</f>
        <v>-32.549999999999997</v>
      </c>
      <c r="F46" s="36"/>
      <c r="G46" s="33"/>
    </row>
    <row r="47" spans="1:7" ht="13.5" customHeight="1">
      <c r="A47" s="30"/>
      <c r="B47" s="31"/>
      <c r="C47" s="31" t="s">
        <v>75</v>
      </c>
      <c r="D47" s="31"/>
      <c r="E47" s="32">
        <f>-1*((1.2*1)*2+1.5*1)</f>
        <v>-3.9</v>
      </c>
      <c r="F47" s="36"/>
      <c r="G47" s="33"/>
    </row>
    <row r="48" spans="1:7" ht="13.5" customHeight="1">
      <c r="A48" s="39"/>
      <c r="B48" s="40"/>
      <c r="C48" s="40" t="s">
        <v>76</v>
      </c>
      <c r="D48" s="40"/>
      <c r="E48" s="41">
        <f>SUM(E45:E46)</f>
        <v>534.81000000000006</v>
      </c>
      <c r="F48" s="42"/>
      <c r="G48" s="42"/>
    </row>
    <row r="49" spans="1:7" ht="13.5" customHeight="1">
      <c r="A49" s="43"/>
      <c r="B49" s="44"/>
      <c r="C49" s="44" t="s">
        <v>36</v>
      </c>
      <c r="D49" s="44"/>
      <c r="E49" s="45">
        <f>E48+E43+E38</f>
        <v>998.17500000000007</v>
      </c>
      <c r="F49" s="46"/>
      <c r="G49" s="46"/>
    </row>
    <row r="50" spans="1:7" ht="24" customHeight="1">
      <c r="A50" s="47">
        <v>6</v>
      </c>
      <c r="B50" s="48" t="s">
        <v>77</v>
      </c>
      <c r="C50" s="48" t="s">
        <v>78</v>
      </c>
      <c r="D50" s="48" t="s">
        <v>32</v>
      </c>
      <c r="E50" s="50">
        <f>E49*6.7</f>
        <v>6687.7725000000009</v>
      </c>
      <c r="F50" s="51"/>
      <c r="G50" s="51">
        <f>F50*E50</f>
        <v>0</v>
      </c>
    </row>
    <row r="51" spans="1:7" ht="24" customHeight="1">
      <c r="A51" s="52"/>
      <c r="B51" s="53">
        <f>E50/42</f>
        <v>159.23267857142861</v>
      </c>
      <c r="C51" s="54">
        <f>B51*0.946</f>
        <v>150.63411392857145</v>
      </c>
      <c r="D51" s="55" t="s">
        <v>33</v>
      </c>
      <c r="E51" s="56">
        <f>38.78*0.8</f>
        <v>31.024000000000001</v>
      </c>
      <c r="F51" s="57"/>
      <c r="G51" s="57"/>
    </row>
    <row r="52" spans="1:7" ht="13.5" customHeight="1">
      <c r="A52" s="30"/>
      <c r="B52" s="31"/>
      <c r="C52" s="31" t="s">
        <v>67</v>
      </c>
      <c r="D52" s="31"/>
      <c r="E52" s="32">
        <v>0.14899999999999999</v>
      </c>
      <c r="F52" s="33"/>
      <c r="G52" s="33"/>
    </row>
    <row r="53" spans="1:7" ht="13.5" customHeight="1">
      <c r="A53" s="30"/>
      <c r="B53" s="31"/>
      <c r="C53" s="31" t="s">
        <v>79</v>
      </c>
      <c r="D53" s="31"/>
      <c r="E53" s="32">
        <v>3751.0070000000001</v>
      </c>
      <c r="F53" s="33"/>
      <c r="G53" s="33"/>
    </row>
    <row r="54" spans="1:7" ht="13.5" customHeight="1">
      <c r="A54" s="30"/>
      <c r="B54" s="31"/>
      <c r="C54" s="31">
        <f>27.34/4</f>
        <v>6.835</v>
      </c>
      <c r="D54" s="31"/>
      <c r="E54" s="32">
        <f>252.699/4</f>
        <v>63.174750000000003</v>
      </c>
      <c r="F54" s="33"/>
      <c r="G54" s="33"/>
    </row>
    <row r="55" spans="1:7" ht="33" customHeight="1">
      <c r="A55" s="16">
        <v>7</v>
      </c>
      <c r="B55" s="15" t="s">
        <v>80</v>
      </c>
      <c r="C55" s="15" t="s">
        <v>81</v>
      </c>
      <c r="D55" s="15" t="s">
        <v>26</v>
      </c>
      <c r="E55" s="28">
        <f>E66</f>
        <v>219.10550000000001</v>
      </c>
      <c r="F55" s="29"/>
      <c r="G55" s="29">
        <f>F55*E55</f>
        <v>0</v>
      </c>
    </row>
    <row r="56" spans="1:7" ht="13.5" customHeight="1">
      <c r="A56" s="34"/>
      <c r="B56" s="35"/>
      <c r="C56" s="35" t="s">
        <v>52</v>
      </c>
      <c r="D56" s="35"/>
      <c r="E56" s="18"/>
      <c r="F56" s="36"/>
      <c r="G56" s="36"/>
    </row>
    <row r="57" spans="1:7" ht="13.5" customHeight="1">
      <c r="A57" s="34"/>
      <c r="B57" s="35"/>
      <c r="C57" s="37" t="s">
        <v>82</v>
      </c>
      <c r="D57" s="35"/>
      <c r="E57" s="59">
        <f>(4.6+24.885+15.194+13.2+6.746)*3.6</f>
        <v>232.65</v>
      </c>
      <c r="F57" s="36"/>
      <c r="G57" s="36"/>
    </row>
    <row r="58" spans="1:7" ht="13.5" customHeight="1">
      <c r="A58" s="30"/>
      <c r="B58" s="31"/>
      <c r="C58" s="31" t="s">
        <v>83</v>
      </c>
      <c r="D58" s="31"/>
      <c r="E58" s="32">
        <f>-6*(0.6*0.6)-4*(1.6*1.6)</f>
        <v>-12.400000000000002</v>
      </c>
      <c r="F58" s="36"/>
      <c r="G58" s="33"/>
    </row>
    <row r="59" spans="1:7" ht="13.5" customHeight="1">
      <c r="A59" s="30"/>
      <c r="B59" s="31"/>
      <c r="C59" s="31" t="s">
        <v>84</v>
      </c>
      <c r="D59" s="31"/>
      <c r="E59" s="32">
        <f>-1.35*2.07-2*1.1*2.7</f>
        <v>-8.7345000000000006</v>
      </c>
      <c r="F59" s="33"/>
      <c r="G59" s="33"/>
    </row>
    <row r="60" spans="1:7" ht="13.5" customHeight="1">
      <c r="A60" s="39"/>
      <c r="B60" s="40"/>
      <c r="C60" s="40" t="s">
        <v>56</v>
      </c>
      <c r="D60" s="40"/>
      <c r="E60" s="41">
        <f>SUM(E57:E59)</f>
        <v>211.5155</v>
      </c>
      <c r="F60" s="42"/>
      <c r="G60" s="42"/>
    </row>
    <row r="61" spans="1:7" ht="13.5" customHeight="1">
      <c r="A61" s="34"/>
      <c r="B61" s="35"/>
      <c r="C61" s="35" t="s">
        <v>57</v>
      </c>
      <c r="D61" s="35"/>
      <c r="E61" s="18"/>
      <c r="F61" s="36"/>
      <c r="G61" s="36"/>
    </row>
    <row r="62" spans="1:7" ht="13.5" customHeight="1">
      <c r="A62" s="39"/>
      <c r="B62" s="40"/>
      <c r="C62" s="40" t="s">
        <v>58</v>
      </c>
      <c r="D62" s="40"/>
      <c r="E62" s="41">
        <v>0</v>
      </c>
      <c r="F62" s="42"/>
      <c r="G62" s="42"/>
    </row>
    <row r="63" spans="1:7" ht="13.5" customHeight="1">
      <c r="A63" s="34"/>
      <c r="B63" s="35"/>
      <c r="C63" s="35" t="s">
        <v>85</v>
      </c>
      <c r="D63" s="35"/>
      <c r="E63" s="18"/>
      <c r="F63" s="36"/>
      <c r="G63" s="36"/>
    </row>
    <row r="64" spans="1:7" ht="13.5" customHeight="1">
      <c r="A64" s="34"/>
      <c r="B64" s="35"/>
      <c r="C64" s="37" t="s">
        <v>86</v>
      </c>
      <c r="D64" s="35"/>
      <c r="E64" s="59">
        <f>3.45*2.2</f>
        <v>7.5900000000000007</v>
      </c>
      <c r="F64" s="36"/>
      <c r="G64" s="36"/>
    </row>
    <row r="65" spans="1:7" ht="13.5" customHeight="1">
      <c r="A65" s="39"/>
      <c r="B65" s="40"/>
      <c r="C65" s="40" t="s">
        <v>64</v>
      </c>
      <c r="D65" s="40"/>
      <c r="E65" s="41">
        <f>E64</f>
        <v>7.5900000000000007</v>
      </c>
      <c r="F65" s="42"/>
      <c r="G65" s="42"/>
    </row>
    <row r="66" spans="1:7" ht="13.5" customHeight="1">
      <c r="A66" s="43"/>
      <c r="B66" s="44"/>
      <c r="C66" s="44" t="s">
        <v>36</v>
      </c>
      <c r="D66" s="44"/>
      <c r="E66" s="45">
        <f>E64+E60</f>
        <v>219.10550000000001</v>
      </c>
      <c r="F66" s="46"/>
      <c r="G66" s="46"/>
    </row>
    <row r="67" spans="1:7" ht="24" customHeight="1">
      <c r="A67" s="47">
        <v>8</v>
      </c>
      <c r="B67" s="48" t="s">
        <v>87</v>
      </c>
      <c r="C67" s="49" t="s">
        <v>88</v>
      </c>
      <c r="D67" s="48" t="s">
        <v>32</v>
      </c>
      <c r="E67" s="50">
        <f>E66*6.7</f>
        <v>1468.00685</v>
      </c>
      <c r="F67" s="51"/>
      <c r="G67" s="51">
        <f>F67*E67</f>
        <v>0</v>
      </c>
    </row>
    <row r="68" spans="1:7" ht="24" customHeight="1">
      <c r="A68" s="60"/>
      <c r="B68" s="53">
        <f>E67/36</f>
        <v>40.777968055555554</v>
      </c>
      <c r="C68" s="54">
        <f>B68*1.038</f>
        <v>42.327530841666665</v>
      </c>
      <c r="D68" s="55" t="s">
        <v>33</v>
      </c>
      <c r="E68" s="61">
        <f>61.62*0.8</f>
        <v>49.295999999999999</v>
      </c>
      <c r="F68" s="62"/>
      <c r="G68" s="57"/>
    </row>
    <row r="69" spans="1:7" ht="13.5" customHeight="1">
      <c r="A69" s="63"/>
      <c r="B69" s="64"/>
      <c r="C69" s="64" t="s">
        <v>89</v>
      </c>
      <c r="D69" s="64"/>
      <c r="E69" s="65"/>
      <c r="F69" s="66"/>
      <c r="G69" s="66"/>
    </row>
    <row r="70" spans="1:7" ht="13.5" customHeight="1">
      <c r="A70" s="30"/>
      <c r="B70" s="31"/>
      <c r="C70" s="31" t="s">
        <v>90</v>
      </c>
      <c r="D70" s="31"/>
      <c r="E70" s="32">
        <v>1237.9870000000001</v>
      </c>
      <c r="F70" s="33"/>
      <c r="G70" s="33"/>
    </row>
    <row r="71" spans="1:7" ht="13.5" customHeight="1">
      <c r="A71" s="30"/>
      <c r="B71" s="31"/>
      <c r="C71" s="31" t="s">
        <v>91</v>
      </c>
      <c r="D71" s="31"/>
      <c r="E71" s="32">
        <v>0.14899999999999999</v>
      </c>
      <c r="F71" s="33"/>
      <c r="G71" s="33"/>
    </row>
    <row r="72" spans="1:7" ht="24" customHeight="1">
      <c r="A72" s="16">
        <v>4</v>
      </c>
      <c r="B72" s="15" t="s">
        <v>92</v>
      </c>
      <c r="C72" s="15" t="s">
        <v>93</v>
      </c>
      <c r="D72" s="15" t="s">
        <v>31</v>
      </c>
      <c r="E72" s="28">
        <f>4.5*10</f>
        <v>45</v>
      </c>
      <c r="F72" s="29"/>
      <c r="G72" s="29">
        <f>F72*E72</f>
        <v>0</v>
      </c>
    </row>
    <row r="73" spans="1:7" ht="25.5" customHeight="1">
      <c r="A73" s="16">
        <v>5</v>
      </c>
      <c r="B73" s="15" t="s">
        <v>94</v>
      </c>
      <c r="C73" s="15" t="s">
        <v>95</v>
      </c>
      <c r="D73" s="15" t="s">
        <v>31</v>
      </c>
      <c r="E73" s="28">
        <f>SUM(E75:E78)</f>
        <v>514.56166666666672</v>
      </c>
      <c r="F73" s="29"/>
      <c r="G73" s="29">
        <f>F73*E73</f>
        <v>0</v>
      </c>
    </row>
    <row r="74" spans="1:7" ht="15" customHeight="1">
      <c r="A74" s="16"/>
      <c r="B74" s="15"/>
      <c r="C74" s="15" t="s">
        <v>96</v>
      </c>
      <c r="D74" s="15"/>
      <c r="E74" s="28"/>
      <c r="F74" s="67"/>
      <c r="G74" s="29"/>
    </row>
    <row r="75" spans="1:7" ht="17.25" customHeight="1">
      <c r="A75" s="16"/>
      <c r="B75" s="15"/>
      <c r="C75" s="15" t="s">
        <v>30</v>
      </c>
      <c r="D75" s="15"/>
      <c r="E75" s="29">
        <f>(E57+E38+E19)/3.6</f>
        <v>120.72499999999999</v>
      </c>
      <c r="F75" s="29"/>
      <c r="G75" s="29"/>
    </row>
    <row r="76" spans="1:7" ht="17.25" customHeight="1">
      <c r="A76" s="16"/>
      <c r="B76" s="15"/>
      <c r="C76" s="15" t="s">
        <v>34</v>
      </c>
      <c r="D76" s="15"/>
      <c r="E76" s="29">
        <f>(E62+E40+E24)/4.5</f>
        <v>108.97</v>
      </c>
      <c r="F76" s="29"/>
      <c r="G76" s="29"/>
    </row>
    <row r="77" spans="1:7" ht="16.5" customHeight="1">
      <c r="A77" s="16"/>
      <c r="B77" s="15"/>
      <c r="C77" s="15" t="s">
        <v>35</v>
      </c>
      <c r="D77" s="15"/>
      <c r="E77" s="29">
        <f>(E64+E45+E26)/4.5</f>
        <v>161.86666666666667</v>
      </c>
      <c r="F77" s="29"/>
      <c r="G77" s="29"/>
    </row>
    <row r="78" spans="1:7" ht="16.5" customHeight="1">
      <c r="A78" s="16"/>
      <c r="B78" s="15"/>
      <c r="C78" s="15" t="s">
        <v>97</v>
      </c>
      <c r="D78" s="15"/>
      <c r="E78" s="29">
        <f>9*3.5+3*3.5+5*4.5+8*4.5+5*4.5</f>
        <v>123</v>
      </c>
      <c r="F78" s="29"/>
      <c r="G78" s="29"/>
    </row>
    <row r="79" spans="1:7" s="72" customFormat="1" ht="25.5" customHeight="1">
      <c r="A79" s="68"/>
      <c r="B79" s="69"/>
      <c r="C79" s="69" t="s">
        <v>98</v>
      </c>
      <c r="D79" s="69" t="s">
        <v>32</v>
      </c>
      <c r="E79" s="70">
        <v>35</v>
      </c>
      <c r="F79" s="71"/>
      <c r="G79" s="71">
        <f>F79*E79</f>
        <v>0</v>
      </c>
    </row>
    <row r="80" spans="1:7" ht="16.5" customHeight="1">
      <c r="A80" s="16">
        <v>21</v>
      </c>
      <c r="B80" s="15" t="s">
        <v>99</v>
      </c>
      <c r="C80" s="15" t="s">
        <v>100</v>
      </c>
      <c r="D80" s="15" t="s">
        <v>32</v>
      </c>
      <c r="E80" s="28">
        <f>E102</f>
        <v>78</v>
      </c>
      <c r="F80" s="29"/>
      <c r="G80" s="29">
        <f>F80*E80</f>
        <v>0</v>
      </c>
    </row>
    <row r="81" spans="1:7" ht="13.5" customHeight="1">
      <c r="A81" s="34"/>
      <c r="B81" s="35"/>
      <c r="C81" s="35" t="s">
        <v>52</v>
      </c>
      <c r="D81" s="35"/>
      <c r="E81" s="73"/>
      <c r="F81" s="36"/>
      <c r="G81" s="36"/>
    </row>
    <row r="82" spans="1:7" ht="13.5" customHeight="1">
      <c r="A82" s="30">
        <v>3</v>
      </c>
      <c r="B82" s="31">
        <v>1.1000000000000001</v>
      </c>
      <c r="C82" s="31" t="s">
        <v>101</v>
      </c>
      <c r="D82" s="31"/>
      <c r="E82" s="32">
        <f>2*3+1*2</f>
        <v>8</v>
      </c>
      <c r="F82" s="33"/>
      <c r="G82" s="33"/>
    </row>
    <row r="83" spans="1:7" ht="13.5" customHeight="1">
      <c r="A83" s="30">
        <v>1</v>
      </c>
      <c r="B83" s="31">
        <v>1.3</v>
      </c>
      <c r="C83" s="31" t="s">
        <v>102</v>
      </c>
      <c r="D83" s="31"/>
      <c r="E83" s="32">
        <v>2</v>
      </c>
      <c r="F83" s="33"/>
      <c r="G83" s="33"/>
    </row>
    <row r="84" spans="1:7" ht="13.5" customHeight="1">
      <c r="A84" s="30"/>
      <c r="B84" s="31"/>
      <c r="C84" s="31" t="s">
        <v>103</v>
      </c>
      <c r="D84" s="31"/>
      <c r="E84" s="32">
        <f>1*3</f>
        <v>3</v>
      </c>
      <c r="F84" s="33"/>
      <c r="G84" s="33"/>
    </row>
    <row r="85" spans="1:7" ht="13.5" customHeight="1">
      <c r="A85" s="30">
        <v>5</v>
      </c>
      <c r="B85" s="31">
        <v>0.8</v>
      </c>
      <c r="C85" s="31" t="s">
        <v>104</v>
      </c>
      <c r="D85" s="31"/>
      <c r="E85" s="32">
        <f>5*1</f>
        <v>5</v>
      </c>
      <c r="F85" s="33"/>
      <c r="G85" s="33"/>
    </row>
    <row r="86" spans="1:7" ht="13.5" customHeight="1">
      <c r="A86" s="30">
        <v>4</v>
      </c>
      <c r="B86" s="31">
        <v>0.8</v>
      </c>
      <c r="C86" s="31" t="s">
        <v>105</v>
      </c>
      <c r="D86" s="31"/>
      <c r="E86" s="32">
        <f>4*1</f>
        <v>4</v>
      </c>
      <c r="F86" s="33"/>
      <c r="G86" s="33"/>
    </row>
    <row r="87" spans="1:7" ht="13.5" customHeight="1">
      <c r="A87" s="30">
        <v>2</v>
      </c>
      <c r="B87" s="31">
        <v>0.9</v>
      </c>
      <c r="C87" s="31" t="s">
        <v>106</v>
      </c>
      <c r="D87" s="31"/>
      <c r="E87" s="32">
        <v>2</v>
      </c>
      <c r="F87" s="33"/>
      <c r="G87" s="33"/>
    </row>
    <row r="88" spans="1:7" ht="13.5" customHeight="1">
      <c r="A88" s="30">
        <v>4</v>
      </c>
      <c r="B88" s="31">
        <v>0.6</v>
      </c>
      <c r="C88" s="31" t="s">
        <v>107</v>
      </c>
      <c r="D88" s="31"/>
      <c r="E88" s="32">
        <f>4*2+2</f>
        <v>10</v>
      </c>
      <c r="F88" s="33"/>
      <c r="G88" s="33"/>
    </row>
    <row r="89" spans="1:7" ht="13.5" customHeight="1">
      <c r="A89" s="30">
        <v>4</v>
      </c>
      <c r="B89" s="31">
        <v>1.6</v>
      </c>
      <c r="C89" s="31" t="s">
        <v>108</v>
      </c>
      <c r="D89" s="31"/>
      <c r="E89" s="32">
        <f>4*2</f>
        <v>8</v>
      </c>
      <c r="F89" s="33"/>
      <c r="G89" s="33"/>
    </row>
    <row r="90" spans="1:7" ht="13.5" customHeight="1">
      <c r="A90" s="34"/>
      <c r="B90" s="35"/>
      <c r="C90" s="35"/>
      <c r="D90" s="35"/>
      <c r="E90" s="73"/>
      <c r="F90" s="36"/>
      <c r="G90" s="36"/>
    </row>
    <row r="91" spans="1:7" ht="13.5" customHeight="1">
      <c r="A91" s="39"/>
      <c r="B91" s="40"/>
      <c r="C91" s="40" t="s">
        <v>56</v>
      </c>
      <c r="D91" s="40"/>
      <c r="E91" s="41">
        <f>SUM(E82:E90)</f>
        <v>42</v>
      </c>
      <c r="F91" s="42"/>
      <c r="G91" s="42"/>
    </row>
    <row r="92" spans="1:7" ht="13.5" customHeight="1">
      <c r="A92" s="34"/>
      <c r="B92" s="35"/>
      <c r="C92" s="35" t="s">
        <v>57</v>
      </c>
      <c r="D92" s="35"/>
      <c r="E92" s="73"/>
      <c r="F92" s="36"/>
      <c r="G92" s="36"/>
    </row>
    <row r="93" spans="1:7" ht="13.5" customHeight="1">
      <c r="A93" s="30">
        <v>6</v>
      </c>
      <c r="B93" s="31">
        <v>2.2000000000000002</v>
      </c>
      <c r="C93" s="31" t="s">
        <v>109</v>
      </c>
      <c r="D93" s="31"/>
      <c r="E93" s="32">
        <f>6*2</f>
        <v>12</v>
      </c>
      <c r="F93" s="33"/>
      <c r="G93" s="33"/>
    </row>
    <row r="94" spans="1:7" ht="13.5" customHeight="1">
      <c r="A94" s="39"/>
      <c r="B94" s="40"/>
      <c r="C94" s="40" t="s">
        <v>58</v>
      </c>
      <c r="D94" s="40"/>
      <c r="E94" s="41">
        <f>E93</f>
        <v>12</v>
      </c>
      <c r="F94" s="42"/>
      <c r="G94" s="42"/>
    </row>
    <row r="95" spans="1:7" ht="13.5" customHeight="1">
      <c r="A95" s="34"/>
      <c r="B95" s="35"/>
      <c r="C95" s="35" t="s">
        <v>85</v>
      </c>
      <c r="D95" s="35"/>
      <c r="E95" s="73"/>
      <c r="F95" s="36"/>
      <c r="G95" s="36"/>
    </row>
    <row r="96" spans="1:7" ht="13.5" customHeight="1">
      <c r="A96" s="30">
        <v>6</v>
      </c>
      <c r="B96" s="31">
        <v>2</v>
      </c>
      <c r="C96" s="31" t="s">
        <v>110</v>
      </c>
      <c r="D96" s="31"/>
      <c r="E96" s="32">
        <f>6*2</f>
        <v>12</v>
      </c>
      <c r="F96" s="33"/>
      <c r="G96" s="33"/>
    </row>
    <row r="97" spans="1:7" ht="13.5" customHeight="1">
      <c r="A97" s="30">
        <v>2</v>
      </c>
      <c r="B97" s="31">
        <v>1.1000000000000001</v>
      </c>
      <c r="C97" s="31" t="s">
        <v>111</v>
      </c>
      <c r="D97" s="31"/>
      <c r="E97" s="32">
        <f>2*2</f>
        <v>4</v>
      </c>
      <c r="F97" s="33"/>
      <c r="G97" s="33"/>
    </row>
    <row r="98" spans="1:7" ht="13.5" customHeight="1">
      <c r="A98" s="30">
        <v>4</v>
      </c>
      <c r="B98" s="31">
        <v>0.9</v>
      </c>
      <c r="C98" s="31" t="s">
        <v>112</v>
      </c>
      <c r="D98" s="31"/>
      <c r="E98" s="32">
        <f>4*1</f>
        <v>4</v>
      </c>
      <c r="F98" s="33"/>
      <c r="G98" s="33"/>
    </row>
    <row r="99" spans="1:7" ht="13.5" customHeight="1">
      <c r="A99" s="30">
        <v>2</v>
      </c>
      <c r="B99" s="31">
        <v>0.7</v>
      </c>
      <c r="C99" s="31" t="s">
        <v>113</v>
      </c>
      <c r="D99" s="31"/>
      <c r="E99" s="32">
        <f>2*1</f>
        <v>2</v>
      </c>
      <c r="F99" s="33"/>
      <c r="G99" s="33"/>
    </row>
    <row r="100" spans="1:7" ht="13.5" customHeight="1">
      <c r="A100" s="30">
        <v>2</v>
      </c>
      <c r="B100" s="31">
        <v>3</v>
      </c>
      <c r="C100" s="31" t="s">
        <v>114</v>
      </c>
      <c r="D100" s="31"/>
      <c r="E100" s="32">
        <f>1*2</f>
        <v>2</v>
      </c>
      <c r="F100" s="33"/>
      <c r="G100" s="33"/>
    </row>
    <row r="101" spans="1:7" ht="13.5" customHeight="1">
      <c r="A101" s="39"/>
      <c r="B101" s="40"/>
      <c r="C101" s="40" t="s">
        <v>64</v>
      </c>
      <c r="D101" s="40"/>
      <c r="E101" s="41">
        <f>SUM(E96:E100)</f>
        <v>24</v>
      </c>
      <c r="F101" s="42"/>
      <c r="G101" s="42"/>
    </row>
    <row r="102" spans="1:7" ht="13.5" customHeight="1">
      <c r="A102" s="43"/>
      <c r="B102" s="44"/>
      <c r="C102" s="44" t="s">
        <v>36</v>
      </c>
      <c r="D102" s="44"/>
      <c r="E102" s="45">
        <f>E101+E94+E91</f>
        <v>78</v>
      </c>
      <c r="F102" s="46"/>
      <c r="G102" s="46"/>
    </row>
    <row r="103" spans="1:7" s="72" customFormat="1" ht="13.5" customHeight="1">
      <c r="A103" s="68">
        <v>9</v>
      </c>
      <c r="B103" s="69" t="s">
        <v>115</v>
      </c>
      <c r="C103" s="69" t="s">
        <v>116</v>
      </c>
      <c r="D103" s="69" t="s">
        <v>32</v>
      </c>
      <c r="E103" s="70">
        <f>SUM(E104:E109)</f>
        <v>78</v>
      </c>
      <c r="F103" s="71"/>
      <c r="G103" s="71"/>
    </row>
    <row r="104" spans="1:7" ht="13.5" customHeight="1">
      <c r="A104" s="16"/>
      <c r="B104" s="15">
        <v>13</v>
      </c>
      <c r="C104" s="15" t="s">
        <v>117</v>
      </c>
      <c r="D104" s="15" t="s">
        <v>32</v>
      </c>
      <c r="E104" s="28">
        <f>E99+E88+E86+E85</f>
        <v>21</v>
      </c>
      <c r="F104" s="29"/>
      <c r="G104" s="29">
        <f>F104*E104</f>
        <v>0</v>
      </c>
    </row>
    <row r="105" spans="1:7" ht="13.5" customHeight="1">
      <c r="A105" s="16"/>
      <c r="B105" s="74">
        <v>16</v>
      </c>
      <c r="C105" s="15" t="s">
        <v>118</v>
      </c>
      <c r="D105" s="15" t="s">
        <v>32</v>
      </c>
      <c r="E105" s="28">
        <f>E98+E87</f>
        <v>6</v>
      </c>
      <c r="F105" s="29"/>
      <c r="G105" s="29">
        <f>F105*E105</f>
        <v>0</v>
      </c>
    </row>
    <row r="106" spans="1:7" ht="13.5" customHeight="1">
      <c r="A106" s="16"/>
      <c r="B106" s="15"/>
      <c r="C106" s="15" t="s">
        <v>119</v>
      </c>
      <c r="D106" s="15" t="s">
        <v>32</v>
      </c>
      <c r="E106" s="28">
        <f>E97+E82</f>
        <v>12</v>
      </c>
      <c r="F106" s="29"/>
      <c r="G106" s="29">
        <f>F106*E106</f>
        <v>0</v>
      </c>
    </row>
    <row r="107" spans="1:7" ht="13.5" customHeight="1">
      <c r="A107" s="16"/>
      <c r="B107" s="15">
        <v>20</v>
      </c>
      <c r="C107" s="15" t="s">
        <v>120</v>
      </c>
      <c r="D107" s="15" t="s">
        <v>32</v>
      </c>
      <c r="E107" s="28">
        <f>E83</f>
        <v>2</v>
      </c>
      <c r="F107" s="29"/>
      <c r="G107" s="29">
        <f>F107*E107</f>
        <v>0</v>
      </c>
    </row>
    <row r="108" spans="1:7" ht="13.5" customHeight="1">
      <c r="A108" s="16"/>
      <c r="B108" s="15">
        <f>2*(1)+2*(1)</f>
        <v>4</v>
      </c>
      <c r="C108" s="15" t="s">
        <v>121</v>
      </c>
      <c r="D108" s="15" t="s">
        <v>32</v>
      </c>
      <c r="E108" s="28">
        <f>E89</f>
        <v>8</v>
      </c>
      <c r="F108" s="29"/>
      <c r="G108" s="29">
        <f>F108*E108</f>
        <v>0</v>
      </c>
    </row>
    <row r="109" spans="1:7" ht="13.5" customHeight="1">
      <c r="A109" s="16"/>
      <c r="B109" s="15">
        <v>12</v>
      </c>
      <c r="C109" s="15" t="s">
        <v>122</v>
      </c>
      <c r="D109" s="15" t="s">
        <v>32</v>
      </c>
      <c r="E109" s="28">
        <f>E100+E93+E84+E96</f>
        <v>29</v>
      </c>
      <c r="F109" s="29"/>
      <c r="G109" s="29">
        <f>F109*41.23</f>
        <v>0</v>
      </c>
    </row>
    <row r="110" spans="1:7" ht="28.5" customHeight="1">
      <c r="A110" s="13"/>
      <c r="B110" s="14" t="s">
        <v>123</v>
      </c>
      <c r="C110" s="14" t="s">
        <v>124</v>
      </c>
      <c r="D110" s="14"/>
      <c r="E110" s="26"/>
      <c r="F110" s="27"/>
      <c r="G110" s="27">
        <f>SUM(G111:G118)</f>
        <v>0</v>
      </c>
    </row>
    <row r="111" spans="1:7" ht="34.5" customHeight="1">
      <c r="A111" s="16">
        <v>10</v>
      </c>
      <c r="B111" s="15" t="s">
        <v>125</v>
      </c>
      <c r="C111" s="15" t="s">
        <v>126</v>
      </c>
      <c r="D111" s="15" t="s">
        <v>33</v>
      </c>
      <c r="E111" s="28">
        <v>470</v>
      </c>
      <c r="F111" s="29"/>
      <c r="G111" s="29">
        <f>F111*E111</f>
        <v>0</v>
      </c>
    </row>
    <row r="112" spans="1:7" ht="13.5" customHeight="1">
      <c r="A112" s="2"/>
      <c r="B112" s="2"/>
      <c r="C112" s="2">
        <v>150</v>
      </c>
      <c r="D112" s="2"/>
      <c r="E112" s="17">
        <f>946/60</f>
        <v>15.766666666666667</v>
      </c>
      <c r="F112" s="2"/>
      <c r="G112" s="2"/>
    </row>
    <row r="113" spans="1:7" ht="13.5" customHeight="1">
      <c r="A113" s="2"/>
      <c r="B113" s="2"/>
      <c r="C113" s="2">
        <v>200</v>
      </c>
      <c r="D113" s="2"/>
      <c r="E113" s="17">
        <f>946/42</f>
        <v>22.523809523809526</v>
      </c>
      <c r="F113" s="2"/>
      <c r="G113" s="2"/>
    </row>
    <row r="114" spans="1:7" ht="13.5" customHeight="1">
      <c r="A114" s="2"/>
      <c r="B114" s="2"/>
      <c r="C114" s="2">
        <v>250</v>
      </c>
      <c r="D114" s="2"/>
      <c r="E114" s="17">
        <f>1038/36</f>
        <v>28.833333333333332</v>
      </c>
      <c r="F114" s="2"/>
      <c r="G114" s="2"/>
    </row>
    <row r="115" spans="1:7" ht="13.5" customHeight="1">
      <c r="A115" s="2"/>
      <c r="B115" s="2"/>
      <c r="C115" s="59" t="s">
        <v>127</v>
      </c>
      <c r="D115" s="2"/>
      <c r="E115" s="2">
        <f>E102*25*0.001</f>
        <v>1.95</v>
      </c>
      <c r="F115" s="2"/>
      <c r="G115" s="2"/>
    </row>
    <row r="116" spans="1:7" ht="13.5" customHeight="1">
      <c r="A116" s="2"/>
      <c r="B116" s="2"/>
      <c r="C116" s="59" t="s">
        <v>128</v>
      </c>
      <c r="D116" s="2"/>
      <c r="E116" s="17">
        <f>25</f>
        <v>25</v>
      </c>
      <c r="F116" s="2"/>
      <c r="G116" s="17"/>
    </row>
    <row r="117" spans="1:7" ht="13.5" customHeight="1">
      <c r="A117" s="2"/>
      <c r="B117" s="75"/>
      <c r="C117" s="76" t="s">
        <v>129</v>
      </c>
      <c r="D117" s="75" t="s">
        <v>29</v>
      </c>
      <c r="E117" s="77">
        <f>E111*0.1</f>
        <v>47</v>
      </c>
      <c r="F117" s="77"/>
      <c r="G117" s="78">
        <f>F117*E117</f>
        <v>0</v>
      </c>
    </row>
    <row r="118" spans="1:7" ht="45" customHeight="1">
      <c r="A118" s="16">
        <v>11</v>
      </c>
      <c r="B118" s="79" t="s">
        <v>130</v>
      </c>
      <c r="C118" s="79" t="s">
        <v>131</v>
      </c>
      <c r="D118" s="79" t="s">
        <v>33</v>
      </c>
      <c r="E118" s="80">
        <f>E111</f>
        <v>470</v>
      </c>
      <c r="F118" s="81"/>
      <c r="G118" s="81">
        <f>F118*E118</f>
        <v>0</v>
      </c>
    </row>
    <row r="119" spans="1:7" ht="12" customHeight="1">
      <c r="B119" s="83">
        <f>22*0.946</f>
        <v>20.811999999999998</v>
      </c>
      <c r="C119" s="84">
        <f>F119*E119*1.1</f>
        <v>0</v>
      </c>
    </row>
  </sheetData>
  <mergeCells count="2">
    <mergeCell ref="A1:G1"/>
    <mergeCell ref="E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</dc:creator>
  <cp:lastModifiedBy>Horn</cp:lastModifiedBy>
  <dcterms:created xsi:type="dcterms:W3CDTF">2022-10-10T04:27:48Z</dcterms:created>
  <dcterms:modified xsi:type="dcterms:W3CDTF">2022-10-10T04:37:27Z</dcterms:modified>
</cp:coreProperties>
</file>