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tas/Downloads/"/>
    </mc:Choice>
  </mc:AlternateContent>
  <xr:revisionPtr revIDLastSave="0" documentId="13_ncr:1_{37402637-3DC9-8349-BB23-6C8A5E4944F0}" xr6:coauthVersionLast="45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Krycí list" sheetId="1" r:id="rId1"/>
    <sheet name="Rozpocet" sheetId="3" r:id="rId2"/>
    <sheet name="Krov" sheetId="4" r:id="rId3"/>
  </sheets>
  <definedNames>
    <definedName name="_xlnm.Print_Area" localSheetId="1">Rozpocet!$A$1:$R$172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H59" i="3" l="1"/>
  <c r="H139" i="3"/>
  <c r="H131" i="3"/>
  <c r="H133" i="3"/>
  <c r="H135" i="3"/>
  <c r="H137" i="3"/>
  <c r="C18" i="4" l="1"/>
  <c r="C22" i="4"/>
  <c r="C20" i="4"/>
  <c r="C16" i="4"/>
  <c r="C23" i="4" s="1"/>
  <c r="L41" i="3"/>
  <c r="N41" i="3"/>
  <c r="H154" i="3" l="1"/>
  <c r="H157" i="3"/>
  <c r="C10" i="4" l="1"/>
  <c r="D10" i="4" s="1"/>
  <c r="C8" i="4"/>
  <c r="D8" i="4" s="1"/>
  <c r="C9" i="4"/>
  <c r="D9" i="4" s="1"/>
  <c r="C5" i="4"/>
  <c r="D5" i="4" s="1"/>
  <c r="C3" i="4"/>
  <c r="D3" i="4" s="1"/>
  <c r="C4" i="4"/>
  <c r="D4" i="4" s="1"/>
  <c r="C2" i="4"/>
  <c r="D2" i="4" s="1"/>
  <c r="C6" i="4"/>
  <c r="D6" i="4" s="1"/>
  <c r="C7" i="4"/>
  <c r="D7" i="4" s="1"/>
  <c r="F11" i="4" l="1"/>
  <c r="D11" i="4"/>
  <c r="H3" i="3"/>
  <c r="H150" i="3"/>
  <c r="H100" i="3" l="1"/>
  <c r="H68" i="3" l="1"/>
  <c r="H56" i="3" l="1"/>
  <c r="H67" i="3" l="1"/>
  <c r="M20" i="3" l="1"/>
  <c r="L20" i="3"/>
  <c r="N20" i="3" l="1"/>
  <c r="R43" i="1" l="1"/>
  <c r="R44" i="1" s="1"/>
  <c r="E45" i="1"/>
  <c r="R45" i="1"/>
  <c r="H5" i="3"/>
  <c r="H4" i="3"/>
  <c r="E35" i="1"/>
  <c r="J35" i="1"/>
  <c r="R35" i="1"/>
  <c r="P38" i="1"/>
  <c r="P39" i="1"/>
  <c r="P40" i="1"/>
  <c r="P41" i="1"/>
  <c r="P42" i="1"/>
  <c r="J44" i="1"/>
  <c r="K45" i="1"/>
  <c r="L17" i="3"/>
  <c r="N17" i="3"/>
  <c r="L22" i="3"/>
  <c r="L32" i="3"/>
  <c r="L35" i="3"/>
  <c r="N22" i="3"/>
  <c r="N32" i="3"/>
  <c r="N35" i="3"/>
  <c r="L55" i="3"/>
  <c r="L56" i="3"/>
  <c r="L57" i="3"/>
  <c r="N55" i="3"/>
  <c r="N56" i="3"/>
  <c r="N57" i="3"/>
  <c r="L59" i="3"/>
  <c r="N59" i="3"/>
  <c r="N62" i="3"/>
  <c r="N60" i="3" s="1"/>
  <c r="L62" i="3"/>
  <c r="L60" i="3" s="1"/>
  <c r="L65" i="3"/>
  <c r="L68" i="3"/>
  <c r="L69" i="3"/>
  <c r="N65" i="3"/>
  <c r="N68" i="3"/>
  <c r="N69" i="3"/>
  <c r="L73" i="3"/>
  <c r="L74" i="3"/>
  <c r="N73" i="3"/>
  <c r="N74" i="3"/>
  <c r="L79" i="3"/>
  <c r="L80" i="3"/>
  <c r="L81" i="3"/>
  <c r="N79" i="3"/>
  <c r="N80" i="3"/>
  <c r="N81" i="3"/>
  <c r="L83" i="3"/>
  <c r="L84" i="3"/>
  <c r="N83" i="3"/>
  <c r="N84" i="3"/>
  <c r="L91" i="3"/>
  <c r="N91" i="3"/>
  <c r="L117" i="3"/>
  <c r="L143" i="3"/>
  <c r="N117" i="3"/>
  <c r="N143" i="3"/>
  <c r="L147" i="3"/>
  <c r="N147" i="3"/>
  <c r="L151" i="3"/>
  <c r="N151" i="3"/>
  <c r="L154" i="3"/>
  <c r="N154" i="3"/>
  <c r="L157" i="3"/>
  <c r="N157" i="3"/>
  <c r="L163" i="3"/>
  <c r="L164" i="3"/>
  <c r="L165" i="3"/>
  <c r="L166" i="3"/>
  <c r="N163" i="3"/>
  <c r="N164" i="3"/>
  <c r="N165" i="3"/>
  <c r="N166" i="3"/>
  <c r="N67" i="3"/>
  <c r="L67" i="3"/>
  <c r="L15" i="3" l="1"/>
  <c r="N155" i="3"/>
  <c r="N153" i="3" s="1"/>
  <c r="N15" i="3"/>
  <c r="N149" i="3"/>
  <c r="L85" i="3"/>
  <c r="L58" i="3"/>
  <c r="N156" i="3"/>
  <c r="N85" i="3"/>
  <c r="N72" i="3"/>
  <c r="N45" i="3"/>
  <c r="N19" i="3"/>
  <c r="L149" i="3"/>
  <c r="N64" i="3"/>
  <c r="N82" i="3"/>
  <c r="L72" i="3"/>
  <c r="L158" i="3"/>
  <c r="L156" i="3"/>
  <c r="L82" i="3"/>
  <c r="L155" i="3"/>
  <c r="L153" i="3" s="1"/>
  <c r="L146" i="3"/>
  <c r="N146" i="3"/>
  <c r="L116" i="3"/>
  <c r="N78" i="3"/>
  <c r="N158" i="3"/>
  <c r="N116" i="3"/>
  <c r="L78" i="3"/>
  <c r="L64" i="3"/>
  <c r="N58" i="3"/>
  <c r="L45" i="3"/>
  <c r="N40" i="3"/>
  <c r="L40" i="3"/>
  <c r="L19" i="3"/>
  <c r="N63" i="3" l="1"/>
  <c r="L63" i="3"/>
  <c r="N14" i="3"/>
  <c r="L14" i="3"/>
  <c r="E44" i="1" l="1"/>
  <c r="N167" i="3"/>
  <c r="L167" i="3"/>
  <c r="R47" i="1" l="1"/>
  <c r="R48" i="1" l="1"/>
  <c r="R50" i="1" s="1"/>
</calcChain>
</file>

<file path=xl/sharedStrings.xml><?xml version="1.0" encoding="utf-8"?>
<sst xmlns="http://schemas.openxmlformats.org/spreadsheetml/2006/main" count="658" uniqueCount="370">
  <si>
    <t>KRYCÍ LIST ROZPOČTU</t>
  </si>
  <si>
    <t>Název stavby</t>
  </si>
  <si>
    <t>JKSO</t>
  </si>
  <si>
    <t xml:space="preserve"> </t>
  </si>
  <si>
    <t>Kód stavby</t>
  </si>
  <si>
    <t>00164</t>
  </si>
  <si>
    <t>Název objektu</t>
  </si>
  <si>
    <t>EČO</t>
  </si>
  <si>
    <t>Kód objektu</t>
  </si>
  <si>
    <t>01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</si>
  <si>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</si>
  <si>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</si>
  <si>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</si>
  <si>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</si>
  <si>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</si>
  <si>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</si>
  <si>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</si>
  <si>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</si>
  <si>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</si>
  <si>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</si>
  <si>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</si>
  <si>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</si>
  <si>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</si>
  <si>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</si>
  <si>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</si>
  <si>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</si>
  <si>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</si>
  <si>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</si>
  <si>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</si>
  <si>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</si>
  <si>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</si>
  <si>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</si>
  <si>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</si>
  <si>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</si>
  <si>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</si>
  <si>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</si>
  <si>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</si>
  <si>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</si>
  <si>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</si>
  <si>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</si>
  <si>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</si>
  <si>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</si>
  <si>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</si>
  <si>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</si>
  <si>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</si>
  <si>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</si>
  <si>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</si>
  <si>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</si>
  <si>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</si>
  <si>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</si>
  <si>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</si>
  <si>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</si>
  <si>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</si>
  <si>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</si>
  <si>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</si>
  <si>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</si>
  <si>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</si>
  <si>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</si>
  <si>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</si>
  <si>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</si>
  <si>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</si>
  <si>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</si>
  <si>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</si>
  <si>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</si>
  <si>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</si>
  <si>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</si>
  <si>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</si>
  <si>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</si>
  <si>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</si>
  <si>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</si>
  <si>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</si>
  <si>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</si>
  <si>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</si>
  <si>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</si>
  <si>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</si>
  <si>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</si>
  <si>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</si>
  <si>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Popis</t>
  </si>
  <si>
    <t>Hmotnost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</si>
  <si>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</si>
  <si>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</si>
  <si>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</si>
  <si>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</si>
  <si>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</si>
  <si>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</si>
  <si>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</si>
  <si>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</si>
  <si>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</si>
  <si>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</si>
  <si>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</si>
  <si>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</si>
  <si>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</si>
  <si>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</si>
  <si>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</si>
  <si>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</si>
  <si>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</si>
  <si>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</si>
  <si>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</si>
  <si>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</si>
  <si>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</si>
  <si>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</si>
  <si>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m3</t>
  </si>
  <si>
    <t>2</t>
  </si>
  <si>
    <t>3</t>
  </si>
  <si>
    <t>4</t>
  </si>
  <si>
    <t>5</t>
  </si>
  <si>
    <t>175101101</t>
  </si>
  <si>
    <t>M</t>
  </si>
  <si>
    <t>MAT</t>
  </si>
  <si>
    <t>t</t>
  </si>
  <si>
    <t>711</t>
  </si>
  <si>
    <t>m2</t>
  </si>
  <si>
    <t>m</t>
  </si>
  <si>
    <t>kus</t>
  </si>
  <si>
    <t>24</t>
  </si>
  <si>
    <t>011</t>
  </si>
  <si>
    <t>25</t>
  </si>
  <si>
    <t>28</t>
  </si>
  <si>
    <t>272361821</t>
  </si>
  <si>
    <t>Svislé a kompletní konstrukce</t>
  </si>
  <si>
    <t>37</t>
  </si>
  <si>
    <t>311238115</t>
  </si>
  <si>
    <t>Vodorovné konstrukce</t>
  </si>
  <si>
    <t>46</t>
  </si>
  <si>
    <t>411354171</t>
  </si>
  <si>
    <t>47</t>
  </si>
  <si>
    <t>411354172</t>
  </si>
  <si>
    <t>48</t>
  </si>
  <si>
    <t>411361821</t>
  </si>
  <si>
    <t>63</t>
  </si>
  <si>
    <t>54</t>
  </si>
  <si>
    <t>631311115</t>
  </si>
  <si>
    <t>61</t>
  </si>
  <si>
    <t>Úprava povrchů vnitřní</t>
  </si>
  <si>
    <t>58</t>
  </si>
  <si>
    <t>612421637</t>
  </si>
  <si>
    <t>Přesun hmot</t>
  </si>
  <si>
    <t>Přesun hmot pro budovy zděné výšky do 6 m</t>
  </si>
  <si>
    <t>Práce a dodávky PSV</t>
  </si>
  <si>
    <t>Izolace proti vodě, vlhkosti a plynům</t>
  </si>
  <si>
    <t>69</t>
  </si>
  <si>
    <t>711111051</t>
  </si>
  <si>
    <t>70</t>
  </si>
  <si>
    <t>245510400</t>
  </si>
  <si>
    <t>kg</t>
  </si>
  <si>
    <t>71</t>
  </si>
  <si>
    <t>711112051</t>
  </si>
  <si>
    <t>72</t>
  </si>
  <si>
    <t>713</t>
  </si>
  <si>
    <t>Izolace tepelné</t>
  </si>
  <si>
    <t>74</t>
  </si>
  <si>
    <t>713121111</t>
  </si>
  <si>
    <t>75</t>
  </si>
  <si>
    <t>283758830</t>
  </si>
  <si>
    <t>720</t>
  </si>
  <si>
    <t>Zdravotechnické instalace</t>
  </si>
  <si>
    <t>78</t>
  </si>
  <si>
    <t>PK</t>
  </si>
  <si>
    <t>720000010</t>
  </si>
  <si>
    <t>Zdravotní instalace vnitřní</t>
  </si>
  <si>
    <t>kpl</t>
  </si>
  <si>
    <t>79</t>
  </si>
  <si>
    <t>720000020</t>
  </si>
  <si>
    <t>Zdravotní instalace vnitřní - zařizovací předměty</t>
  </si>
  <si>
    <t>81</t>
  </si>
  <si>
    <t>720000999</t>
  </si>
  <si>
    <t>Stavební přípomoce ZI</t>
  </si>
  <si>
    <t>730</t>
  </si>
  <si>
    <t>82</t>
  </si>
  <si>
    <t>730000010</t>
  </si>
  <si>
    <t>84</t>
  </si>
  <si>
    <t>730000999</t>
  </si>
  <si>
    <t>Stavební přípomoce ÚT</t>
  </si>
  <si>
    <t>762</t>
  </si>
  <si>
    <t>Konstrukce tesařské</t>
  </si>
  <si>
    <t>85</t>
  </si>
  <si>
    <t>762000001</t>
  </si>
  <si>
    <t>766</t>
  </si>
  <si>
    <t>Konstrukce truhlářské</t>
  </si>
  <si>
    <t>100</t>
  </si>
  <si>
    <t>766621010</t>
  </si>
  <si>
    <t>118</t>
  </si>
  <si>
    <t>766660171</t>
  </si>
  <si>
    <t>771</t>
  </si>
  <si>
    <t>Podlahy z dlaždic</t>
  </si>
  <si>
    <t>135</t>
  </si>
  <si>
    <t>771574112</t>
  </si>
  <si>
    <t>775</t>
  </si>
  <si>
    <t>143</t>
  </si>
  <si>
    <t>775541111</t>
  </si>
  <si>
    <t>781</t>
  </si>
  <si>
    <t>Dokončovací práce - obklady keramické</t>
  </si>
  <si>
    <t>148</t>
  </si>
  <si>
    <t>781414111</t>
  </si>
  <si>
    <t>149</t>
  </si>
  <si>
    <t>597610591</t>
  </si>
  <si>
    <t>784</t>
  </si>
  <si>
    <t>Dokončovací práce - malby</t>
  </si>
  <si>
    <t>153</t>
  </si>
  <si>
    <t>784453621</t>
  </si>
  <si>
    <t>Malby směsi PRIMALEX bílé dvojnásobné místnost v do 3,8 m</t>
  </si>
  <si>
    <t>155</t>
  </si>
  <si>
    <t>M21000010</t>
  </si>
  <si>
    <t>Elektroinstalace - silnoproud</t>
  </si>
  <si>
    <t>156</t>
  </si>
  <si>
    <t>M21000020</t>
  </si>
  <si>
    <t>Elektroinstalace - slaboproud</t>
  </si>
  <si>
    <t>157</t>
  </si>
  <si>
    <t>M21000030</t>
  </si>
  <si>
    <t>Elektroinstalace - hromosvod</t>
  </si>
  <si>
    <t>158</t>
  </si>
  <si>
    <t>M21000999</t>
  </si>
  <si>
    <t>Stavební přípomoce EI</t>
  </si>
  <si>
    <t>Provedení penetrace asfaltovým lakem</t>
  </si>
  <si>
    <t>Věnce ze ŽB tř. C 25/30</t>
  </si>
  <si>
    <t>Zřízení bednění věnců</t>
  </si>
  <si>
    <t>Odstranění bednění věnců</t>
  </si>
  <si>
    <t>Konstrukce pokrývačské</t>
  </si>
  <si>
    <t>Montáž izolace tepelné střechy</t>
  </si>
  <si>
    <t>Konstrukce klempířské</t>
  </si>
  <si>
    <t>Provedení vodorovné izolace proti zemní vlhkosti živičnými pásy</t>
  </si>
  <si>
    <t>Provedení svislé izolace proti zemní vlhkosti živičnými pásy</t>
  </si>
  <si>
    <t>Dodávka a montáž vnitřních dveří vč. obložkové zárubně a kování</t>
  </si>
  <si>
    <t>Elektromontáže</t>
  </si>
  <si>
    <t xml:space="preserve">Výztuž věnců betonářskou ocelí 10 505 </t>
  </si>
  <si>
    <t>Cena celkem bez DPH</t>
  </si>
  <si>
    <t xml:space="preserve">Živičné pásy </t>
  </si>
  <si>
    <t>Zásyp rýh pro potrubí  z hornin tř. 1 až 4 uloženým do 3 m od kraje výkopu</t>
  </si>
  <si>
    <t>Asfaltová penetrace</t>
  </si>
  <si>
    <t xml:space="preserve">Ústřední vytápění </t>
  </si>
  <si>
    <t>D+M latí a kontralatí</t>
  </si>
  <si>
    <t>D+M pojistné hydroizolace</t>
  </si>
  <si>
    <t>D+M střešní krytiny včetně příslušenství</t>
  </si>
  <si>
    <t>Mazanina tl do 70 mm z betonu prostého tř. C 20/25</t>
  </si>
  <si>
    <t>Montáž obkladaček keramických lepených flexibilním lepidlem</t>
  </si>
  <si>
    <t xml:space="preserve">Montáž a demontáž lešení </t>
  </si>
  <si>
    <t xml:space="preserve">Montáž izolace tepelné podlah volně kladenými deskami </t>
  </si>
  <si>
    <t>minerální vata tl. 160 mm</t>
  </si>
  <si>
    <t>D+M krov</t>
  </si>
  <si>
    <t>Číslo řádku</t>
  </si>
  <si>
    <t>Sdk podhled v přízemí - desky 1xDF tl.15 mm</t>
  </si>
  <si>
    <t>Sdk podhled v koupelně v přízemí - desky 1xDF tl.15 mm do vlhkých prostorů</t>
  </si>
  <si>
    <t>Podlahy povlakové</t>
  </si>
  <si>
    <t>Montáž podlah vinylových</t>
  </si>
  <si>
    <t>Konstrukce montované z desek, dílců a panelů</t>
  </si>
  <si>
    <t>Rodinný dům</t>
  </si>
  <si>
    <t>Montáž podlah keramických lepených flexibilním lepidlem do 9 ks/m2</t>
  </si>
  <si>
    <t xml:space="preserve">dlaždice keramické </t>
  </si>
  <si>
    <t>Podlahy a zpevněné plochy</t>
  </si>
  <si>
    <t>Dřevěné schodiště vč. zábradlí</t>
  </si>
  <si>
    <t>Hloubení rýh š do 600 mm v hornině tř. 3 ručně</t>
  </si>
  <si>
    <t>Provedení nopové fólie šíře 500 mm včetně krycího oplechování</t>
  </si>
  <si>
    <t>ks</t>
  </si>
  <si>
    <t>Samonivelační stěrka pod vinyl</t>
  </si>
  <si>
    <t>Krokve 120/180</t>
  </si>
  <si>
    <t>Horní kleštiny 80/160</t>
  </si>
  <si>
    <t>Dolní kleštiny 80/200</t>
  </si>
  <si>
    <t>Vaznice 160/260</t>
  </si>
  <si>
    <t>Vaznice a trám 160/220</t>
  </si>
  <si>
    <t>Pozednice 120/160</t>
  </si>
  <si>
    <t>Pásky 120/160</t>
  </si>
  <si>
    <t>Vzpěry 120/160</t>
  </si>
  <si>
    <t>Sloupy 160/160</t>
  </si>
  <si>
    <t>D+M OSB desek tl. 25mm</t>
  </si>
  <si>
    <t>Nátěry podbití a viditelných částí krovu, podlahy OSB desek lakem</t>
  </si>
  <si>
    <t>Sdk příčky v podkroví tl. 100mm (CW 75,Ti 60,12,5 MA)</t>
  </si>
  <si>
    <t>Sdk příčky v podkroví tl. 150mm (CW 100,Ti 100,2x12,5 MA)</t>
  </si>
  <si>
    <t>Sdk předstěny tl. 150mm (CW100,Ti 150,12,5RB)</t>
  </si>
  <si>
    <t>Sdk předstěny tl. 150mm (CW100,Ti 200,12,5RB)</t>
  </si>
  <si>
    <t>Sdk předstěny tl. 50mm (CW50,Ti 50,12,5RB)</t>
  </si>
  <si>
    <t>SDK podhled v podkroví - desky 1xDF tl.15 mm, rošt CD+UD, parozábrana</t>
  </si>
  <si>
    <t>Sdk podhled mezi kleštinami - desky 1xDF tl.15 mm, rošt CD+UD, Ti 60</t>
  </si>
  <si>
    <t>Sdk podhled v koupelně v podkroví - desky 1xDF tl.15 mm do vlhkých prostorů, rošt CD+UD, Ti 60</t>
  </si>
  <si>
    <t>minerální vata tl. 180 mm</t>
  </si>
  <si>
    <t xml:space="preserve">Dodávka a montáž kyvně posuvných balk.oken </t>
  </si>
  <si>
    <t>deska z pěnového polystyrenu bílá EPS 100 Z 1000 x 500 x 140 mm</t>
  </si>
  <si>
    <t>Podbití přesahu krokví OSB deskami tl. 15mm, výdřeva z latí</t>
  </si>
  <si>
    <t>Hoblování pohledových částí krovu</t>
  </si>
  <si>
    <t>Nátěry tesařských kcí proti vlhosti v exteriéru</t>
  </si>
  <si>
    <t>podlaha vinylová vč. obvod. Lišt</t>
  </si>
  <si>
    <t>Úpravy povrchů vnější</t>
  </si>
  <si>
    <t>Potažení vnějších podhledů sklovláknitým pletivem vtlačeným do tenkovrstvé hmoty</t>
  </si>
  <si>
    <t>lišta rohová Al 10/10 cm s tkaninou bal. 2,5 m</t>
  </si>
  <si>
    <t>Montáž omítkových samolepících začišťovacích profilů (APU lišt)</t>
  </si>
  <si>
    <t>profil okenní s tkaninou APU lišta 9 mm</t>
  </si>
  <si>
    <t>Tenkovrstvá silikonová zrnitá omítka tl. 1,5 mm včetně penetrace vnějších stěn</t>
  </si>
  <si>
    <t>Montáž oplechování rovných parapetů rš do 400 mm</t>
  </si>
  <si>
    <t>D+M síťky proti hmyzu</t>
  </si>
  <si>
    <t>Žlab podokapní půlkruhový z lakovaného Pz plechu rš 330 mm</t>
  </si>
  <si>
    <t>Kotlík oválný (trychtýřový) pro podokapní žlaby z lakovaného Pz plechu 330/100 mm</t>
  </si>
  <si>
    <t>D+M ocelových profilů IPE 160</t>
  </si>
  <si>
    <t>mb</t>
  </si>
  <si>
    <t>D+M ocelových profilů U 240</t>
  </si>
  <si>
    <t>Výztuž stropu kari síť 6x6x150</t>
  </si>
  <si>
    <t>Beton stropní desky C25/30</t>
  </si>
  <si>
    <t>D+M trapézových plechů TR 50/250/0,8 Zn</t>
  </si>
  <si>
    <t>Zazdívka otvorů ve zdivu nadzákladovém plochy do 4 m2  cihlami děrovanými přes P10 do P15 tl 300 mm</t>
  </si>
  <si>
    <t>Zazdívka otvorů pl do 1 m2 ve zdivu nadzákladovém cihlami pálenými na MVC - různé dozdívky a přizdívky, výplňové a dorovnávací zdivo</t>
  </si>
  <si>
    <t>Věncovka Heluz 8/25</t>
  </si>
  <si>
    <t>Oprava vnitřní vápenocementové štukové omítky stěn v rozsahu plochy do 30%</t>
  </si>
  <si>
    <t>Vápenocementová omítka štuková dvouvrstvá vnitřních stěn nanášená ručně</t>
  </si>
  <si>
    <t>Náklady na vedení stavby, dozor, režie dodavatele</t>
  </si>
  <si>
    <t>Vedlejší rozpočtové náklady</t>
  </si>
  <si>
    <t>měs</t>
  </si>
  <si>
    <t>Poznámka: energie poskytne investor</t>
  </si>
  <si>
    <t>Vzduchotechnika</t>
  </si>
  <si>
    <t>Odvětrání koupelny, ht potrubí, systémová odvětrávací taška a ventilátor</t>
  </si>
  <si>
    <t>Bourací práce</t>
  </si>
  <si>
    <t>Montáž lešení řadového trubkového lehkého s podlahami zatížení do 200 kg/m2 š do 0,9 m v do 10 m</t>
  </si>
  <si>
    <t>Příplatek k lešení řadovému trubkovému lehkému s podlahami š 0,9 m v 10 m za první a ZKD den použití</t>
  </si>
  <si>
    <t>Demontáž lešení řadového trubkového lehkého s podlahami zatížení do 200 kg/m2 š do 0,9 m v do 10 m</t>
  </si>
  <si>
    <t>Vyčištění budov bytové a občanské výstavby při výšce podlaží do 4 m</t>
  </si>
  <si>
    <t>Bourání zdiva komínového nad střechou z cihel na MV nebo MVC</t>
  </si>
  <si>
    <t xml:space="preserve">Vybourání dřevěných rámů oken jednoduchých včetně křídel </t>
  </si>
  <si>
    <t>Bourání zdiva nadzákladového smíšeného na do 1 m3</t>
  </si>
  <si>
    <t>Odstranění násypů pod podlahami tl do 150 mm pl přes 2 m2</t>
  </si>
  <si>
    <t>Vybourání vnitřních dveřních zárubní pl do 2 m2</t>
  </si>
  <si>
    <t>Odstranění násypů na půdě tl do 100 mm pl přes 2 m2</t>
  </si>
  <si>
    <t>Přesun sutě</t>
  </si>
  <si>
    <t>Nakládání suti a vybouraných hmot</t>
  </si>
  <si>
    <t>Vnitrostaveništní doprava suti a vybouraných hmot pro budovy v do 6m ručně</t>
  </si>
  <si>
    <t>Odvoz suti a vybouraných hmot z meziskládky na skládku do 1 km s naložením a se složením</t>
  </si>
  <si>
    <t>Příplatek k odvozu suti a vybouraných hmot na skládku ZKD 1 km přes 1 km</t>
  </si>
  <si>
    <t>Poplatek za uložení na skládce (skládkovné) stavebního odpadu</t>
  </si>
  <si>
    <t>17.4.2021</t>
  </si>
  <si>
    <t>Provedení izolace proti zemní vlhkosti hydroizolační stěrkou svislé na zdivu, 1 vrstva</t>
  </si>
  <si>
    <t>Provedení těsnícího pásu do spoje dilatační nebo styčné spáry podlaha - stěna</t>
  </si>
  <si>
    <t>Přívod vzduchu ke kamnům</t>
  </si>
  <si>
    <t xml:space="preserve">Demontáž laťování střech z latí </t>
  </si>
  <si>
    <t>Spojovací prostředky pro montáž krovu, bednění, laťování, světlíky, klíny</t>
  </si>
  <si>
    <t>Demontáže</t>
  </si>
  <si>
    <t>Krokve</t>
  </si>
  <si>
    <t>Vazné trámy</t>
  </si>
  <si>
    <t>Pozednice</t>
  </si>
  <si>
    <t>Vaznice</t>
  </si>
  <si>
    <t>Kleštiny</t>
  </si>
  <si>
    <t>Vzpěry</t>
  </si>
  <si>
    <t>Sloupy</t>
  </si>
  <si>
    <t>Demontáž prostorových vázaných kcí z hraněného řeziva průřezové plochy do 224 cm2</t>
  </si>
  <si>
    <t>Demontáž záklopů stropů z hrubých prken tl do 80 mm</t>
  </si>
  <si>
    <t>Demontáž záklopů stropů z povalů</t>
  </si>
  <si>
    <t>Demontáž podbíjení obkladů stropů a střech sklonu do 60° z hrubých prken tl do 35 mm</t>
  </si>
  <si>
    <t>Demontáž SDK v přízemí</t>
  </si>
  <si>
    <t>Demontáž okapového plechu do suti v krytině skládané</t>
  </si>
  <si>
    <t>Demontáž oplechování parapetů do suti</t>
  </si>
  <si>
    <t>Demontáž lemování střešních prostupů do suti</t>
  </si>
  <si>
    <t>Demontáž svodu do suti</t>
  </si>
  <si>
    <t>Vybourání kapes ve smíšeném zdivu pro ocelové nosníky</t>
  </si>
  <si>
    <t>Provedení betonového lože pro osazení ocelových nosníků</t>
  </si>
  <si>
    <t>Demontáž lemování zdí do suti</t>
  </si>
  <si>
    <t>Lemování prostupů střech s krytinou prejzovou nebo vlnitou bez lišty z Pz s povrchovou úpravou</t>
  </si>
  <si>
    <t>Lemování rovných zdí střech s krytinou prejzovou nebo vlnitou z Pz s povrchovou úpravou rš 330 mm - k sousedům</t>
  </si>
  <si>
    <t>parapet venkovní lakovaný PZ plech rš 400 mm</t>
  </si>
  <si>
    <t>Svody kruhové včetně objímek, kolen, odskoků z lakkovaného Pz plechu průměru 100 mm</t>
  </si>
  <si>
    <t xml:space="preserve">dodávka a montáž okapnice </t>
  </si>
  <si>
    <t>Montáž zateplení vnějších stěn z polystyrénových desek tl do 150 mm</t>
  </si>
  <si>
    <t>deska fasádní polystyrénová EPS 70 F 1000 x 500 x 150 mm</t>
  </si>
  <si>
    <t>zakládací lišta šíře 150mm</t>
  </si>
  <si>
    <t>Montáž zakládacích lišt</t>
  </si>
  <si>
    <t>Montáž lišt rohových s tkaninou</t>
  </si>
  <si>
    <t>deska perimetrická Dekperimetr SD 150 1000 x 500 x 140 mm</t>
  </si>
  <si>
    <t>Montáž zateplení vnějších stěn z polystyrénových desek tl do 140 mm</t>
  </si>
  <si>
    <t>Bourání podlah 1NP na hydroizolaci a na západní straně před balk.okny</t>
  </si>
  <si>
    <t>D+M ocelových profilů IPE 120</t>
  </si>
  <si>
    <t>D+M ocelových profilů IPE 140</t>
  </si>
  <si>
    <t>D+M ocelových profilů IPE 200</t>
  </si>
  <si>
    <t>obkládačky keramické 20 x 50 cm</t>
  </si>
  <si>
    <t>Dodávka a montáž střešních oken Velux GLU 0061 MK08 780x1400 mm</t>
  </si>
  <si>
    <t>Dodávka a montáž střešního výlezu Velux GXU 070 FK06 660x1180 mm</t>
  </si>
  <si>
    <t>Půdní vestavba a stavební úpravy rodinného domu Soběslav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</si>
</sst>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-####"/>
    <numFmt numFmtId="165" formatCode="#,##0.000;\-#,##0.000"/>
    <numFmt numFmtId="166" formatCode="#,##0.00000;\-#,##0.00000"/>
    <numFmt numFmtId="167" formatCode="#,##0.0;\-#,##0.0"/>
    <numFmt numFmtId="168" formatCode="#,##0.00_ ;\-#,##0.00\ "/>
  </numFmts>
  <fonts count="25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 applyAlignment="0">
      <alignment vertical="top" wrapText="1"/>
      <protection locked="0"/>
    </xf>
    <xf numFmtId="0" fontId="21" fillId="0" borderId="0" applyAlignment="0">
      <alignment vertical="top" wrapText="1"/>
      <protection locked="0"/>
    </xf>
    <xf numFmtId="0" fontId="24" fillId="0" borderId="0">
      <alignment vertical="top" wrapText="1"/>
      <protection locked="0"/>
    </xf>
  </cellStyleXfs>
  <cellXfs count="252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left" vertical="center"/>
    </xf>
    <xf numFmtId="164" fontId="2" fillId="0" borderId="38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9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40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37" fontId="3" fillId="0" borderId="14" xfId="0" applyNumberFormat="1" applyFont="1" applyBorder="1" applyAlignment="1" applyProtection="1">
      <alignment horizontal="right" vertical="center"/>
    </xf>
    <xf numFmtId="39" fontId="3" fillId="0" borderId="18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6" fillId="0" borderId="32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39" fontId="12" fillId="0" borderId="46" xfId="0" applyNumberFormat="1" applyFont="1" applyBorder="1" applyAlignment="1" applyProtection="1">
      <alignment horizontal="right" vertical="center"/>
    </xf>
    <xf numFmtId="0" fontId="2" fillId="0" borderId="47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8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164" fontId="3" fillId="3" borderId="38" xfId="0" applyNumberFormat="1" applyFont="1" applyFill="1" applyBorder="1" applyAlignment="1" applyProtection="1">
      <alignment horizontal="center" vertical="center"/>
    </xf>
    <xf numFmtId="164" fontId="3" fillId="3" borderId="52" xfId="0" applyNumberFormat="1" applyFont="1" applyFill="1" applyBorder="1" applyAlignment="1" applyProtection="1">
      <alignment horizontal="center" vertical="center"/>
    </xf>
    <xf numFmtId="164" fontId="3" fillId="3" borderId="5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165" fontId="15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39" fontId="16" fillId="0" borderId="0" xfId="0" applyNumberFormat="1" applyFont="1" applyAlignment="1" applyProtection="1">
      <alignment horizontal="right" vertical="center"/>
    </xf>
    <xf numFmtId="165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5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39" fontId="15" fillId="0" borderId="2" xfId="0" applyNumberFormat="1" applyFont="1" applyBorder="1" applyAlignment="1" applyProtection="1">
      <alignment horizontal="right" vertical="center"/>
    </xf>
    <xf numFmtId="165" fontId="15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 vertical="center"/>
    </xf>
    <xf numFmtId="167" fontId="2" fillId="0" borderId="0" xfId="0" applyNumberFormat="1" applyFont="1" applyAlignment="1" applyProtection="1">
      <alignment horizontal="right" vertical="center"/>
    </xf>
    <xf numFmtId="37" fontId="2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165" fontId="19" fillId="0" borderId="0" xfId="0" applyNumberFormat="1" applyFont="1" applyAlignment="1" applyProtection="1">
      <alignment horizontal="right" vertical="center"/>
    </xf>
    <xf numFmtId="166" fontId="19" fillId="0" borderId="0" xfId="0" applyNumberFormat="1" applyFont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37" fontId="19" fillId="0" borderId="0" xfId="0" applyNumberFormat="1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center" vertical="center" wrapText="1"/>
    </xf>
    <xf numFmtId="164" fontId="3" fillId="0" borderId="5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center" wrapText="1"/>
    </xf>
    <xf numFmtId="0" fontId="15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 vertical="top"/>
    </xf>
    <xf numFmtId="49" fontId="3" fillId="0" borderId="0" xfId="0" applyNumberFormat="1" applyFont="1" applyFill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horizontal="left" vertical="top"/>
    </xf>
    <xf numFmtId="0" fontId="21" fillId="0" borderId="0" xfId="0" applyFont="1" applyAlignment="1" applyProtection="1">
      <alignment horizontal="left" vertical="top"/>
    </xf>
    <xf numFmtId="4" fontId="0" fillId="0" borderId="0" xfId="0" applyNumberFormat="1" applyAlignment="1" applyProtection="1">
      <alignment horizontal="right" vertical="top"/>
    </xf>
    <xf numFmtId="0" fontId="2" fillId="4" borderId="0" xfId="0" applyFont="1" applyFill="1" applyAlignment="1" applyProtection="1">
      <alignment horizontal="center" vertical="center"/>
    </xf>
    <xf numFmtId="165" fontId="2" fillId="4" borderId="0" xfId="0" applyNumberFormat="1" applyFont="1" applyFill="1" applyAlignment="1" applyProtection="1">
      <alignment horizontal="right" vertical="center"/>
    </xf>
    <xf numFmtId="39" fontId="2" fillId="4" borderId="0" xfId="0" applyNumberFormat="1" applyFont="1" applyFill="1" applyAlignment="1" applyProtection="1">
      <alignment horizontal="right" vertical="center"/>
    </xf>
    <xf numFmtId="0" fontId="19" fillId="4" borderId="0" xfId="0" applyFont="1" applyFill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center" vertical="center"/>
    </xf>
    <xf numFmtId="165" fontId="19" fillId="4" borderId="0" xfId="0" applyNumberFormat="1" applyFont="1" applyFill="1" applyAlignment="1" applyProtection="1">
      <alignment horizontal="right" vertical="center"/>
    </xf>
    <xf numFmtId="39" fontId="19" fillId="4" borderId="0" xfId="0" applyNumberFormat="1" applyFont="1" applyFill="1" applyAlignment="1" applyProtection="1">
      <alignment horizontal="right" vertical="center"/>
    </xf>
    <xf numFmtId="0" fontId="9" fillId="4" borderId="0" xfId="0" applyFont="1" applyFill="1" applyAlignment="1" applyProtection="1">
      <alignment horizontal="left" vertical="center"/>
    </xf>
    <xf numFmtId="39" fontId="16" fillId="4" borderId="0" xfId="0" applyNumberFormat="1" applyFont="1" applyFill="1" applyAlignment="1" applyProtection="1">
      <alignment horizontal="right" vertical="center"/>
    </xf>
    <xf numFmtId="4" fontId="20" fillId="4" borderId="0" xfId="0" applyNumberFormat="1" applyFont="1" applyFill="1" applyBorder="1" applyAlignment="1" applyProtection="1">
      <alignment horizontal="right" vertical="center"/>
    </xf>
    <xf numFmtId="37" fontId="20" fillId="4" borderId="0" xfId="0" applyNumberFormat="1" applyFont="1" applyFill="1" applyBorder="1" applyAlignment="1" applyProtection="1">
      <alignment horizontal="right" vertical="center"/>
    </xf>
    <xf numFmtId="0" fontId="20" fillId="4" borderId="0" xfId="0" applyFont="1" applyFill="1" applyAlignment="1" applyProtection="1">
      <alignment horizontal="left" vertical="center" wrapText="1"/>
    </xf>
    <xf numFmtId="39" fontId="15" fillId="4" borderId="0" xfId="0" applyNumberFormat="1" applyFont="1" applyFill="1" applyAlignment="1" applyProtection="1">
      <alignment horizontal="right" vertical="center"/>
    </xf>
    <xf numFmtId="3" fontId="0" fillId="0" borderId="0" xfId="0" applyNumberFormat="1" applyAlignment="1" applyProtection="1">
      <alignment horizontal="center" vertical="top"/>
    </xf>
    <xf numFmtId="3" fontId="9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3" fontId="17" fillId="0" borderId="0" xfId="0" applyNumberFormat="1" applyFont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horizontal="right" vertical="center"/>
    </xf>
    <xf numFmtId="37" fontId="2" fillId="4" borderId="0" xfId="0" applyNumberFormat="1" applyFont="1" applyFill="1" applyBorder="1" applyAlignment="1" applyProtection="1">
      <alignment horizontal="right" vertical="center"/>
    </xf>
    <xf numFmtId="39" fontId="2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Alignment="1" applyProtection="1">
      <alignment horizontal="left" vertical="top"/>
    </xf>
    <xf numFmtId="4" fontId="9" fillId="0" borderId="0" xfId="0" applyNumberFormat="1" applyFont="1" applyAlignment="1" applyProtection="1">
      <alignment horizontal="left" vertical="center"/>
    </xf>
    <xf numFmtId="4" fontId="9" fillId="0" borderId="0" xfId="0" applyNumberFormat="1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horizontal="left" vertical="center"/>
    </xf>
    <xf numFmtId="4" fontId="0" fillId="0" borderId="0" xfId="0" applyNumberFormat="1" applyAlignment="1" applyProtection="1">
      <alignment horizontal="center" vertical="top"/>
    </xf>
    <xf numFmtId="4" fontId="9" fillId="0" borderId="0" xfId="0" applyNumberFormat="1" applyFont="1" applyAlignment="1" applyProtection="1">
      <alignment horizontal="center" vertical="center"/>
    </xf>
    <xf numFmtId="4" fontId="17" fillId="0" borderId="0" xfId="0" applyNumberFormat="1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center"/>
    </xf>
    <xf numFmtId="168" fontId="16" fillId="4" borderId="0" xfId="0" applyNumberFormat="1" applyFont="1" applyFill="1" applyAlignment="1" applyProtection="1">
      <alignment horizontal="right" vertical="center"/>
    </xf>
    <xf numFmtId="4" fontId="16" fillId="4" borderId="0" xfId="0" applyNumberFormat="1" applyFont="1" applyFill="1" applyAlignment="1" applyProtection="1">
      <alignment horizontal="right" vertical="center"/>
    </xf>
    <xf numFmtId="168" fontId="15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vertical="center"/>
    </xf>
    <xf numFmtId="0" fontId="17" fillId="4" borderId="0" xfId="0" applyFont="1" applyFill="1" applyAlignment="1" applyProtection="1">
      <alignment horizontal="left" vertical="center"/>
    </xf>
    <xf numFmtId="39" fontId="18" fillId="4" borderId="0" xfId="0" applyNumberFormat="1" applyFont="1" applyFill="1" applyAlignment="1" applyProtection="1">
      <alignment horizontal="right" vertical="center"/>
    </xf>
    <xf numFmtId="4" fontId="0" fillId="0" borderId="0" xfId="0" applyNumberFormat="1" applyAlignment="1">
      <alignment vertical="top"/>
      <protection locked="0"/>
    </xf>
    <xf numFmtId="0" fontId="21" fillId="0" borderId="0" xfId="0" applyFont="1" applyAlignment="1">
      <alignment vertical="top"/>
      <protection locked="0"/>
    </xf>
    <xf numFmtId="0" fontId="2" fillId="4" borderId="0" xfId="1" applyFont="1" applyFill="1" applyAlignment="1" applyProtection="1">
      <alignment horizontal="left" vertical="center" wrapText="1"/>
    </xf>
    <xf numFmtId="0" fontId="2" fillId="4" borderId="0" xfId="1" applyFont="1" applyFill="1" applyAlignment="1" applyProtection="1">
      <alignment horizontal="right" vertical="center" wrapText="1"/>
    </xf>
    <xf numFmtId="4" fontId="2" fillId="4" borderId="0" xfId="1" applyNumberFormat="1" applyFont="1" applyFill="1" applyAlignment="1" applyProtection="1">
      <alignment horizontal="right" vertical="center" wrapText="1"/>
    </xf>
    <xf numFmtId="0" fontId="16" fillId="4" borderId="0" xfId="2" applyFont="1" applyFill="1" applyAlignment="1" applyProtection="1">
      <alignment horizontal="left" vertical="center"/>
    </xf>
    <xf numFmtId="0" fontId="9" fillId="4" borderId="0" xfId="2" applyFont="1" applyFill="1" applyAlignment="1" applyProtection="1">
      <alignment horizontal="left" vertical="center"/>
    </xf>
    <xf numFmtId="4" fontId="21" fillId="0" borderId="0" xfId="1" applyNumberFormat="1" applyFont="1" applyAlignment="1" applyProtection="1">
      <alignment horizontal="right" vertical="top"/>
    </xf>
    <xf numFmtId="3" fontId="16" fillId="4" borderId="0" xfId="2" applyNumberFormat="1" applyFont="1" applyFill="1" applyAlignment="1" applyProtection="1">
      <alignment horizontal="right" vertical="center"/>
    </xf>
    <xf numFmtId="0" fontId="23" fillId="5" borderId="0" xfId="2" applyFont="1" applyFill="1" applyAlignment="1" applyProtection="1">
      <alignment horizontal="left" vertical="center" wrapText="1"/>
    </xf>
    <xf numFmtId="0" fontId="23" fillId="4" borderId="0" xfId="2" applyFont="1" applyFill="1" applyAlignment="1" applyProtection="1">
      <alignment horizontal="center" vertical="center"/>
    </xf>
    <xf numFmtId="39" fontId="23" fillId="4" borderId="0" xfId="2" applyNumberFormat="1" applyFont="1" applyFill="1" applyAlignment="1" applyProtection="1">
      <alignment horizontal="right" vertical="center"/>
    </xf>
    <xf numFmtId="3" fontId="23" fillId="4" borderId="0" xfId="2" applyNumberFormat="1" applyFont="1" applyFill="1" applyAlignment="1" applyProtection="1">
      <alignment horizontal="right" vertical="center"/>
    </xf>
    <xf numFmtId="0" fontId="19" fillId="4" borderId="0" xfId="2" applyFont="1" applyFill="1" applyAlignment="1" applyProtection="1">
      <alignment horizontal="left" vertical="center" wrapText="1"/>
    </xf>
    <xf numFmtId="0" fontId="19" fillId="4" borderId="0" xfId="2" applyFont="1" applyFill="1" applyAlignment="1" applyProtection="1">
      <alignment horizontal="center" vertical="center"/>
    </xf>
    <xf numFmtId="39" fontId="19" fillId="4" borderId="0" xfId="2" applyNumberFormat="1" applyFont="1" applyFill="1" applyAlignment="1" applyProtection="1">
      <alignment horizontal="right" vertical="center"/>
    </xf>
    <xf numFmtId="3" fontId="19" fillId="4" borderId="0" xfId="2" applyNumberFormat="1" applyFont="1" applyFill="1" applyAlignment="1" applyProtection="1">
      <alignment horizontal="right" vertical="center"/>
    </xf>
    <xf numFmtId="0" fontId="23" fillId="4" borderId="0" xfId="2" applyFont="1" applyFill="1" applyAlignment="1" applyProtection="1">
      <alignment horizontal="left" vertical="center" wrapText="1"/>
    </xf>
    <xf numFmtId="0" fontId="2" fillId="4" borderId="0" xfId="1" applyFont="1" applyFill="1" applyAlignment="1" applyProtection="1">
      <alignment horizontal="center" vertical="center" wrapText="1"/>
    </xf>
    <xf numFmtId="0" fontId="19" fillId="4" borderId="0" xfId="1" applyFont="1" applyFill="1" applyAlignment="1" applyProtection="1">
      <alignment horizontal="left" vertical="center" wrapText="1"/>
    </xf>
    <xf numFmtId="0" fontId="19" fillId="4" borderId="0" xfId="1" applyFont="1" applyFill="1" applyAlignment="1" applyProtection="1">
      <alignment horizontal="center" vertical="center"/>
    </xf>
    <xf numFmtId="4" fontId="19" fillId="4" borderId="0" xfId="1" applyNumberFormat="1" applyFont="1" applyFill="1" applyAlignment="1" applyProtection="1">
      <alignment horizontal="right" vertical="center"/>
    </xf>
    <xf numFmtId="0" fontId="2" fillId="4" borderId="0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/>
    </xf>
    <xf numFmtId="165" fontId="20" fillId="4" borderId="0" xfId="0" applyNumberFormat="1" applyFont="1" applyFill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center" vertical="center"/>
    </xf>
    <xf numFmtId="165" fontId="23" fillId="4" borderId="0" xfId="0" applyNumberFormat="1" applyFont="1" applyFill="1" applyAlignment="1" applyProtection="1">
      <alignment horizontal="right" vertical="center"/>
    </xf>
    <xf numFmtId="39" fontId="23" fillId="4" borderId="0" xfId="0" applyNumberFormat="1" applyFont="1" applyFill="1" applyAlignment="1" applyProtection="1">
      <alignment horizontal="right" vertical="center"/>
    </xf>
    <xf numFmtId="4" fontId="2" fillId="4" borderId="0" xfId="1" applyNumberFormat="1" applyFont="1" applyFill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showGridLines="0" zoomScale="150" zoomScaleNormal="100" workbookViewId="0">
      <selection activeCell="E7" sqref="E7"/>
    </sheetView>
  </sheetViews>
  <sheetFormatPr baseColWidth="10" defaultColWidth="9.1640625" defaultRowHeight="12.75" customHeight="1"/>
  <cols>
    <col min="1" max="1" width="2.5" style="1" customWidth="1"/>
    <col min="2" max="2" width="1.83203125" style="1" customWidth="1"/>
    <col min="3" max="3" width="2.6640625" style="1" customWidth="1"/>
    <col min="4" max="4" width="6.83203125" style="1" customWidth="1"/>
    <col min="5" max="5" width="13.5" style="1" customWidth="1"/>
    <col min="6" max="6" width="0.5" style="1" customWidth="1"/>
    <col min="7" max="7" width="2.5" style="1" customWidth="1"/>
    <col min="8" max="8" width="2.6640625" style="1" customWidth="1"/>
    <col min="9" max="9" width="9.6640625" style="1" customWidth="1"/>
    <col min="10" max="10" width="13.5" style="1" customWidth="1"/>
    <col min="11" max="11" width="0.6640625" style="1" customWidth="1"/>
    <col min="12" max="12" width="2.5" style="1" customWidth="1"/>
    <col min="13" max="13" width="2.83203125" style="1" customWidth="1"/>
    <col min="14" max="14" width="2" style="1" customWidth="1"/>
    <col min="15" max="15" width="12.6640625" style="1" customWidth="1"/>
    <col min="16" max="16" width="2.83203125" style="1" customWidth="1"/>
    <col min="17" max="17" width="2" style="1" customWidth="1"/>
    <col min="18" max="18" width="13.5" style="1" customWidth="1"/>
    <col min="19" max="19" width="0.5" style="1" customWidth="1"/>
    <col min="20" max="16384" width="9.164062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5.5" customHeight="1">
      <c r="A5" s="15"/>
      <c r="B5" s="16" t="s">
        <v>1</v>
      </c>
      <c r="C5" s="16"/>
      <c r="D5" s="16"/>
      <c r="E5" s="248" t="s">
        <v>369</v>
      </c>
      <c r="F5" s="249"/>
      <c r="G5" s="249"/>
      <c r="H5" s="249"/>
      <c r="I5" s="249"/>
      <c r="J5" s="250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6</v>
      </c>
      <c r="C7" s="16"/>
      <c r="D7" s="16"/>
      <c r="E7" s="22" t="s">
        <v>245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2" t="s">
        <v>9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10</v>
      </c>
      <c r="C9" s="16"/>
      <c r="D9" s="16"/>
      <c r="E9" s="26" t="s">
        <v>3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11</v>
      </c>
      <c r="P9" s="29"/>
      <c r="Q9" s="30"/>
      <c r="R9" s="28"/>
      <c r="S9" s="21"/>
    </row>
    <row r="10" spans="1:19" ht="17.25" hidden="1" customHeight="1">
      <c r="A10" s="15"/>
      <c r="B10" s="16" t="s">
        <v>12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13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14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1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/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19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6" t="s">
        <v>22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 t="s">
        <v>324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23" ht="20.25" customHeight="1">
      <c r="A33" s="45"/>
      <c r="B33" s="46"/>
      <c r="C33" s="46"/>
      <c r="D33" s="46"/>
      <c r="E33" s="47" t="s">
        <v>23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23" ht="20.25" customHeight="1">
      <c r="A34" s="49" t="s">
        <v>24</v>
      </c>
      <c r="B34" s="50"/>
      <c r="C34" s="50"/>
      <c r="D34" s="51"/>
      <c r="E34" s="52" t="s">
        <v>25</v>
      </c>
      <c r="F34" s="51"/>
      <c r="G34" s="52" t="s">
        <v>26</v>
      </c>
      <c r="H34" s="50"/>
      <c r="I34" s="51"/>
      <c r="J34" s="52" t="s">
        <v>27</v>
      </c>
      <c r="K34" s="50"/>
      <c r="L34" s="52" t="s">
        <v>28</v>
      </c>
      <c r="M34" s="50"/>
      <c r="N34" s="50"/>
      <c r="O34" s="51"/>
      <c r="P34" s="52" t="s">
        <v>29</v>
      </c>
      <c r="Q34" s="50"/>
      <c r="R34" s="50"/>
      <c r="S34" s="53"/>
    </row>
    <row r="35" spans="1:23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23" ht="20.25" customHeight="1">
      <c r="A36" s="45"/>
      <c r="B36" s="46"/>
      <c r="C36" s="46"/>
      <c r="D36" s="46"/>
      <c r="E36" s="47" t="s">
        <v>30</v>
      </c>
      <c r="F36" s="46"/>
      <c r="G36" s="46"/>
      <c r="H36" s="46"/>
      <c r="I36" s="46"/>
      <c r="J36" s="63" t="s">
        <v>31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23" ht="20.25" customHeight="1">
      <c r="A37" s="64" t="s">
        <v>32</v>
      </c>
      <c r="B37" s="65"/>
      <c r="C37" s="66" t="s">
        <v>33</v>
      </c>
      <c r="D37" s="67"/>
      <c r="E37" s="67"/>
      <c r="F37" s="68"/>
      <c r="G37" s="64" t="s">
        <v>34</v>
      </c>
      <c r="H37" s="69"/>
      <c r="I37" s="66" t="s">
        <v>35</v>
      </c>
      <c r="J37" s="67"/>
      <c r="K37" s="67"/>
      <c r="L37" s="64" t="s">
        <v>36</v>
      </c>
      <c r="M37" s="69"/>
      <c r="N37" s="66" t="s">
        <v>37</v>
      </c>
      <c r="O37" s="67"/>
      <c r="P37" s="67"/>
      <c r="Q37" s="67"/>
      <c r="R37" s="67"/>
      <c r="S37" s="68"/>
    </row>
    <row r="38" spans="1:23" ht="20.25" customHeight="1">
      <c r="A38" s="70">
        <v>1</v>
      </c>
      <c r="B38" s="71" t="s">
        <v>38</v>
      </c>
      <c r="C38" s="19"/>
      <c r="D38" s="72" t="s">
        <v>39</v>
      </c>
      <c r="E38" s="73"/>
      <c r="F38" s="74"/>
      <c r="G38" s="70">
        <v>8</v>
      </c>
      <c r="H38" s="75" t="s">
        <v>40</v>
      </c>
      <c r="I38" s="35"/>
      <c r="J38" s="76">
        <v>0</v>
      </c>
      <c r="K38" s="77"/>
      <c r="L38" s="70">
        <v>13</v>
      </c>
      <c r="M38" s="33" t="s">
        <v>41</v>
      </c>
      <c r="N38" s="38"/>
      <c r="O38" s="38"/>
      <c r="P38" s="78">
        <f>M49</f>
        <v>21</v>
      </c>
      <c r="Q38" s="79" t="s">
        <v>42</v>
      </c>
      <c r="R38" s="73">
        <v>0</v>
      </c>
      <c r="S38" s="74"/>
    </row>
    <row r="39" spans="1:23" ht="20.25" customHeight="1">
      <c r="A39" s="70">
        <v>2</v>
      </c>
      <c r="B39" s="80"/>
      <c r="C39" s="28"/>
      <c r="D39" s="72" t="s">
        <v>43</v>
      </c>
      <c r="E39" s="73"/>
      <c r="F39" s="74"/>
      <c r="G39" s="70">
        <v>9</v>
      </c>
      <c r="H39" s="16" t="s">
        <v>44</v>
      </c>
      <c r="I39" s="72"/>
      <c r="J39" s="76">
        <v>0</v>
      </c>
      <c r="K39" s="77"/>
      <c r="L39" s="70">
        <v>14</v>
      </c>
      <c r="M39" s="33" t="s">
        <v>45</v>
      </c>
      <c r="N39" s="38"/>
      <c r="O39" s="38"/>
      <c r="P39" s="78">
        <f>M49</f>
        <v>21</v>
      </c>
      <c r="Q39" s="79" t="s">
        <v>42</v>
      </c>
      <c r="R39" s="73">
        <v>0</v>
      </c>
      <c r="S39" s="74"/>
    </row>
    <row r="40" spans="1:23" ht="20.25" customHeight="1">
      <c r="A40" s="70">
        <v>3</v>
      </c>
      <c r="B40" s="71" t="s">
        <v>46</v>
      </c>
      <c r="C40" s="19"/>
      <c r="D40" s="72" t="s">
        <v>39</v>
      </c>
      <c r="E40" s="73"/>
      <c r="F40" s="74"/>
      <c r="G40" s="70">
        <v>10</v>
      </c>
      <c r="H40" s="75" t="s">
        <v>47</v>
      </c>
      <c r="I40" s="35"/>
      <c r="J40" s="76">
        <v>0</v>
      </c>
      <c r="K40" s="77"/>
      <c r="L40" s="70">
        <v>15</v>
      </c>
      <c r="M40" s="33" t="s">
        <v>48</v>
      </c>
      <c r="N40" s="38"/>
      <c r="O40" s="38"/>
      <c r="P40" s="78">
        <f>M49</f>
        <v>21</v>
      </c>
      <c r="Q40" s="79" t="s">
        <v>42</v>
      </c>
      <c r="R40" s="73">
        <v>0</v>
      </c>
      <c r="S40" s="74"/>
    </row>
    <row r="41" spans="1:23" ht="20.25" customHeight="1">
      <c r="A41" s="70">
        <v>4</v>
      </c>
      <c r="B41" s="80"/>
      <c r="C41" s="28"/>
      <c r="D41" s="72" t="s">
        <v>43</v>
      </c>
      <c r="E41" s="73"/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49</v>
      </c>
      <c r="N41" s="38"/>
      <c r="O41" s="38"/>
      <c r="P41" s="78">
        <f>M49</f>
        <v>21</v>
      </c>
      <c r="Q41" s="79" t="s">
        <v>42</v>
      </c>
      <c r="R41" s="73">
        <v>0</v>
      </c>
      <c r="S41" s="74"/>
    </row>
    <row r="42" spans="1:23" ht="20.25" customHeight="1">
      <c r="A42" s="70">
        <v>5</v>
      </c>
      <c r="B42" s="71" t="s">
        <v>50</v>
      </c>
      <c r="C42" s="19"/>
      <c r="D42" s="72" t="s">
        <v>39</v>
      </c>
      <c r="E42" s="73"/>
      <c r="F42" s="74"/>
      <c r="G42" s="81"/>
      <c r="H42" s="38"/>
      <c r="I42" s="35"/>
      <c r="J42" s="82"/>
      <c r="K42" s="77"/>
      <c r="L42" s="70">
        <v>17</v>
      </c>
      <c r="M42" s="33" t="s">
        <v>51</v>
      </c>
      <c r="N42" s="38"/>
      <c r="O42" s="38"/>
      <c r="P42" s="78">
        <f>M49</f>
        <v>21</v>
      </c>
      <c r="Q42" s="79" t="s">
        <v>42</v>
      </c>
      <c r="R42" s="73">
        <v>0</v>
      </c>
      <c r="S42" s="74"/>
    </row>
    <row r="43" spans="1:23" ht="20.25" customHeight="1">
      <c r="A43" s="70">
        <v>6</v>
      </c>
      <c r="B43" s="80"/>
      <c r="C43" s="28"/>
      <c r="D43" s="72" t="s">
        <v>43</v>
      </c>
      <c r="E43" s="73"/>
      <c r="F43" s="74"/>
      <c r="G43" s="81"/>
      <c r="H43" s="38"/>
      <c r="I43" s="35"/>
      <c r="J43" s="82"/>
      <c r="K43" s="77"/>
      <c r="L43" s="70">
        <v>18</v>
      </c>
      <c r="M43" s="75" t="s">
        <v>52</v>
      </c>
      <c r="N43" s="38"/>
      <c r="O43" s="38"/>
      <c r="P43" s="38"/>
      <c r="Q43" s="35"/>
      <c r="R43" s="73">
        <f>SUMIF(Rozpocet!P14:P65566,1024,Rozpocet!J14:J65568)</f>
        <v>0</v>
      </c>
      <c r="S43" s="74"/>
    </row>
    <row r="44" spans="1:23" ht="20.25" customHeight="1">
      <c r="A44" s="70">
        <v>7</v>
      </c>
      <c r="B44" s="83" t="s">
        <v>53</v>
      </c>
      <c r="C44" s="38"/>
      <c r="D44" s="35"/>
      <c r="E44" s="84">
        <f>Rozpocet!J172</f>
        <v>0</v>
      </c>
      <c r="F44" s="48"/>
      <c r="G44" s="70">
        <v>12</v>
      </c>
      <c r="H44" s="83" t="s">
        <v>54</v>
      </c>
      <c r="I44" s="35"/>
      <c r="J44" s="85">
        <f>SUM(J38:J41)</f>
        <v>0</v>
      </c>
      <c r="K44" s="86"/>
      <c r="L44" s="70">
        <v>19</v>
      </c>
      <c r="M44" s="71" t="s">
        <v>55</v>
      </c>
      <c r="N44" s="18"/>
      <c r="O44" s="18"/>
      <c r="P44" s="18"/>
      <c r="Q44" s="87"/>
      <c r="R44" s="84">
        <f>SUM(R38:R43)</f>
        <v>0</v>
      </c>
      <c r="S44" s="48"/>
    </row>
    <row r="45" spans="1:23" ht="20.25" customHeight="1">
      <c r="A45" s="88">
        <v>20</v>
      </c>
      <c r="B45" s="89" t="s">
        <v>56</v>
      </c>
      <c r="C45" s="90"/>
      <c r="D45" s="91"/>
      <c r="E45" s="92">
        <f>SUMIF(Rozpocet!P14:P65566,512,Rozpocet!J14:J65568)</f>
        <v>0</v>
      </c>
      <c r="F45" s="44"/>
      <c r="G45" s="88">
        <v>21</v>
      </c>
      <c r="H45" s="89" t="s">
        <v>57</v>
      </c>
      <c r="I45" s="91"/>
      <c r="J45" s="93">
        <v>0</v>
      </c>
      <c r="K45" s="94">
        <f>M49</f>
        <v>21</v>
      </c>
      <c r="L45" s="88">
        <v>22</v>
      </c>
      <c r="M45" s="89" t="s">
        <v>58</v>
      </c>
      <c r="N45" s="90"/>
      <c r="O45" s="90"/>
      <c r="P45" s="90"/>
      <c r="Q45" s="91"/>
      <c r="R45" s="92">
        <f>SUMIF(Rozpocet!P14:P65566,"&lt;4",Rozpocet!J14:J65568)+SUMIF(Rozpocet!P14:P65566,"&gt;1024",Rozpocet!J14:J65568)</f>
        <v>0</v>
      </c>
      <c r="S45" s="44"/>
    </row>
    <row r="46" spans="1:23" ht="20.25" customHeight="1">
      <c r="A46" s="95" t="s">
        <v>18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59</v>
      </c>
      <c r="M46" s="51"/>
      <c r="N46" s="66" t="s">
        <v>60</v>
      </c>
      <c r="O46" s="50"/>
      <c r="P46" s="50"/>
      <c r="Q46" s="50"/>
      <c r="R46" s="50"/>
      <c r="S46" s="53"/>
    </row>
    <row r="47" spans="1:23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61</v>
      </c>
      <c r="N47" s="38"/>
      <c r="O47" s="38"/>
      <c r="P47" s="38"/>
      <c r="Q47" s="74"/>
      <c r="R47" s="84">
        <f>E44</f>
        <v>0</v>
      </c>
      <c r="S47" s="48"/>
      <c r="W47" s="173"/>
    </row>
    <row r="48" spans="1:23" ht="20.25" customHeight="1">
      <c r="A48" s="99" t="s">
        <v>62</v>
      </c>
      <c r="B48" s="27"/>
      <c r="C48" s="27"/>
      <c r="D48" s="27"/>
      <c r="E48" s="27"/>
      <c r="F48" s="28"/>
      <c r="G48" s="100" t="s">
        <v>63</v>
      </c>
      <c r="H48" s="27"/>
      <c r="I48" s="27"/>
      <c r="J48" s="27"/>
      <c r="K48" s="27"/>
      <c r="L48" s="70">
        <v>24</v>
      </c>
      <c r="M48" s="101">
        <v>15</v>
      </c>
      <c r="N48" s="28" t="s">
        <v>42</v>
      </c>
      <c r="O48" s="102"/>
      <c r="P48" s="38" t="s">
        <v>64</v>
      </c>
      <c r="Q48" s="35"/>
      <c r="R48" s="103">
        <f>R47*0.15</f>
        <v>0</v>
      </c>
      <c r="S48" s="104"/>
      <c r="W48" s="173"/>
    </row>
    <row r="49" spans="1:23" ht="20.25" customHeight="1">
      <c r="A49" s="105" t="s">
        <v>17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21</v>
      </c>
      <c r="N49" s="35"/>
      <c r="O49" s="102"/>
      <c r="P49" s="38"/>
      <c r="Q49" s="35"/>
      <c r="R49" s="73"/>
      <c r="S49" s="74"/>
      <c r="W49" s="173"/>
    </row>
    <row r="50" spans="1:23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65</v>
      </c>
      <c r="N50" s="90"/>
      <c r="O50" s="90"/>
      <c r="P50" s="90"/>
      <c r="Q50" s="109"/>
      <c r="R50" s="110">
        <f>R47+R48</f>
        <v>0</v>
      </c>
      <c r="S50" s="111"/>
    </row>
    <row r="51" spans="1:23" ht="20.25" customHeight="1">
      <c r="A51" s="99" t="s">
        <v>62</v>
      </c>
      <c r="B51" s="27"/>
      <c r="C51" s="27"/>
      <c r="D51" s="27"/>
      <c r="E51" s="27"/>
      <c r="F51" s="28"/>
      <c r="G51" s="100" t="s">
        <v>63</v>
      </c>
      <c r="H51" s="27"/>
      <c r="I51" s="27"/>
      <c r="J51" s="27"/>
      <c r="K51" s="27"/>
      <c r="L51" s="64" t="s">
        <v>66</v>
      </c>
      <c r="M51" s="51"/>
      <c r="N51" s="66" t="s">
        <v>67</v>
      </c>
      <c r="O51" s="50"/>
      <c r="P51" s="50"/>
      <c r="Q51" s="50"/>
      <c r="R51" s="112"/>
      <c r="S51" s="53"/>
    </row>
    <row r="52" spans="1:23" ht="20.25" customHeight="1">
      <c r="A52" s="105" t="s">
        <v>19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68</v>
      </c>
      <c r="N52" s="38"/>
      <c r="O52" s="38"/>
      <c r="P52" s="38"/>
      <c r="Q52" s="35"/>
      <c r="R52" s="73">
        <v>0</v>
      </c>
      <c r="S52" s="74"/>
    </row>
    <row r="53" spans="1:23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69</v>
      </c>
      <c r="N53" s="38"/>
      <c r="O53" s="38"/>
      <c r="P53" s="38"/>
      <c r="Q53" s="35"/>
      <c r="R53" s="73">
        <v>0</v>
      </c>
      <c r="S53" s="74"/>
    </row>
    <row r="54" spans="1:23" ht="20.25" customHeight="1">
      <c r="A54" s="113" t="s">
        <v>62</v>
      </c>
      <c r="B54" s="43"/>
      <c r="C54" s="43"/>
      <c r="D54" s="43"/>
      <c r="E54" s="43"/>
      <c r="F54" s="114"/>
      <c r="G54" s="115" t="s">
        <v>63</v>
      </c>
      <c r="H54" s="43"/>
      <c r="I54" s="43"/>
      <c r="J54" s="43"/>
      <c r="K54" s="43"/>
      <c r="L54" s="88">
        <v>29</v>
      </c>
      <c r="M54" s="89" t="s">
        <v>70</v>
      </c>
      <c r="N54" s="90"/>
      <c r="O54" s="90"/>
      <c r="P54" s="90"/>
      <c r="Q54" s="91"/>
      <c r="R54" s="57">
        <v>0</v>
      </c>
      <c r="S54" s="116"/>
    </row>
  </sheetData>
  <mergeCells count="1">
    <mergeCell ref="E5:J5"/>
  </mergeCells>
  <phoneticPr fontId="2" type="noConversion"/>
  <printOptions verticalCentered="1"/>
  <pageMargins left="0.59055119752883911" right="0.59055119752883911" top="0.90551179647445679" bottom="0.90551179647445679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8"/>
  <sheetViews>
    <sheetView showGridLines="0" topLeftCell="E1" zoomScale="125" zoomScaleNormal="125" workbookViewId="0">
      <pane ySplit="13" topLeftCell="A113" activePane="bottomLeft" state="frozenSplit"/>
      <selection pane="bottomLeft" activeCell="H9" sqref="H9"/>
    </sheetView>
  </sheetViews>
  <sheetFormatPr baseColWidth="10" defaultColWidth="9.1640625" defaultRowHeight="11.25" customHeight="1"/>
  <cols>
    <col min="1" max="1" width="5.5" style="1" hidden="1" customWidth="1"/>
    <col min="2" max="2" width="4.5" style="1" hidden="1" customWidth="1"/>
    <col min="3" max="3" width="9.5" style="1" hidden="1" customWidth="1"/>
    <col min="4" max="4" width="12.6640625" style="1" hidden="1" customWidth="1"/>
    <col min="5" max="5" width="4.6640625" style="206" customWidth="1"/>
    <col min="6" max="6" width="52.33203125" style="1" customWidth="1"/>
    <col min="7" max="7" width="3.5" style="1" customWidth="1"/>
    <col min="8" max="8" width="11.33203125" style="1" customWidth="1"/>
    <col min="9" max="9" width="10.1640625" style="1" customWidth="1"/>
    <col min="10" max="10" width="13.1640625" style="1" customWidth="1"/>
    <col min="11" max="11" width="10.5" style="1" hidden="1" customWidth="1"/>
    <col min="12" max="12" width="10.83203125" style="1" hidden="1" customWidth="1"/>
    <col min="13" max="13" width="9.6640625" style="1" hidden="1" customWidth="1"/>
    <col min="14" max="14" width="11.5" style="1" hidden="1" customWidth="1"/>
    <col min="15" max="15" width="5.33203125" style="1" hidden="1" customWidth="1"/>
    <col min="16" max="16" width="7" style="1" hidden="1" customWidth="1"/>
    <col min="17" max="17" width="7.33203125" style="1" hidden="1" customWidth="1"/>
    <col min="18" max="18" width="0" style="1" hidden="1" customWidth="1"/>
    <col min="19" max="19" width="9.1640625" style="1"/>
    <col min="20" max="20" width="12.1640625" style="189" customWidth="1"/>
    <col min="21" max="21" width="10.5" style="202" customWidth="1"/>
    <col min="22" max="22" width="13.33203125" style="198" customWidth="1"/>
    <col min="23" max="16384" width="9.1640625" style="1"/>
  </cols>
  <sheetData>
    <row r="1" spans="1:22" ht="18" customHeight="1">
      <c r="F1" s="156" t="s">
        <v>80</v>
      </c>
      <c r="G1" s="161"/>
      <c r="H1" s="161"/>
      <c r="I1" s="161"/>
      <c r="J1" s="161"/>
      <c r="K1" s="134"/>
      <c r="L1" s="134"/>
      <c r="M1" s="134"/>
      <c r="N1" s="134"/>
      <c r="O1" s="134"/>
      <c r="P1" s="135"/>
      <c r="Q1" s="135"/>
    </row>
    <row r="2" spans="1:22" ht="22.5" customHeight="1">
      <c r="F2" s="157" t="s">
        <v>71</v>
      </c>
      <c r="H2" s="251" t="s">
        <v>369</v>
      </c>
      <c r="I2" s="251"/>
      <c r="J2" s="251"/>
      <c r="K2" s="117"/>
      <c r="L2" s="117"/>
      <c r="M2" s="134"/>
      <c r="N2" s="134"/>
      <c r="O2" s="134"/>
      <c r="P2" s="135"/>
      <c r="Q2" s="135"/>
    </row>
    <row r="3" spans="1:22" ht="11.25" customHeight="1">
      <c r="F3" s="157" t="s">
        <v>72</v>
      </c>
      <c r="G3" s="158"/>
      <c r="H3" s="158" t="str">
        <f>'Krycí list'!E7</f>
        <v>Rodinný dům</v>
      </c>
      <c r="I3" s="158"/>
      <c r="J3" s="158"/>
      <c r="K3" s="117"/>
      <c r="L3" s="117"/>
      <c r="M3" s="134"/>
      <c r="N3" s="134"/>
      <c r="O3" s="134"/>
      <c r="P3" s="135"/>
      <c r="Q3" s="135"/>
    </row>
    <row r="4" spans="1:22" ht="11.25" customHeight="1">
      <c r="F4" s="157" t="s">
        <v>73</v>
      </c>
      <c r="G4" s="158"/>
      <c r="H4" s="158" t="str">
        <f>'Krycí list'!E9</f>
        <v xml:space="preserve"> </v>
      </c>
      <c r="I4" s="158"/>
      <c r="J4" s="158"/>
      <c r="K4" s="117"/>
      <c r="L4" s="117"/>
      <c r="M4" s="134"/>
      <c r="N4" s="134"/>
      <c r="O4" s="134"/>
      <c r="P4" s="135"/>
      <c r="Q4" s="135"/>
    </row>
    <row r="5" spans="1:22" ht="11.25" customHeight="1">
      <c r="F5" s="158" t="s">
        <v>81</v>
      </c>
      <c r="G5" s="158"/>
      <c r="H5" s="158" t="str">
        <f>'Krycí list'!P5</f>
        <v xml:space="preserve"> </v>
      </c>
      <c r="I5" s="158"/>
      <c r="J5" s="158"/>
      <c r="K5" s="117"/>
      <c r="L5" s="117"/>
      <c r="M5" s="134"/>
      <c r="N5" s="134"/>
      <c r="O5" s="134"/>
      <c r="P5" s="135"/>
      <c r="Q5" s="135"/>
    </row>
    <row r="6" spans="1:22" ht="6" customHeight="1">
      <c r="F6" s="158"/>
      <c r="G6" s="158"/>
      <c r="H6" s="158"/>
      <c r="I6" s="158"/>
      <c r="J6" s="158"/>
      <c r="K6" s="117"/>
      <c r="L6" s="117"/>
      <c r="M6" s="134"/>
      <c r="N6" s="134"/>
      <c r="O6" s="134"/>
      <c r="P6" s="135"/>
      <c r="Q6" s="135"/>
    </row>
    <row r="7" spans="1:22" ht="11.25" customHeight="1">
      <c r="F7" s="158" t="s">
        <v>74</v>
      </c>
      <c r="H7" s="205"/>
      <c r="I7" s="205"/>
      <c r="J7" s="158"/>
      <c r="K7" s="117"/>
      <c r="L7" s="117"/>
      <c r="M7" s="134"/>
      <c r="N7" s="134"/>
      <c r="O7" s="134"/>
      <c r="P7" s="135"/>
      <c r="Q7" s="135"/>
    </row>
    <row r="8" spans="1:22" ht="11.25" customHeight="1">
      <c r="F8" s="158" t="s">
        <v>75</v>
      </c>
      <c r="G8" s="158"/>
      <c r="H8" s="158"/>
      <c r="I8" s="158"/>
      <c r="J8" s="158"/>
      <c r="K8" s="117"/>
      <c r="L8" s="117"/>
      <c r="M8" s="134"/>
      <c r="N8" s="134"/>
      <c r="O8" s="134"/>
      <c r="P8" s="135"/>
      <c r="Q8" s="135"/>
    </row>
    <row r="9" spans="1:22" ht="11.25" customHeight="1">
      <c r="F9" s="158" t="s">
        <v>76</v>
      </c>
      <c r="G9" s="158"/>
      <c r="H9" s="169"/>
      <c r="I9" s="158"/>
      <c r="J9" s="158"/>
      <c r="K9" s="117"/>
      <c r="L9" s="117"/>
      <c r="M9" s="134"/>
      <c r="N9" s="134"/>
      <c r="O9" s="134"/>
      <c r="P9" s="135"/>
      <c r="Q9" s="135"/>
    </row>
    <row r="10" spans="1:22" ht="5.25" customHeight="1">
      <c r="A10" s="134"/>
      <c r="B10" s="134"/>
      <c r="C10" s="134"/>
      <c r="D10" s="134"/>
      <c r="E10" s="161"/>
      <c r="F10" s="161"/>
      <c r="G10" s="161"/>
      <c r="H10" s="161"/>
      <c r="I10" s="161"/>
      <c r="J10" s="161"/>
      <c r="K10" s="134"/>
      <c r="L10" s="134"/>
      <c r="M10" s="134"/>
      <c r="N10" s="134"/>
      <c r="O10" s="134"/>
      <c r="P10" s="135"/>
      <c r="Q10" s="135"/>
    </row>
    <row r="11" spans="1:22" ht="25.5" customHeight="1">
      <c r="A11" s="118" t="s">
        <v>82</v>
      </c>
      <c r="B11" s="119" t="s">
        <v>83</v>
      </c>
      <c r="C11" s="119" t="s">
        <v>84</v>
      </c>
      <c r="D11" s="119" t="s">
        <v>85</v>
      </c>
      <c r="E11" s="159" t="s">
        <v>239</v>
      </c>
      <c r="F11" s="159" t="s">
        <v>77</v>
      </c>
      <c r="G11" s="159" t="s">
        <v>86</v>
      </c>
      <c r="H11" s="159" t="s">
        <v>87</v>
      </c>
      <c r="I11" s="159" t="s">
        <v>88</v>
      </c>
      <c r="J11" s="159" t="s">
        <v>225</v>
      </c>
      <c r="K11" s="119" t="s">
        <v>89</v>
      </c>
      <c r="L11" s="119" t="s">
        <v>78</v>
      </c>
      <c r="M11" s="119" t="s">
        <v>90</v>
      </c>
      <c r="N11" s="119" t="s">
        <v>91</v>
      </c>
      <c r="O11" s="120" t="s">
        <v>92</v>
      </c>
      <c r="P11" s="136" t="s">
        <v>93</v>
      </c>
      <c r="Q11" s="137" t="s">
        <v>94</v>
      </c>
    </row>
    <row r="12" spans="1:22" ht="11.25" customHeight="1">
      <c r="A12" s="121">
        <v>1</v>
      </c>
      <c r="B12" s="122">
        <v>2</v>
      </c>
      <c r="C12" s="122">
        <v>3</v>
      </c>
      <c r="D12" s="122">
        <v>4</v>
      </c>
      <c r="E12" s="160"/>
      <c r="F12" s="160">
        <v>5</v>
      </c>
      <c r="G12" s="160">
        <v>6</v>
      </c>
      <c r="H12" s="160">
        <v>7</v>
      </c>
      <c r="I12" s="160">
        <v>8</v>
      </c>
      <c r="J12" s="160">
        <v>9</v>
      </c>
      <c r="K12" s="122"/>
      <c r="L12" s="122"/>
      <c r="M12" s="122"/>
      <c r="N12" s="122"/>
      <c r="O12" s="123">
        <v>10</v>
      </c>
      <c r="P12" s="138">
        <v>11</v>
      </c>
      <c r="Q12" s="139">
        <v>12</v>
      </c>
    </row>
    <row r="13" spans="1:22" ht="3.75" customHeight="1">
      <c r="A13" s="134"/>
      <c r="B13" s="134"/>
      <c r="C13" s="134"/>
      <c r="D13" s="134"/>
      <c r="E13" s="161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40"/>
    </row>
    <row r="14" spans="1:22" s="124" customFormat="1" ht="12.75" customHeight="1">
      <c r="A14" s="141"/>
      <c r="B14" s="142" t="s">
        <v>59</v>
      </c>
      <c r="C14" s="141"/>
      <c r="D14" s="141" t="s">
        <v>38</v>
      </c>
      <c r="E14" s="207">
        <v>1</v>
      </c>
      <c r="F14" s="141" t="s">
        <v>95</v>
      </c>
      <c r="G14" s="141"/>
      <c r="H14" s="163"/>
      <c r="I14" s="163"/>
      <c r="J14" s="143"/>
      <c r="K14" s="141"/>
      <c r="L14" s="144" t="e">
        <f>L15+L19+L40+L45+L58+L60+#REF!+#REF!</f>
        <v>#REF!</v>
      </c>
      <c r="M14" s="141"/>
      <c r="N14" s="144" t="e">
        <f>N15+N19+N40+N45+N58+N60+#REF!+#REF!</f>
        <v>#REF!</v>
      </c>
      <c r="O14" s="141"/>
      <c r="Q14" s="126" t="s">
        <v>96</v>
      </c>
      <c r="T14" s="190"/>
      <c r="U14" s="203"/>
      <c r="V14" s="199"/>
    </row>
    <row r="15" spans="1:22" s="124" customFormat="1" ht="12.75" customHeight="1">
      <c r="B15" s="128" t="s">
        <v>59</v>
      </c>
      <c r="D15" s="129" t="s">
        <v>97</v>
      </c>
      <c r="E15" s="207">
        <v>2</v>
      </c>
      <c r="F15" s="164" t="s">
        <v>98</v>
      </c>
      <c r="H15" s="162"/>
      <c r="I15" s="162"/>
      <c r="J15" s="130"/>
      <c r="L15" s="131">
        <f>SUM(L16:L18)</f>
        <v>0</v>
      </c>
      <c r="N15" s="131">
        <f>SUM(N16:N18)</f>
        <v>0</v>
      </c>
      <c r="Q15" s="129" t="s">
        <v>97</v>
      </c>
      <c r="T15" s="190"/>
      <c r="U15" s="203"/>
      <c r="V15" s="199"/>
    </row>
    <row r="16" spans="1:22" s="16" customFormat="1" ht="13.5" customHeight="1">
      <c r="A16" s="145"/>
      <c r="B16" s="145"/>
      <c r="C16" s="145"/>
      <c r="E16" s="207">
        <f>E15+1</f>
        <v>3</v>
      </c>
      <c r="F16" s="165" t="s">
        <v>250</v>
      </c>
      <c r="G16" s="176" t="s">
        <v>101</v>
      </c>
      <c r="H16" s="177">
        <v>3</v>
      </c>
      <c r="I16" s="197"/>
      <c r="J16" s="178"/>
      <c r="K16" s="147"/>
      <c r="L16" s="146"/>
      <c r="M16" s="147"/>
      <c r="N16" s="146"/>
      <c r="O16" s="148"/>
      <c r="P16" s="149"/>
      <c r="T16" s="191"/>
      <c r="U16" s="203"/>
      <c r="V16" s="200"/>
    </row>
    <row r="17" spans="1:22" s="16" customFormat="1" ht="12.75" customHeight="1">
      <c r="A17" s="145" t="s">
        <v>105</v>
      </c>
      <c r="B17" s="145" t="s">
        <v>99</v>
      </c>
      <c r="C17" s="145" t="s">
        <v>100</v>
      </c>
      <c r="D17" s="16" t="s">
        <v>106</v>
      </c>
      <c r="E17" s="207">
        <f t="shared" ref="E17:E80" si="0">E16+1</f>
        <v>4</v>
      </c>
      <c r="F17" s="165" t="s">
        <v>227</v>
      </c>
      <c r="G17" s="176" t="s">
        <v>101</v>
      </c>
      <c r="H17" s="177">
        <v>3</v>
      </c>
      <c r="I17" s="178"/>
      <c r="J17" s="178"/>
      <c r="K17" s="147">
        <v>0</v>
      </c>
      <c r="L17" s="146">
        <f t="shared" ref="L17" si="1">H17*K17</f>
        <v>0</v>
      </c>
      <c r="M17" s="147">
        <v>0</v>
      </c>
      <c r="N17" s="146">
        <f t="shared" ref="N17" si="2">H17*M17</f>
        <v>0</v>
      </c>
      <c r="O17" s="148">
        <v>20</v>
      </c>
      <c r="P17" s="149">
        <v>4</v>
      </c>
      <c r="Q17" s="16" t="s">
        <v>102</v>
      </c>
      <c r="T17" s="191"/>
      <c r="U17" s="203"/>
      <c r="V17" s="200"/>
    </row>
    <row r="18" spans="1:22" s="16" customFormat="1" ht="13.5" customHeight="1">
      <c r="A18" s="145"/>
      <c r="B18" s="145"/>
      <c r="C18" s="145"/>
      <c r="E18" s="207">
        <f t="shared" si="0"/>
        <v>5</v>
      </c>
      <c r="F18" s="165" t="s">
        <v>251</v>
      </c>
      <c r="G18" s="212" t="s">
        <v>112</v>
      </c>
      <c r="H18" s="177">
        <v>8</v>
      </c>
      <c r="I18" s="197"/>
      <c r="J18" s="197"/>
      <c r="K18" s="147"/>
      <c r="L18" s="146"/>
      <c r="M18" s="147"/>
      <c r="N18" s="146"/>
      <c r="O18" s="148"/>
      <c r="P18" s="149"/>
      <c r="T18" s="191"/>
      <c r="U18" s="203"/>
      <c r="V18" s="200"/>
    </row>
    <row r="19" spans="1:22" s="124" customFormat="1" ht="12.75" customHeight="1">
      <c r="B19" s="128" t="s">
        <v>59</v>
      </c>
      <c r="D19" s="129" t="s">
        <v>102</v>
      </c>
      <c r="E19" s="207">
        <f t="shared" si="0"/>
        <v>6</v>
      </c>
      <c r="F19" s="164" t="s">
        <v>307</v>
      </c>
      <c r="G19" s="183"/>
      <c r="H19" s="183"/>
      <c r="I19" s="183"/>
      <c r="J19" s="184"/>
      <c r="L19" s="131">
        <f>SUM(L22:L35)</f>
        <v>779.06286119999993</v>
      </c>
      <c r="N19" s="131">
        <f>SUM(N22:N35)</f>
        <v>0</v>
      </c>
      <c r="Q19" s="129" t="s">
        <v>97</v>
      </c>
      <c r="T19" s="190"/>
      <c r="U19" s="203"/>
      <c r="V19" s="200"/>
    </row>
    <row r="20" spans="1:22" s="124" customFormat="1" ht="26.25" customHeight="1">
      <c r="B20" s="128"/>
      <c r="D20" s="129"/>
      <c r="E20" s="207">
        <f t="shared" si="0"/>
        <v>7</v>
      </c>
      <c r="F20" s="193" t="s">
        <v>308</v>
      </c>
      <c r="G20" s="194" t="s">
        <v>111</v>
      </c>
      <c r="H20" s="240">
        <v>300</v>
      </c>
      <c r="I20" s="185"/>
      <c r="J20" s="186"/>
      <c r="K20" s="170">
        <v>120</v>
      </c>
      <c r="L20" s="170">
        <f>K20*H20</f>
        <v>36000</v>
      </c>
      <c r="M20" s="171">
        <f>2*180*5+500</f>
        <v>2300</v>
      </c>
      <c r="N20" s="172">
        <f t="shared" ref="N20" si="3">L20+M20</f>
        <v>38300</v>
      </c>
      <c r="Q20" s="129"/>
      <c r="T20" s="190"/>
      <c r="U20" s="203"/>
      <c r="V20" s="200"/>
    </row>
    <row r="21" spans="1:22" s="124" customFormat="1" ht="30" customHeight="1">
      <c r="B21" s="128"/>
      <c r="D21" s="129"/>
      <c r="E21" s="207">
        <f t="shared" si="0"/>
        <v>8</v>
      </c>
      <c r="F21" s="193" t="s">
        <v>309</v>
      </c>
      <c r="G21" s="194" t="s">
        <v>111</v>
      </c>
      <c r="H21" s="240">
        <v>9000</v>
      </c>
      <c r="I21" s="185"/>
      <c r="J21" s="186"/>
      <c r="L21" s="131"/>
      <c r="N21" s="131"/>
      <c r="Q21" s="129"/>
      <c r="T21" s="190"/>
      <c r="U21" s="203"/>
      <c r="V21" s="200"/>
    </row>
    <row r="22" spans="1:22" s="16" customFormat="1" ht="27.75" customHeight="1">
      <c r="A22" s="145" t="s">
        <v>114</v>
      </c>
      <c r="B22" s="145" t="s">
        <v>99</v>
      </c>
      <c r="C22" s="145" t="s">
        <v>115</v>
      </c>
      <c r="E22" s="207">
        <f t="shared" si="0"/>
        <v>9</v>
      </c>
      <c r="F22" s="165" t="s">
        <v>310</v>
      </c>
      <c r="G22" s="176" t="s">
        <v>111</v>
      </c>
      <c r="H22" s="177">
        <v>300</v>
      </c>
      <c r="I22" s="178"/>
      <c r="J22" s="186"/>
      <c r="K22" s="147">
        <v>2.3848422039999999</v>
      </c>
      <c r="L22" s="146">
        <f>H22*K22</f>
        <v>715.45266119999997</v>
      </c>
      <c r="M22" s="147">
        <v>0</v>
      </c>
      <c r="N22" s="146">
        <f>H22*M22</f>
        <v>0</v>
      </c>
      <c r="O22" s="148">
        <v>20</v>
      </c>
      <c r="P22" s="149">
        <v>4</v>
      </c>
      <c r="Q22" s="16" t="s">
        <v>102</v>
      </c>
      <c r="T22" s="191"/>
      <c r="U22" s="203"/>
      <c r="V22" s="200"/>
    </row>
    <row r="23" spans="1:22" s="16" customFormat="1" ht="13.5" customHeight="1">
      <c r="A23" s="145"/>
      <c r="B23" s="145"/>
      <c r="C23" s="145"/>
      <c r="E23" s="207">
        <f t="shared" si="0"/>
        <v>10</v>
      </c>
      <c r="F23" s="165" t="s">
        <v>311</v>
      </c>
      <c r="G23" s="176" t="s">
        <v>111</v>
      </c>
      <c r="H23" s="177">
        <v>300</v>
      </c>
      <c r="I23" s="178"/>
      <c r="J23" s="186"/>
      <c r="K23" s="147"/>
      <c r="L23" s="146"/>
      <c r="M23" s="147"/>
      <c r="N23" s="146"/>
      <c r="O23" s="148"/>
      <c r="P23" s="149"/>
      <c r="T23" s="191"/>
      <c r="U23" s="203"/>
      <c r="V23" s="200"/>
    </row>
    <row r="24" spans="1:22" s="16" customFormat="1" ht="13.5" customHeight="1">
      <c r="A24" s="145"/>
      <c r="B24" s="145"/>
      <c r="C24" s="145"/>
      <c r="E24" s="207">
        <f t="shared" si="0"/>
        <v>11</v>
      </c>
      <c r="F24" s="165" t="s">
        <v>312</v>
      </c>
      <c r="G24" s="176" t="s">
        <v>101</v>
      </c>
      <c r="H24" s="177">
        <v>2.5</v>
      </c>
      <c r="I24" s="178"/>
      <c r="J24" s="186"/>
      <c r="K24" s="147"/>
      <c r="L24" s="146"/>
      <c r="M24" s="147"/>
      <c r="N24" s="146"/>
      <c r="O24" s="148"/>
      <c r="P24" s="149"/>
      <c r="T24" s="191"/>
      <c r="U24" s="203"/>
      <c r="V24" s="200"/>
    </row>
    <row r="25" spans="1:22" s="16" customFormat="1" ht="13.5" customHeight="1">
      <c r="A25" s="145"/>
      <c r="B25" s="145"/>
      <c r="C25" s="145"/>
      <c r="E25" s="207">
        <f t="shared" si="0"/>
        <v>12</v>
      </c>
      <c r="F25" s="165" t="s">
        <v>314</v>
      </c>
      <c r="G25" s="176" t="s">
        <v>101</v>
      </c>
      <c r="H25" s="177">
        <v>3.02</v>
      </c>
      <c r="I25" s="178"/>
      <c r="J25" s="186"/>
      <c r="K25" s="147"/>
      <c r="L25" s="146"/>
      <c r="M25" s="147"/>
      <c r="N25" s="146"/>
      <c r="O25" s="148"/>
      <c r="P25" s="149"/>
      <c r="T25" s="191"/>
      <c r="U25" s="203"/>
      <c r="V25" s="200"/>
    </row>
    <row r="26" spans="1:22" s="16" customFormat="1" ht="15" customHeight="1">
      <c r="A26" s="145"/>
      <c r="B26" s="145"/>
      <c r="C26" s="145"/>
      <c r="E26" s="207">
        <f t="shared" si="0"/>
        <v>13</v>
      </c>
      <c r="F26" s="165" t="s">
        <v>362</v>
      </c>
      <c r="G26" s="176" t="s">
        <v>111</v>
      </c>
      <c r="H26" s="177">
        <v>88.8</v>
      </c>
      <c r="I26" s="178"/>
      <c r="J26" s="186"/>
      <c r="K26" s="147"/>
      <c r="L26" s="146"/>
      <c r="M26" s="147"/>
      <c r="N26" s="146"/>
      <c r="O26" s="148"/>
      <c r="P26" s="149"/>
      <c r="T26" s="191"/>
      <c r="U26" s="203"/>
      <c r="V26" s="200"/>
    </row>
    <row r="27" spans="1:22" s="16" customFormat="1" ht="15" customHeight="1">
      <c r="A27" s="145"/>
      <c r="B27" s="145"/>
      <c r="C27" s="145"/>
      <c r="E27" s="207">
        <f t="shared" si="0"/>
        <v>14</v>
      </c>
      <c r="F27" s="165" t="s">
        <v>315</v>
      </c>
      <c r="G27" s="176" t="s">
        <v>101</v>
      </c>
      <c r="H27" s="177">
        <v>5.08</v>
      </c>
      <c r="I27" s="178"/>
      <c r="J27" s="186"/>
      <c r="K27" s="147"/>
      <c r="L27" s="146"/>
      <c r="M27" s="147"/>
      <c r="N27" s="146"/>
      <c r="O27" s="148"/>
      <c r="P27" s="149"/>
      <c r="T27" s="191"/>
      <c r="U27" s="203"/>
      <c r="V27" s="200"/>
    </row>
    <row r="28" spans="1:22" s="16" customFormat="1" ht="15" customHeight="1">
      <c r="A28" s="145"/>
      <c r="B28" s="145"/>
      <c r="C28" s="145"/>
      <c r="E28" s="207">
        <f t="shared" si="0"/>
        <v>15</v>
      </c>
      <c r="F28" s="165" t="s">
        <v>317</v>
      </c>
      <c r="G28" s="176" t="s">
        <v>101</v>
      </c>
      <c r="H28" s="177">
        <v>21.2</v>
      </c>
      <c r="I28" s="178"/>
      <c r="J28" s="186"/>
      <c r="K28" s="147"/>
      <c r="L28" s="146"/>
      <c r="M28" s="147"/>
      <c r="N28" s="146"/>
      <c r="O28" s="148"/>
      <c r="P28" s="149"/>
      <c r="T28" s="191"/>
      <c r="U28" s="203"/>
      <c r="V28" s="200"/>
    </row>
    <row r="29" spans="1:22" s="16" customFormat="1" ht="15" customHeight="1">
      <c r="A29" s="145"/>
      <c r="B29" s="145"/>
      <c r="C29" s="145"/>
      <c r="E29" s="207">
        <f t="shared" si="0"/>
        <v>16</v>
      </c>
      <c r="F29" s="193" t="s">
        <v>313</v>
      </c>
      <c r="G29" s="194" t="s">
        <v>111</v>
      </c>
      <c r="H29" s="177">
        <v>5.95</v>
      </c>
      <c r="I29" s="178"/>
      <c r="J29" s="186"/>
      <c r="K29" s="147"/>
      <c r="L29" s="146"/>
      <c r="M29" s="147"/>
      <c r="N29" s="146"/>
      <c r="O29" s="148"/>
      <c r="P29" s="149"/>
      <c r="T29" s="191"/>
      <c r="U29" s="203"/>
      <c r="V29" s="200"/>
    </row>
    <row r="30" spans="1:22" s="16" customFormat="1" ht="15" customHeight="1">
      <c r="A30" s="145"/>
      <c r="B30" s="145"/>
      <c r="C30" s="145"/>
      <c r="E30" s="207">
        <f t="shared" si="0"/>
        <v>17</v>
      </c>
      <c r="F30" s="193" t="s">
        <v>316</v>
      </c>
      <c r="G30" s="194" t="s">
        <v>111</v>
      </c>
      <c r="H30" s="177">
        <v>8</v>
      </c>
      <c r="I30" s="178"/>
      <c r="J30" s="186"/>
      <c r="K30" s="147"/>
      <c r="L30" s="146"/>
      <c r="M30" s="147"/>
      <c r="N30" s="146"/>
      <c r="O30" s="148"/>
      <c r="P30" s="149"/>
      <c r="T30" s="191"/>
      <c r="U30" s="203"/>
      <c r="V30" s="200"/>
    </row>
    <row r="31" spans="1:22" s="16" customFormat="1" ht="15" customHeight="1">
      <c r="A31" s="145"/>
      <c r="B31" s="145"/>
      <c r="C31" s="145"/>
      <c r="E31" s="207">
        <f t="shared" si="0"/>
        <v>18</v>
      </c>
      <c r="F31" s="193" t="s">
        <v>347</v>
      </c>
      <c r="G31" s="194" t="s">
        <v>252</v>
      </c>
      <c r="H31" s="177">
        <v>32</v>
      </c>
      <c r="I31" s="178"/>
      <c r="J31" s="186"/>
      <c r="K31" s="147"/>
      <c r="L31" s="146"/>
      <c r="M31" s="147"/>
      <c r="N31" s="146"/>
      <c r="O31" s="148"/>
      <c r="P31" s="149"/>
      <c r="T31" s="191"/>
      <c r="U31" s="203"/>
      <c r="V31" s="200"/>
    </row>
    <row r="32" spans="1:22" s="16" customFormat="1" ht="13.5" customHeight="1">
      <c r="A32" s="145" t="s">
        <v>116</v>
      </c>
      <c r="B32" s="145" t="s">
        <v>99</v>
      </c>
      <c r="C32" s="145" t="s">
        <v>115</v>
      </c>
      <c r="E32" s="207">
        <f t="shared" si="0"/>
        <v>19</v>
      </c>
      <c r="F32" s="164" t="s">
        <v>318</v>
      </c>
      <c r="G32" s="176"/>
      <c r="H32" s="211"/>
      <c r="I32" s="178"/>
      <c r="J32" s="184"/>
      <c r="K32" s="147">
        <v>2.2563399999999998</v>
      </c>
      <c r="L32" s="146">
        <f>H32*K32</f>
        <v>0</v>
      </c>
      <c r="M32" s="147">
        <v>0</v>
      </c>
      <c r="N32" s="146">
        <f>H32*M32</f>
        <v>0</v>
      </c>
      <c r="O32" s="148">
        <v>20</v>
      </c>
      <c r="P32" s="149">
        <v>4</v>
      </c>
      <c r="Q32" s="16" t="s">
        <v>102</v>
      </c>
      <c r="T32" s="191"/>
      <c r="U32" s="203"/>
      <c r="V32" s="200"/>
    </row>
    <row r="33" spans="1:22" s="16" customFormat="1" ht="13.5" customHeight="1">
      <c r="A33" s="145"/>
      <c r="B33" s="145"/>
      <c r="C33" s="145"/>
      <c r="E33" s="207">
        <f t="shared" si="0"/>
        <v>20</v>
      </c>
      <c r="F33" s="165" t="s">
        <v>319</v>
      </c>
      <c r="G33" s="194" t="s">
        <v>109</v>
      </c>
      <c r="H33" s="213">
        <v>60</v>
      </c>
      <c r="I33" s="178"/>
      <c r="J33" s="186"/>
      <c r="K33" s="147"/>
      <c r="L33" s="146"/>
      <c r="M33" s="147"/>
      <c r="N33" s="146"/>
      <c r="O33" s="148"/>
      <c r="P33" s="149"/>
      <c r="T33" s="191"/>
      <c r="U33" s="203"/>
      <c r="V33" s="200"/>
    </row>
    <row r="34" spans="1:22" s="16" customFormat="1" ht="25.5" customHeight="1">
      <c r="A34" s="145"/>
      <c r="B34" s="145"/>
      <c r="C34" s="145"/>
      <c r="E34" s="207">
        <f t="shared" si="0"/>
        <v>21</v>
      </c>
      <c r="F34" s="165" t="s">
        <v>320</v>
      </c>
      <c r="G34" s="194" t="s">
        <v>109</v>
      </c>
      <c r="H34" s="213">
        <v>60</v>
      </c>
      <c r="I34" s="178"/>
      <c r="J34" s="186"/>
      <c r="K34" s="147"/>
      <c r="L34" s="146"/>
      <c r="M34" s="147"/>
      <c r="N34" s="146"/>
      <c r="O34" s="148"/>
      <c r="P34" s="149"/>
      <c r="T34" s="191"/>
      <c r="U34" s="203"/>
      <c r="V34" s="200"/>
    </row>
    <row r="35" spans="1:22" s="16" customFormat="1" ht="27.75" customHeight="1">
      <c r="A35" s="145" t="s">
        <v>117</v>
      </c>
      <c r="B35" s="145" t="s">
        <v>99</v>
      </c>
      <c r="C35" s="145" t="s">
        <v>115</v>
      </c>
      <c r="D35" s="16" t="s">
        <v>118</v>
      </c>
      <c r="E35" s="207">
        <f t="shared" si="0"/>
        <v>22</v>
      </c>
      <c r="F35" s="165" t="s">
        <v>321</v>
      </c>
      <c r="G35" s="194" t="s">
        <v>109</v>
      </c>
      <c r="H35" s="213">
        <v>60</v>
      </c>
      <c r="I35" s="178"/>
      <c r="J35" s="186"/>
      <c r="K35" s="147">
        <v>1.0601700000000001</v>
      </c>
      <c r="L35" s="146">
        <f>H35*K35</f>
        <v>63.610200000000006</v>
      </c>
      <c r="M35" s="147">
        <v>0</v>
      </c>
      <c r="N35" s="146">
        <f>H35*M35</f>
        <v>0</v>
      </c>
      <c r="O35" s="148">
        <v>20</v>
      </c>
      <c r="P35" s="149">
        <v>4</v>
      </c>
      <c r="Q35" s="16" t="s">
        <v>102</v>
      </c>
      <c r="T35" s="191"/>
      <c r="U35" s="203"/>
      <c r="V35" s="200"/>
    </row>
    <row r="36" spans="1:22" s="16" customFormat="1" ht="27.75" customHeight="1">
      <c r="A36" s="145"/>
      <c r="B36" s="145"/>
      <c r="C36" s="145"/>
      <c r="E36" s="207">
        <f t="shared" si="0"/>
        <v>23</v>
      </c>
      <c r="F36" s="165" t="s">
        <v>322</v>
      </c>
      <c r="G36" s="194" t="s">
        <v>109</v>
      </c>
      <c r="H36" s="213">
        <v>600</v>
      </c>
      <c r="I36" s="178"/>
      <c r="J36" s="186"/>
      <c r="K36" s="147"/>
      <c r="L36" s="146"/>
      <c r="M36" s="147"/>
      <c r="N36" s="146"/>
      <c r="O36" s="148"/>
      <c r="P36" s="149"/>
      <c r="T36" s="191"/>
      <c r="U36" s="203"/>
      <c r="V36" s="200"/>
    </row>
    <row r="37" spans="1:22" s="16" customFormat="1" ht="15" customHeight="1">
      <c r="A37" s="145"/>
      <c r="B37" s="145"/>
      <c r="C37" s="145"/>
      <c r="E37" s="207">
        <f t="shared" si="0"/>
        <v>24</v>
      </c>
      <c r="F37" s="165" t="s">
        <v>323</v>
      </c>
      <c r="G37" s="194" t="s">
        <v>109</v>
      </c>
      <c r="H37" s="213">
        <v>60</v>
      </c>
      <c r="I37" s="178"/>
      <c r="J37" s="186"/>
      <c r="K37" s="147"/>
      <c r="L37" s="146"/>
      <c r="M37" s="147"/>
      <c r="N37" s="146"/>
      <c r="O37" s="148"/>
      <c r="P37" s="149"/>
      <c r="T37" s="191"/>
      <c r="U37" s="203"/>
      <c r="V37" s="200"/>
    </row>
    <row r="38" spans="1:22" s="16" customFormat="1" ht="15" customHeight="1">
      <c r="A38" s="145"/>
      <c r="B38" s="145"/>
      <c r="C38" s="145"/>
      <c r="E38" s="207">
        <f t="shared" si="0"/>
        <v>25</v>
      </c>
      <c r="F38" s="164" t="s">
        <v>136</v>
      </c>
      <c r="G38" s="183"/>
      <c r="H38" s="183"/>
      <c r="I38" s="183"/>
      <c r="J38" s="184"/>
      <c r="K38" s="147"/>
      <c r="L38" s="146"/>
      <c r="M38" s="147"/>
      <c r="N38" s="146"/>
      <c r="O38" s="148"/>
      <c r="P38" s="149"/>
      <c r="T38" s="191"/>
      <c r="U38" s="203"/>
      <c r="V38" s="200"/>
    </row>
    <row r="39" spans="1:22" s="16" customFormat="1" ht="15" customHeight="1">
      <c r="A39" s="145"/>
      <c r="B39" s="145"/>
      <c r="C39" s="145"/>
      <c r="E39" s="207">
        <f t="shared" si="0"/>
        <v>26</v>
      </c>
      <c r="F39" s="165" t="s">
        <v>137</v>
      </c>
      <c r="G39" s="176" t="s">
        <v>109</v>
      </c>
      <c r="H39" s="177">
        <v>105</v>
      </c>
      <c r="I39" s="178"/>
      <c r="J39" s="178"/>
      <c r="K39" s="147"/>
      <c r="L39" s="146"/>
      <c r="M39" s="147"/>
      <c r="N39" s="146"/>
      <c r="O39" s="148"/>
      <c r="P39" s="149"/>
      <c r="T39" s="191"/>
      <c r="U39" s="203"/>
      <c r="V39" s="200"/>
    </row>
    <row r="40" spans="1:22" s="124" customFormat="1" ht="12.75" customHeight="1">
      <c r="B40" s="128" t="s">
        <v>59</v>
      </c>
      <c r="D40" s="129" t="s">
        <v>103</v>
      </c>
      <c r="E40" s="207">
        <f t="shared" si="0"/>
        <v>27</v>
      </c>
      <c r="F40" s="164" t="s">
        <v>119</v>
      </c>
      <c r="G40" s="183"/>
      <c r="H40" s="183"/>
      <c r="I40" s="183"/>
      <c r="J40" s="184"/>
      <c r="L40" s="131">
        <f>SUM(L41:L44)</f>
        <v>0.92033999999999994</v>
      </c>
      <c r="N40" s="131">
        <f>SUM(N41:N44)</f>
        <v>0</v>
      </c>
      <c r="Q40" s="129" t="s">
        <v>97</v>
      </c>
      <c r="T40" s="190"/>
      <c r="U40" s="203"/>
      <c r="V40" s="200"/>
    </row>
    <row r="41" spans="1:22" s="16" customFormat="1" ht="25.5" customHeight="1">
      <c r="A41" s="145" t="s">
        <v>120</v>
      </c>
      <c r="B41" s="145" t="s">
        <v>99</v>
      </c>
      <c r="C41" s="145" t="s">
        <v>115</v>
      </c>
      <c r="D41" s="16" t="s">
        <v>121</v>
      </c>
      <c r="E41" s="207">
        <f t="shared" si="0"/>
        <v>28</v>
      </c>
      <c r="F41" s="165" t="s">
        <v>296</v>
      </c>
      <c r="G41" s="176" t="s">
        <v>111</v>
      </c>
      <c r="H41" s="177">
        <v>3</v>
      </c>
      <c r="I41" s="178"/>
      <c r="J41" s="178"/>
      <c r="K41" s="147">
        <v>0.30678</v>
      </c>
      <c r="L41" s="146">
        <f>H41*K41</f>
        <v>0.92033999999999994</v>
      </c>
      <c r="M41" s="147">
        <v>0</v>
      </c>
      <c r="N41" s="146">
        <f>H41*M41</f>
        <v>0</v>
      </c>
      <c r="O41" s="148">
        <v>20</v>
      </c>
      <c r="P41" s="149">
        <v>4</v>
      </c>
      <c r="Q41" s="16" t="s">
        <v>102</v>
      </c>
      <c r="T41" s="191"/>
      <c r="U41" s="203"/>
      <c r="V41" s="200"/>
    </row>
    <row r="42" spans="1:22" s="16" customFormat="1" ht="25.5" customHeight="1">
      <c r="A42" s="145"/>
      <c r="B42" s="145"/>
      <c r="C42" s="145"/>
      <c r="E42" s="207">
        <f t="shared" si="0"/>
        <v>29</v>
      </c>
      <c r="F42" s="165" t="s">
        <v>297</v>
      </c>
      <c r="G42" s="176" t="s">
        <v>101</v>
      </c>
      <c r="H42" s="177">
        <v>2</v>
      </c>
      <c r="I42" s="178"/>
      <c r="J42" s="178"/>
      <c r="K42" s="147"/>
      <c r="L42" s="146"/>
      <c r="M42" s="147"/>
      <c r="N42" s="146"/>
      <c r="O42" s="148"/>
      <c r="P42" s="149"/>
      <c r="T42" s="191"/>
      <c r="U42" s="203"/>
      <c r="V42" s="200"/>
    </row>
    <row r="43" spans="1:22" s="16" customFormat="1" ht="13" customHeight="1">
      <c r="A43" s="145"/>
      <c r="B43" s="145"/>
      <c r="C43" s="145"/>
      <c r="E43" s="207">
        <f t="shared" si="0"/>
        <v>30</v>
      </c>
      <c r="F43" s="165" t="s">
        <v>348</v>
      </c>
      <c r="G43" s="176" t="s">
        <v>252</v>
      </c>
      <c r="H43" s="177">
        <v>96</v>
      </c>
      <c r="I43" s="178"/>
      <c r="J43" s="178"/>
      <c r="K43" s="147"/>
      <c r="L43" s="146"/>
      <c r="M43" s="147"/>
      <c r="N43" s="146"/>
      <c r="O43" s="148"/>
      <c r="P43" s="149"/>
      <c r="T43" s="191"/>
      <c r="U43" s="203"/>
      <c r="V43" s="200"/>
    </row>
    <row r="44" spans="1:22" s="16" customFormat="1" ht="13.5" customHeight="1">
      <c r="A44" s="145"/>
      <c r="B44" s="145"/>
      <c r="C44" s="145"/>
      <c r="E44" s="207">
        <f t="shared" si="0"/>
        <v>31</v>
      </c>
      <c r="F44" s="165" t="s">
        <v>298</v>
      </c>
      <c r="G44" s="176" t="s">
        <v>112</v>
      </c>
      <c r="H44" s="177">
        <v>60</v>
      </c>
      <c r="I44" s="178"/>
      <c r="J44" s="178"/>
      <c r="K44" s="147"/>
      <c r="L44" s="146"/>
      <c r="M44" s="147"/>
      <c r="N44" s="146"/>
      <c r="O44" s="148"/>
      <c r="P44" s="149"/>
      <c r="T44" s="191"/>
      <c r="U44" s="203"/>
      <c r="V44" s="200"/>
    </row>
    <row r="45" spans="1:22" s="124" customFormat="1" ht="12.75" customHeight="1">
      <c r="B45" s="128" t="s">
        <v>59</v>
      </c>
      <c r="D45" s="129" t="s">
        <v>104</v>
      </c>
      <c r="E45" s="207">
        <f t="shared" si="0"/>
        <v>32</v>
      </c>
      <c r="F45" s="164" t="s">
        <v>122</v>
      </c>
      <c r="G45" s="183"/>
      <c r="H45" s="162"/>
      <c r="I45" s="183"/>
      <c r="J45" s="184"/>
      <c r="L45" s="131">
        <f>SUM(L55:L57)</f>
        <v>0.36043620000000004</v>
      </c>
      <c r="N45" s="131">
        <f>SUM(N55:N57)</f>
        <v>0</v>
      </c>
      <c r="Q45" s="129" t="s">
        <v>97</v>
      </c>
      <c r="T45" s="190"/>
      <c r="U45" s="203"/>
      <c r="V45" s="200"/>
    </row>
    <row r="46" spans="1:22" s="124" customFormat="1" ht="14.25" customHeight="1">
      <c r="B46" s="128"/>
      <c r="D46" s="129"/>
      <c r="E46" s="207">
        <f t="shared" si="0"/>
        <v>33</v>
      </c>
      <c r="F46" s="193" t="s">
        <v>363</v>
      </c>
      <c r="G46" s="194" t="s">
        <v>291</v>
      </c>
      <c r="H46" s="241">
        <v>44.85</v>
      </c>
      <c r="I46" s="195"/>
      <c r="J46" s="178"/>
      <c r="L46" s="131"/>
      <c r="N46" s="131"/>
      <c r="Q46" s="129"/>
      <c r="T46" s="190"/>
      <c r="U46" s="203"/>
      <c r="V46" s="200"/>
    </row>
    <row r="47" spans="1:22" s="124" customFormat="1" ht="14.25" customHeight="1">
      <c r="B47" s="128"/>
      <c r="D47" s="129"/>
      <c r="E47" s="207">
        <f t="shared" si="0"/>
        <v>34</v>
      </c>
      <c r="F47" s="193" t="s">
        <v>364</v>
      </c>
      <c r="G47" s="194" t="s">
        <v>291</v>
      </c>
      <c r="H47" s="241">
        <v>77.849999999999994</v>
      </c>
      <c r="I47" s="195"/>
      <c r="J47" s="178"/>
      <c r="L47" s="131"/>
      <c r="N47" s="131"/>
      <c r="Q47" s="129"/>
      <c r="T47" s="190"/>
      <c r="U47" s="203"/>
      <c r="V47" s="200"/>
    </row>
    <row r="48" spans="1:22" s="124" customFormat="1" ht="14.25" customHeight="1">
      <c r="B48" s="128"/>
      <c r="D48" s="129"/>
      <c r="E48" s="207">
        <f t="shared" si="0"/>
        <v>35</v>
      </c>
      <c r="F48" s="193" t="s">
        <v>290</v>
      </c>
      <c r="G48" s="194" t="s">
        <v>291</v>
      </c>
      <c r="H48" s="241">
        <v>33.81</v>
      </c>
      <c r="I48" s="195"/>
      <c r="J48" s="178"/>
      <c r="L48" s="131"/>
      <c r="N48" s="131"/>
      <c r="Q48" s="129"/>
      <c r="T48" s="190"/>
      <c r="U48" s="203"/>
      <c r="V48" s="200"/>
    </row>
    <row r="49" spans="1:22" s="124" customFormat="1" ht="12.75" customHeight="1">
      <c r="B49" s="128"/>
      <c r="D49" s="129"/>
      <c r="E49" s="207">
        <f t="shared" si="0"/>
        <v>36</v>
      </c>
      <c r="F49" s="193" t="s">
        <v>365</v>
      </c>
      <c r="G49" s="194" t="s">
        <v>291</v>
      </c>
      <c r="H49" s="241">
        <v>122.9</v>
      </c>
      <c r="I49" s="195"/>
      <c r="J49" s="178"/>
      <c r="L49" s="131"/>
      <c r="N49" s="131"/>
      <c r="Q49" s="129"/>
      <c r="T49" s="190"/>
      <c r="U49" s="203"/>
      <c r="V49" s="200"/>
    </row>
    <row r="50" spans="1:22" s="124" customFormat="1" ht="12.75" customHeight="1">
      <c r="B50" s="128"/>
      <c r="D50" s="129"/>
      <c r="E50" s="207">
        <f t="shared" si="0"/>
        <v>37</v>
      </c>
      <c r="F50" s="193" t="s">
        <v>292</v>
      </c>
      <c r="G50" s="194" t="s">
        <v>291</v>
      </c>
      <c r="H50" s="241">
        <v>13.3</v>
      </c>
      <c r="I50" s="195"/>
      <c r="J50" s="178"/>
      <c r="L50" s="131"/>
      <c r="N50" s="131"/>
      <c r="Q50" s="129"/>
      <c r="T50" s="190"/>
      <c r="U50" s="203"/>
      <c r="V50" s="200"/>
    </row>
    <row r="51" spans="1:22" s="124" customFormat="1" ht="12.75" customHeight="1">
      <c r="B51" s="128"/>
      <c r="D51" s="129"/>
      <c r="E51" s="207">
        <f t="shared" si="0"/>
        <v>38</v>
      </c>
      <c r="F51" s="193" t="s">
        <v>295</v>
      </c>
      <c r="G51" s="194" t="s">
        <v>144</v>
      </c>
      <c r="H51" s="241">
        <v>1728</v>
      </c>
      <c r="I51" s="195"/>
      <c r="J51" s="178"/>
      <c r="L51" s="131"/>
      <c r="N51" s="131"/>
      <c r="Q51" s="129"/>
      <c r="T51" s="190"/>
      <c r="U51" s="203"/>
      <c r="V51" s="200"/>
    </row>
    <row r="52" spans="1:22" s="124" customFormat="1" ht="12.75" customHeight="1">
      <c r="B52" s="128"/>
      <c r="D52" s="129"/>
      <c r="E52" s="207">
        <f t="shared" si="0"/>
        <v>39</v>
      </c>
      <c r="F52" s="193" t="s">
        <v>293</v>
      </c>
      <c r="G52" s="194" t="s">
        <v>144</v>
      </c>
      <c r="H52" s="241">
        <v>728</v>
      </c>
      <c r="I52" s="195"/>
      <c r="J52" s="178"/>
      <c r="L52" s="131"/>
      <c r="N52" s="131"/>
      <c r="Q52" s="129"/>
      <c r="T52" s="190"/>
      <c r="U52" s="203"/>
      <c r="V52" s="200"/>
    </row>
    <row r="53" spans="1:22" s="124" customFormat="1" ht="12.75" customHeight="1">
      <c r="B53" s="128"/>
      <c r="D53" s="129"/>
      <c r="E53" s="207">
        <f t="shared" si="0"/>
        <v>40</v>
      </c>
      <c r="F53" s="193" t="s">
        <v>294</v>
      </c>
      <c r="G53" s="194" t="s">
        <v>101</v>
      </c>
      <c r="H53" s="241">
        <v>17.649999999999999</v>
      </c>
      <c r="I53" s="195"/>
      <c r="J53" s="178"/>
      <c r="L53" s="131"/>
      <c r="N53" s="131"/>
      <c r="Q53" s="129"/>
      <c r="T53" s="190"/>
      <c r="U53" s="203"/>
      <c r="V53" s="200"/>
    </row>
    <row r="54" spans="1:22" s="124" customFormat="1" ht="12.75" customHeight="1">
      <c r="B54" s="128"/>
      <c r="D54" s="129"/>
      <c r="E54" s="207">
        <f t="shared" si="0"/>
        <v>41</v>
      </c>
      <c r="F54" s="165" t="s">
        <v>214</v>
      </c>
      <c r="G54" s="176" t="s">
        <v>101</v>
      </c>
      <c r="H54" s="177">
        <v>4.45</v>
      </c>
      <c r="I54" s="178"/>
      <c r="J54" s="178"/>
      <c r="L54" s="131"/>
      <c r="N54" s="131"/>
      <c r="Q54" s="129"/>
      <c r="T54" s="190"/>
      <c r="U54" s="203"/>
      <c r="V54" s="200"/>
    </row>
    <row r="55" spans="1:22" s="16" customFormat="1" ht="13.5" customHeight="1">
      <c r="A55" s="145" t="s">
        <v>123</v>
      </c>
      <c r="B55" s="145" t="s">
        <v>99</v>
      </c>
      <c r="C55" s="145" t="s">
        <v>115</v>
      </c>
      <c r="D55" s="16" t="s">
        <v>124</v>
      </c>
      <c r="E55" s="207">
        <f t="shared" si="0"/>
        <v>42</v>
      </c>
      <c r="F55" s="165" t="s">
        <v>215</v>
      </c>
      <c r="G55" s="176" t="s">
        <v>111</v>
      </c>
      <c r="H55" s="177">
        <v>7.35</v>
      </c>
      <c r="I55" s="178"/>
      <c r="J55" s="178"/>
      <c r="K55" s="147">
        <v>3.0999999999999999E-3</v>
      </c>
      <c r="L55" s="146">
        <f>H55*K55</f>
        <v>2.2785E-2</v>
      </c>
      <c r="M55" s="147">
        <v>0</v>
      </c>
      <c r="N55" s="146">
        <f>H55*M55</f>
        <v>0</v>
      </c>
      <c r="O55" s="148">
        <v>20</v>
      </c>
      <c r="P55" s="149">
        <v>4</v>
      </c>
      <c r="Q55" s="16" t="s">
        <v>102</v>
      </c>
      <c r="T55" s="191"/>
      <c r="U55" s="203"/>
      <c r="V55" s="200"/>
    </row>
    <row r="56" spans="1:22" s="16" customFormat="1" ht="13.5" customHeight="1">
      <c r="A56" s="145" t="s">
        <v>125</v>
      </c>
      <c r="B56" s="145" t="s">
        <v>99</v>
      </c>
      <c r="C56" s="145" t="s">
        <v>115</v>
      </c>
      <c r="D56" s="16" t="s">
        <v>126</v>
      </c>
      <c r="E56" s="207">
        <f t="shared" si="0"/>
        <v>43</v>
      </c>
      <c r="F56" s="165" t="s">
        <v>216</v>
      </c>
      <c r="G56" s="176" t="s">
        <v>111</v>
      </c>
      <c r="H56" s="177">
        <f>H55</f>
        <v>7.35</v>
      </c>
      <c r="I56" s="178"/>
      <c r="J56" s="178"/>
      <c r="K56" s="147">
        <v>0</v>
      </c>
      <c r="L56" s="146">
        <f>H56*K56</f>
        <v>0</v>
      </c>
      <c r="M56" s="147">
        <v>0</v>
      </c>
      <c r="N56" s="146">
        <f>H56*M56</f>
        <v>0</v>
      </c>
      <c r="O56" s="148">
        <v>20</v>
      </c>
      <c r="P56" s="149">
        <v>4</v>
      </c>
      <c r="Q56" s="16" t="s">
        <v>102</v>
      </c>
      <c r="T56" s="191"/>
      <c r="U56" s="203"/>
      <c r="V56" s="200"/>
    </row>
    <row r="57" spans="1:22" s="16" customFormat="1" ht="13.5" customHeight="1">
      <c r="A57" s="145" t="s">
        <v>127</v>
      </c>
      <c r="B57" s="145" t="s">
        <v>99</v>
      </c>
      <c r="C57" s="145" t="s">
        <v>115</v>
      </c>
      <c r="D57" s="16" t="s">
        <v>128</v>
      </c>
      <c r="E57" s="207">
        <f t="shared" si="0"/>
        <v>44</v>
      </c>
      <c r="F57" s="187" t="s">
        <v>224</v>
      </c>
      <c r="G57" s="176" t="s">
        <v>109</v>
      </c>
      <c r="H57" s="177">
        <v>0.32</v>
      </c>
      <c r="I57" s="178"/>
      <c r="J57" s="178"/>
      <c r="K57" s="147">
        <v>1.0551600000000001</v>
      </c>
      <c r="L57" s="146">
        <f>H57*K57</f>
        <v>0.33765120000000004</v>
      </c>
      <c r="M57" s="147">
        <v>0</v>
      </c>
      <c r="N57" s="146">
        <f>H57*M57</f>
        <v>0</v>
      </c>
      <c r="O57" s="148">
        <v>20</v>
      </c>
      <c r="P57" s="149">
        <v>4</v>
      </c>
      <c r="Q57" s="16" t="s">
        <v>102</v>
      </c>
      <c r="T57" s="191"/>
      <c r="U57" s="203"/>
      <c r="V57" s="200"/>
    </row>
    <row r="58" spans="1:22" s="124" customFormat="1" ht="12.75" customHeight="1">
      <c r="B58" s="128" t="s">
        <v>59</v>
      </c>
      <c r="D58" s="129" t="s">
        <v>129</v>
      </c>
      <c r="E58" s="207">
        <f t="shared" si="0"/>
        <v>45</v>
      </c>
      <c r="F58" s="164" t="s">
        <v>248</v>
      </c>
      <c r="G58" s="183"/>
      <c r="H58" s="183"/>
      <c r="I58" s="183"/>
      <c r="J58" s="184"/>
      <c r="L58" s="131">
        <f>SUM(L59:L59)</f>
        <v>749.60275950000005</v>
      </c>
      <c r="N58" s="131">
        <f>SUM(N59:N59)</f>
        <v>0</v>
      </c>
      <c r="Q58" s="129" t="s">
        <v>97</v>
      </c>
      <c r="T58" s="190"/>
      <c r="U58" s="203"/>
      <c r="V58" s="200"/>
    </row>
    <row r="59" spans="1:22" s="16" customFormat="1" ht="13.5" customHeight="1">
      <c r="A59" s="145" t="s">
        <v>130</v>
      </c>
      <c r="B59" s="145" t="s">
        <v>99</v>
      </c>
      <c r="C59" s="145" t="s">
        <v>115</v>
      </c>
      <c r="D59" s="16" t="s">
        <v>131</v>
      </c>
      <c r="E59" s="207">
        <f t="shared" si="0"/>
        <v>46</v>
      </c>
      <c r="F59" s="165" t="s">
        <v>233</v>
      </c>
      <c r="G59" s="176" t="s">
        <v>111</v>
      </c>
      <c r="H59" s="177">
        <f>271.8+33.75</f>
        <v>305.55</v>
      </c>
      <c r="I59" s="178"/>
      <c r="J59" s="178"/>
      <c r="K59" s="147">
        <v>2.45329</v>
      </c>
      <c r="L59" s="146">
        <f>H59*K59</f>
        <v>749.60275950000005</v>
      </c>
      <c r="M59" s="147">
        <v>0</v>
      </c>
      <c r="N59" s="146">
        <f>H59*M59</f>
        <v>0</v>
      </c>
      <c r="O59" s="148">
        <v>20</v>
      </c>
      <c r="P59" s="149">
        <v>4</v>
      </c>
      <c r="Q59" s="16" t="s">
        <v>102</v>
      </c>
      <c r="T59" s="191"/>
      <c r="U59" s="203"/>
      <c r="V59" s="200"/>
    </row>
    <row r="60" spans="1:22" s="124" customFormat="1" ht="12.75" customHeight="1">
      <c r="B60" s="128" t="s">
        <v>59</v>
      </c>
      <c r="D60" s="129" t="s">
        <v>132</v>
      </c>
      <c r="E60" s="207">
        <f t="shared" si="0"/>
        <v>47</v>
      </c>
      <c r="F60" s="164" t="s">
        <v>133</v>
      </c>
      <c r="G60" s="183"/>
      <c r="H60" s="183"/>
      <c r="I60" s="183"/>
      <c r="J60" s="184"/>
      <c r="L60" s="131">
        <f>SUM(L62:L62)</f>
        <v>3.5745</v>
      </c>
      <c r="N60" s="131">
        <f>SUM(N62:N62)</f>
        <v>0</v>
      </c>
      <c r="Q60" s="129" t="s">
        <v>97</v>
      </c>
      <c r="T60" s="190"/>
      <c r="U60" s="203"/>
      <c r="V60" s="200"/>
    </row>
    <row r="61" spans="1:22" s="124" customFormat="1" ht="12.75" customHeight="1">
      <c r="B61" s="128"/>
      <c r="D61" s="129"/>
      <c r="E61" s="207">
        <f t="shared" si="0"/>
        <v>48</v>
      </c>
      <c r="F61" s="165" t="s">
        <v>300</v>
      </c>
      <c r="G61" s="176" t="s">
        <v>111</v>
      </c>
      <c r="H61" s="177">
        <v>13.3</v>
      </c>
      <c r="I61" s="178"/>
      <c r="J61" s="178"/>
      <c r="L61" s="131"/>
      <c r="N61" s="131"/>
      <c r="Q61" s="129"/>
      <c r="T61" s="190"/>
      <c r="U61" s="203"/>
      <c r="V61" s="200"/>
    </row>
    <row r="62" spans="1:22" s="16" customFormat="1" ht="24" customHeight="1">
      <c r="A62" s="145" t="s">
        <v>134</v>
      </c>
      <c r="B62" s="145" t="s">
        <v>99</v>
      </c>
      <c r="C62" s="145" t="s">
        <v>115</v>
      </c>
      <c r="D62" s="16" t="s">
        <v>135</v>
      </c>
      <c r="E62" s="207">
        <f t="shared" si="0"/>
        <v>49</v>
      </c>
      <c r="F62" s="165" t="s">
        <v>299</v>
      </c>
      <c r="G62" s="176" t="s">
        <v>111</v>
      </c>
      <c r="H62" s="177">
        <v>75</v>
      </c>
      <c r="I62" s="178"/>
      <c r="J62" s="178"/>
      <c r="K62" s="147">
        <v>4.7660000000000001E-2</v>
      </c>
      <c r="L62" s="146">
        <f>H62*K62</f>
        <v>3.5745</v>
      </c>
      <c r="M62" s="147">
        <v>0</v>
      </c>
      <c r="N62" s="146">
        <f>H62*M62</f>
        <v>0</v>
      </c>
      <c r="O62" s="148">
        <v>20</v>
      </c>
      <c r="P62" s="149">
        <v>4</v>
      </c>
      <c r="Q62" s="16" t="s">
        <v>102</v>
      </c>
      <c r="T62" s="191"/>
      <c r="U62" s="203"/>
      <c r="V62" s="200"/>
    </row>
    <row r="63" spans="1:22" s="124" customFormat="1" ht="12.75" customHeight="1">
      <c r="B63" s="125" t="s">
        <v>59</v>
      </c>
      <c r="D63" s="126" t="s">
        <v>46</v>
      </c>
      <c r="E63" s="207">
        <f t="shared" si="0"/>
        <v>50</v>
      </c>
      <c r="F63" s="166" t="s">
        <v>138</v>
      </c>
      <c r="G63" s="183"/>
      <c r="H63" s="183"/>
      <c r="I63" s="183"/>
      <c r="J63" s="210"/>
      <c r="L63" s="127" t="e">
        <f>L64+L72+L78+L82+L85+#REF!+L116+L146+L149+L153+L156</f>
        <v>#REF!</v>
      </c>
      <c r="N63" s="127" t="e">
        <f>N64+N72+N78+N82+N85+#REF!+N116+N146+N149+N153+N156</f>
        <v>#REF!</v>
      </c>
      <c r="Q63" s="126" t="s">
        <v>96</v>
      </c>
      <c r="T63" s="190"/>
      <c r="U63" s="203"/>
      <c r="V63" s="200"/>
    </row>
    <row r="64" spans="1:22" s="124" customFormat="1" ht="12.75" customHeight="1">
      <c r="B64" s="128" t="s">
        <v>59</v>
      </c>
      <c r="D64" s="129" t="s">
        <v>110</v>
      </c>
      <c r="E64" s="207">
        <f t="shared" si="0"/>
        <v>51</v>
      </c>
      <c r="F64" s="164" t="s">
        <v>139</v>
      </c>
      <c r="G64" s="183"/>
      <c r="H64" s="183"/>
      <c r="I64" s="183"/>
      <c r="J64" s="208"/>
      <c r="L64" s="131">
        <f>SUM(L65:L69)</f>
        <v>7.3080000000000006E-2</v>
      </c>
      <c r="N64" s="131">
        <f>SUM(N65:N69)</f>
        <v>0</v>
      </c>
      <c r="Q64" s="129" t="s">
        <v>97</v>
      </c>
      <c r="T64" s="190"/>
      <c r="U64" s="203"/>
      <c r="V64" s="200"/>
    </row>
    <row r="65" spans="1:22" s="16" customFormat="1" ht="13.5" customHeight="1">
      <c r="A65" s="145" t="s">
        <v>140</v>
      </c>
      <c r="B65" s="145" t="s">
        <v>99</v>
      </c>
      <c r="C65" s="145" t="s">
        <v>110</v>
      </c>
      <c r="D65" s="16" t="s">
        <v>141</v>
      </c>
      <c r="E65" s="207">
        <f t="shared" si="0"/>
        <v>52</v>
      </c>
      <c r="F65" s="165" t="s">
        <v>220</v>
      </c>
      <c r="G65" s="176" t="s">
        <v>111</v>
      </c>
      <c r="H65" s="177">
        <v>33.72</v>
      </c>
      <c r="I65" s="178"/>
      <c r="J65" s="178"/>
      <c r="K65" s="147">
        <v>0</v>
      </c>
      <c r="L65" s="146">
        <f>H65*K65</f>
        <v>0</v>
      </c>
      <c r="M65" s="147">
        <v>0</v>
      </c>
      <c r="N65" s="146">
        <f>H65*M65</f>
        <v>0</v>
      </c>
      <c r="O65" s="148">
        <v>20</v>
      </c>
      <c r="P65" s="149">
        <v>16</v>
      </c>
      <c r="Q65" s="16" t="s">
        <v>102</v>
      </c>
      <c r="T65" s="191"/>
      <c r="U65" s="203"/>
      <c r="V65" s="200"/>
    </row>
    <row r="66" spans="1:22" s="16" customFormat="1" ht="13.5" customHeight="1">
      <c r="A66" s="145"/>
      <c r="B66" s="145"/>
      <c r="C66" s="145"/>
      <c r="E66" s="207">
        <f t="shared" si="0"/>
        <v>53</v>
      </c>
      <c r="F66" s="165" t="s">
        <v>221</v>
      </c>
      <c r="G66" s="176" t="s">
        <v>111</v>
      </c>
      <c r="H66" s="177">
        <v>5</v>
      </c>
      <c r="I66" s="178"/>
      <c r="J66" s="178"/>
      <c r="K66" s="147"/>
      <c r="L66" s="146"/>
      <c r="M66" s="147"/>
      <c r="N66" s="146"/>
      <c r="O66" s="148"/>
      <c r="P66" s="149"/>
      <c r="T66" s="191"/>
      <c r="U66" s="203"/>
      <c r="V66" s="200"/>
    </row>
    <row r="67" spans="1:22" s="16" customFormat="1" ht="12" customHeight="1">
      <c r="A67" s="150" t="s">
        <v>142</v>
      </c>
      <c r="B67" s="150" t="s">
        <v>107</v>
      </c>
      <c r="C67" s="150" t="s">
        <v>108</v>
      </c>
      <c r="D67" s="151" t="s">
        <v>143</v>
      </c>
      <c r="E67" s="207">
        <f t="shared" si="0"/>
        <v>54</v>
      </c>
      <c r="F67" s="242" t="s">
        <v>226</v>
      </c>
      <c r="G67" s="180" t="s">
        <v>111</v>
      </c>
      <c r="H67" s="181">
        <f>(H65+H66)*1.15</f>
        <v>44.527999999999999</v>
      </c>
      <c r="I67" s="182"/>
      <c r="J67" s="182"/>
      <c r="K67" s="153">
        <v>1E-3</v>
      </c>
      <c r="L67" s="152">
        <f>H67*K67</f>
        <v>4.4527999999999998E-2</v>
      </c>
      <c r="M67" s="153">
        <v>0</v>
      </c>
      <c r="N67" s="152">
        <f>H67*M67</f>
        <v>0</v>
      </c>
      <c r="O67" s="154">
        <v>20</v>
      </c>
      <c r="P67" s="155">
        <v>32</v>
      </c>
      <c r="Q67" s="151" t="s">
        <v>102</v>
      </c>
      <c r="T67" s="191"/>
      <c r="U67" s="203"/>
      <c r="V67" s="200"/>
    </row>
    <row r="68" spans="1:22" s="16" customFormat="1" ht="13.5" customHeight="1">
      <c r="A68" s="145" t="s">
        <v>145</v>
      </c>
      <c r="B68" s="145" t="s">
        <v>99</v>
      </c>
      <c r="C68" s="145" t="s">
        <v>110</v>
      </c>
      <c r="D68" s="16" t="s">
        <v>146</v>
      </c>
      <c r="E68" s="207">
        <f t="shared" si="0"/>
        <v>55</v>
      </c>
      <c r="F68" s="165" t="s">
        <v>213</v>
      </c>
      <c r="G68" s="176" t="s">
        <v>111</v>
      </c>
      <c r="H68" s="177">
        <f>H65+H66</f>
        <v>38.72</v>
      </c>
      <c r="I68" s="178"/>
      <c r="J68" s="178"/>
      <c r="K68" s="147">
        <v>3.5E-4</v>
      </c>
      <c r="L68" s="146">
        <f>H68*K68</f>
        <v>1.3552E-2</v>
      </c>
      <c r="M68" s="147">
        <v>0</v>
      </c>
      <c r="N68" s="146">
        <f>H68*M68</f>
        <v>0</v>
      </c>
      <c r="O68" s="148">
        <v>20</v>
      </c>
      <c r="P68" s="149">
        <v>16</v>
      </c>
      <c r="Q68" s="16" t="s">
        <v>102</v>
      </c>
      <c r="T68" s="191"/>
      <c r="U68" s="203"/>
      <c r="V68" s="200"/>
    </row>
    <row r="69" spans="1:22" s="16" customFormat="1" ht="13.5" customHeight="1">
      <c r="A69" s="150" t="s">
        <v>147</v>
      </c>
      <c r="B69" s="150" t="s">
        <v>107</v>
      </c>
      <c r="C69" s="150" t="s">
        <v>108</v>
      </c>
      <c r="D69" s="151" t="s">
        <v>143</v>
      </c>
      <c r="E69" s="207">
        <f t="shared" si="0"/>
        <v>56</v>
      </c>
      <c r="F69" s="179" t="s">
        <v>228</v>
      </c>
      <c r="G69" s="180" t="s">
        <v>144</v>
      </c>
      <c r="H69" s="181">
        <v>15</v>
      </c>
      <c r="I69" s="182"/>
      <c r="J69" s="182"/>
      <c r="K69" s="153">
        <v>1E-3</v>
      </c>
      <c r="L69" s="152">
        <f>H69*K69</f>
        <v>1.4999999999999999E-2</v>
      </c>
      <c r="M69" s="153">
        <v>0</v>
      </c>
      <c r="N69" s="152">
        <f>H69*M69</f>
        <v>0</v>
      </c>
      <c r="O69" s="154">
        <v>20</v>
      </c>
      <c r="P69" s="155">
        <v>32</v>
      </c>
      <c r="Q69" s="151" t="s">
        <v>102</v>
      </c>
      <c r="T69" s="191"/>
      <c r="U69" s="203"/>
      <c r="V69" s="200"/>
    </row>
    <row r="70" spans="1:22" s="16" customFormat="1" ht="13.5" customHeight="1">
      <c r="A70" s="150"/>
      <c r="B70" s="150"/>
      <c r="C70" s="150"/>
      <c r="D70" s="151"/>
      <c r="E70" s="207">
        <f t="shared" si="0"/>
        <v>57</v>
      </c>
      <c r="F70" s="165" t="s">
        <v>325</v>
      </c>
      <c r="G70" s="176" t="s">
        <v>111</v>
      </c>
      <c r="H70" s="177">
        <v>29.15</v>
      </c>
      <c r="I70" s="178"/>
      <c r="J70" s="178"/>
      <c r="K70" s="153"/>
      <c r="L70" s="152"/>
      <c r="M70" s="153"/>
      <c r="N70" s="152"/>
      <c r="O70" s="154"/>
      <c r="P70" s="155"/>
      <c r="Q70" s="151"/>
      <c r="T70" s="191"/>
      <c r="U70" s="203"/>
      <c r="V70" s="200"/>
    </row>
    <row r="71" spans="1:22" s="16" customFormat="1" ht="24" customHeight="1">
      <c r="A71" s="150"/>
      <c r="B71" s="150"/>
      <c r="C71" s="150"/>
      <c r="D71" s="151"/>
      <c r="E71" s="207">
        <f t="shared" si="0"/>
        <v>58</v>
      </c>
      <c r="F71" s="179" t="s">
        <v>326</v>
      </c>
      <c r="G71" s="180" t="s">
        <v>291</v>
      </c>
      <c r="H71" s="181">
        <v>34.9</v>
      </c>
      <c r="I71" s="182"/>
      <c r="J71" s="182"/>
      <c r="K71" s="153"/>
      <c r="L71" s="152"/>
      <c r="M71" s="153"/>
      <c r="N71" s="152"/>
      <c r="O71" s="154"/>
      <c r="P71" s="155"/>
      <c r="Q71" s="151"/>
      <c r="T71" s="191"/>
      <c r="U71" s="203"/>
      <c r="V71" s="200"/>
    </row>
    <row r="72" spans="1:22" s="124" customFormat="1" ht="12.75" customHeight="1">
      <c r="B72" s="128" t="s">
        <v>59</v>
      </c>
      <c r="D72" s="129" t="s">
        <v>148</v>
      </c>
      <c r="E72" s="207">
        <f t="shared" si="0"/>
        <v>59</v>
      </c>
      <c r="F72" s="164" t="s">
        <v>149</v>
      </c>
      <c r="G72" s="183"/>
      <c r="H72" s="162"/>
      <c r="I72" s="183"/>
      <c r="J72" s="208"/>
      <c r="L72" s="131">
        <f>SUM(L73:L77)</f>
        <v>0.54360000000000008</v>
      </c>
      <c r="N72" s="131">
        <f>SUM(N73:N77)</f>
        <v>0</v>
      </c>
      <c r="Q72" s="129" t="s">
        <v>97</v>
      </c>
      <c r="T72" s="190"/>
      <c r="U72" s="203"/>
      <c r="V72" s="200"/>
    </row>
    <row r="73" spans="1:22" s="16" customFormat="1" ht="12.75" customHeight="1">
      <c r="A73" s="145" t="s">
        <v>150</v>
      </c>
      <c r="B73" s="145" t="s">
        <v>99</v>
      </c>
      <c r="C73" s="145" t="s">
        <v>148</v>
      </c>
      <c r="D73" s="16" t="s">
        <v>151</v>
      </c>
      <c r="E73" s="207">
        <f t="shared" si="0"/>
        <v>60</v>
      </c>
      <c r="F73" s="165" t="s">
        <v>236</v>
      </c>
      <c r="G73" s="176" t="s">
        <v>111</v>
      </c>
      <c r="H73" s="177">
        <v>271.8</v>
      </c>
      <c r="I73" s="178"/>
      <c r="J73" s="178"/>
      <c r="K73" s="147">
        <v>0</v>
      </c>
      <c r="L73" s="146">
        <f>H73*K73</f>
        <v>0</v>
      </c>
      <c r="M73" s="147">
        <v>0</v>
      </c>
      <c r="N73" s="146">
        <f>H73*M73</f>
        <v>0</v>
      </c>
      <c r="O73" s="148">
        <v>20</v>
      </c>
      <c r="P73" s="149">
        <v>16</v>
      </c>
      <c r="Q73" s="16" t="s">
        <v>102</v>
      </c>
      <c r="T73" s="191"/>
      <c r="U73" s="203"/>
      <c r="V73" s="200"/>
    </row>
    <row r="74" spans="1:22" s="16" customFormat="1" ht="13.5" customHeight="1">
      <c r="A74" s="150" t="s">
        <v>152</v>
      </c>
      <c r="B74" s="150" t="s">
        <v>107</v>
      </c>
      <c r="C74" s="150" t="s">
        <v>108</v>
      </c>
      <c r="D74" s="151" t="s">
        <v>153</v>
      </c>
      <c r="E74" s="207">
        <f t="shared" si="0"/>
        <v>61</v>
      </c>
      <c r="F74" s="179" t="s">
        <v>275</v>
      </c>
      <c r="G74" s="180" t="s">
        <v>111</v>
      </c>
      <c r="H74" s="181">
        <v>271.8</v>
      </c>
      <c r="I74" s="182"/>
      <c r="J74" s="182"/>
      <c r="K74" s="153">
        <v>2E-3</v>
      </c>
      <c r="L74" s="152">
        <f>H74*K74</f>
        <v>0.54360000000000008</v>
      </c>
      <c r="M74" s="153">
        <v>0</v>
      </c>
      <c r="N74" s="152">
        <f>H74*M74</f>
        <v>0</v>
      </c>
      <c r="O74" s="154">
        <v>20</v>
      </c>
      <c r="P74" s="155">
        <v>32</v>
      </c>
      <c r="Q74" s="151" t="s">
        <v>102</v>
      </c>
      <c r="T74" s="191"/>
      <c r="U74" s="203"/>
      <c r="V74" s="200"/>
    </row>
    <row r="75" spans="1:22" s="16" customFormat="1" ht="13.5" customHeight="1">
      <c r="A75" s="150"/>
      <c r="B75" s="150"/>
      <c r="C75" s="150"/>
      <c r="D75" s="151"/>
      <c r="E75" s="207">
        <f t="shared" si="0"/>
        <v>62</v>
      </c>
      <c r="F75" s="165" t="s">
        <v>218</v>
      </c>
      <c r="G75" s="176" t="s">
        <v>111</v>
      </c>
      <c r="H75" s="177">
        <v>300.56</v>
      </c>
      <c r="I75" s="178"/>
      <c r="J75" s="178"/>
      <c r="K75" s="153"/>
      <c r="L75" s="152"/>
      <c r="M75" s="153"/>
      <c r="N75" s="152"/>
      <c r="O75" s="154"/>
      <c r="P75" s="155"/>
      <c r="Q75" s="151"/>
      <c r="T75" s="191"/>
      <c r="U75" s="203"/>
      <c r="V75" s="200"/>
    </row>
    <row r="76" spans="1:22" s="16" customFormat="1" ht="13.5" customHeight="1">
      <c r="A76" s="150"/>
      <c r="B76" s="150"/>
      <c r="C76" s="150"/>
      <c r="D76" s="151"/>
      <c r="E76" s="207">
        <f t="shared" si="0"/>
        <v>63</v>
      </c>
      <c r="F76" s="179" t="s">
        <v>273</v>
      </c>
      <c r="G76" s="180" t="s">
        <v>111</v>
      </c>
      <c r="H76" s="181">
        <v>148.096</v>
      </c>
      <c r="I76" s="182"/>
      <c r="J76" s="182"/>
      <c r="K76" s="153"/>
      <c r="L76" s="152"/>
      <c r="M76" s="153"/>
      <c r="N76" s="152"/>
      <c r="O76" s="154"/>
      <c r="P76" s="155"/>
      <c r="Q76" s="151"/>
      <c r="T76" s="191"/>
      <c r="U76" s="203"/>
      <c r="V76" s="200"/>
    </row>
    <row r="77" spans="1:22" s="16" customFormat="1" ht="13.5" customHeight="1">
      <c r="A77" s="150"/>
      <c r="B77" s="150"/>
      <c r="C77" s="150"/>
      <c r="D77" s="151"/>
      <c r="E77" s="207">
        <f t="shared" si="0"/>
        <v>64</v>
      </c>
      <c r="F77" s="179" t="s">
        <v>237</v>
      </c>
      <c r="G77" s="180" t="s">
        <v>111</v>
      </c>
      <c r="H77" s="181">
        <v>160.9</v>
      </c>
      <c r="I77" s="182"/>
      <c r="J77" s="182"/>
      <c r="K77" s="153"/>
      <c r="L77" s="152"/>
      <c r="M77" s="153"/>
      <c r="N77" s="152"/>
      <c r="O77" s="154"/>
      <c r="P77" s="155"/>
      <c r="Q77" s="151"/>
      <c r="T77" s="191"/>
      <c r="U77" s="203"/>
      <c r="V77" s="200"/>
    </row>
    <row r="78" spans="1:22" s="124" customFormat="1" ht="12.75" customHeight="1">
      <c r="B78" s="128" t="s">
        <v>59</v>
      </c>
      <c r="D78" s="129" t="s">
        <v>154</v>
      </c>
      <c r="E78" s="207">
        <f t="shared" si="0"/>
        <v>65</v>
      </c>
      <c r="F78" s="164" t="s">
        <v>155</v>
      </c>
      <c r="G78" s="183"/>
      <c r="H78" s="183"/>
      <c r="I78" s="183"/>
      <c r="J78" s="209"/>
      <c r="L78" s="131">
        <f>SUM(L79:L81)</f>
        <v>0</v>
      </c>
      <c r="N78" s="131">
        <f>SUM(N79:N81)</f>
        <v>0</v>
      </c>
      <c r="Q78" s="129" t="s">
        <v>97</v>
      </c>
      <c r="T78" s="190"/>
      <c r="U78" s="203"/>
      <c r="V78" s="200"/>
    </row>
    <row r="79" spans="1:22" s="16" customFormat="1" ht="13.5" customHeight="1">
      <c r="A79" s="145" t="s">
        <v>156</v>
      </c>
      <c r="B79" s="145" t="s">
        <v>99</v>
      </c>
      <c r="C79" s="145" t="s">
        <v>157</v>
      </c>
      <c r="D79" s="16" t="s">
        <v>158</v>
      </c>
      <c r="E79" s="207">
        <f t="shared" si="0"/>
        <v>66</v>
      </c>
      <c r="F79" s="165" t="s">
        <v>159</v>
      </c>
      <c r="G79" s="176" t="s">
        <v>160</v>
      </c>
      <c r="H79" s="177">
        <v>1</v>
      </c>
      <c r="I79" s="178"/>
      <c r="J79" s="178"/>
      <c r="K79" s="147">
        <v>0</v>
      </c>
      <c r="L79" s="146">
        <f>H79*K79</f>
        <v>0</v>
      </c>
      <c r="M79" s="147">
        <v>0</v>
      </c>
      <c r="N79" s="146">
        <f>H79*M79</f>
        <v>0</v>
      </c>
      <c r="O79" s="148">
        <v>20</v>
      </c>
      <c r="P79" s="149">
        <v>16</v>
      </c>
      <c r="Q79" s="16" t="s">
        <v>102</v>
      </c>
      <c r="T79" s="191"/>
      <c r="U79" s="203"/>
      <c r="V79" s="200"/>
    </row>
    <row r="80" spans="1:22" s="16" customFormat="1" ht="13.5" customHeight="1">
      <c r="A80" s="145" t="s">
        <v>161</v>
      </c>
      <c r="B80" s="145" t="s">
        <v>99</v>
      </c>
      <c r="C80" s="145" t="s">
        <v>157</v>
      </c>
      <c r="D80" s="16" t="s">
        <v>162</v>
      </c>
      <c r="E80" s="207">
        <f t="shared" si="0"/>
        <v>67</v>
      </c>
      <c r="F80" s="165" t="s">
        <v>163</v>
      </c>
      <c r="G80" s="176" t="s">
        <v>160</v>
      </c>
      <c r="H80" s="177">
        <v>1</v>
      </c>
      <c r="I80" s="178"/>
      <c r="J80" s="178"/>
      <c r="K80" s="147">
        <v>0</v>
      </c>
      <c r="L80" s="146">
        <f>H80*K80</f>
        <v>0</v>
      </c>
      <c r="M80" s="147">
        <v>0</v>
      </c>
      <c r="N80" s="146">
        <f>H80*M80</f>
        <v>0</v>
      </c>
      <c r="O80" s="148">
        <v>20</v>
      </c>
      <c r="P80" s="149">
        <v>16</v>
      </c>
      <c r="Q80" s="16" t="s">
        <v>102</v>
      </c>
      <c r="T80" s="191"/>
      <c r="U80" s="203"/>
      <c r="V80" s="200"/>
    </row>
    <row r="81" spans="1:22" s="16" customFormat="1" ht="13.5" customHeight="1">
      <c r="A81" s="145" t="s">
        <v>164</v>
      </c>
      <c r="B81" s="145" t="s">
        <v>99</v>
      </c>
      <c r="C81" s="145" t="s">
        <v>157</v>
      </c>
      <c r="D81" s="16" t="s">
        <v>165</v>
      </c>
      <c r="E81" s="207">
        <f t="shared" ref="E81:E144" si="4">E80+1</f>
        <v>68</v>
      </c>
      <c r="F81" s="165" t="s">
        <v>166</v>
      </c>
      <c r="G81" s="176" t="s">
        <v>160</v>
      </c>
      <c r="H81" s="177">
        <v>1</v>
      </c>
      <c r="I81" s="178"/>
      <c r="J81" s="178"/>
      <c r="K81" s="147">
        <v>0</v>
      </c>
      <c r="L81" s="146">
        <f>H81*K81</f>
        <v>0</v>
      </c>
      <c r="M81" s="147">
        <v>0</v>
      </c>
      <c r="N81" s="146">
        <f>H81*M81</f>
        <v>0</v>
      </c>
      <c r="O81" s="148">
        <v>20</v>
      </c>
      <c r="P81" s="149">
        <v>16</v>
      </c>
      <c r="Q81" s="16" t="s">
        <v>102</v>
      </c>
      <c r="T81" s="191"/>
      <c r="U81" s="203"/>
      <c r="V81" s="200"/>
    </row>
    <row r="82" spans="1:22" s="124" customFormat="1" ht="12.75" customHeight="1">
      <c r="B82" s="128" t="s">
        <v>59</v>
      </c>
      <c r="D82" s="129" t="s">
        <v>167</v>
      </c>
      <c r="E82" s="207">
        <f t="shared" si="4"/>
        <v>69</v>
      </c>
      <c r="F82" s="164" t="s">
        <v>229</v>
      </c>
      <c r="G82" s="183"/>
      <c r="H82" s="183"/>
      <c r="I82" s="183"/>
      <c r="J82" s="208"/>
      <c r="L82" s="131">
        <f>SUM(L83:L84)</f>
        <v>0</v>
      </c>
      <c r="N82" s="131">
        <f>SUM(N83:N84)</f>
        <v>0</v>
      </c>
      <c r="Q82" s="129" t="s">
        <v>97</v>
      </c>
      <c r="T82" s="190"/>
      <c r="U82" s="203"/>
      <c r="V82" s="200"/>
    </row>
    <row r="83" spans="1:22" s="16" customFormat="1" ht="13.5" customHeight="1">
      <c r="A83" s="145" t="s">
        <v>168</v>
      </c>
      <c r="B83" s="145" t="s">
        <v>99</v>
      </c>
      <c r="C83" s="145" t="s">
        <v>157</v>
      </c>
      <c r="D83" s="16" t="s">
        <v>169</v>
      </c>
      <c r="E83" s="207">
        <f t="shared" si="4"/>
        <v>70</v>
      </c>
      <c r="F83" s="165" t="s">
        <v>229</v>
      </c>
      <c r="G83" s="176" t="s">
        <v>160</v>
      </c>
      <c r="H83" s="177">
        <v>1</v>
      </c>
      <c r="I83" s="178"/>
      <c r="J83" s="178"/>
      <c r="K83" s="147">
        <v>0</v>
      </c>
      <c r="L83" s="146">
        <f>H83*K83</f>
        <v>0</v>
      </c>
      <c r="M83" s="147">
        <v>0</v>
      </c>
      <c r="N83" s="146">
        <f>H83*M83</f>
        <v>0</v>
      </c>
      <c r="O83" s="148">
        <v>20</v>
      </c>
      <c r="P83" s="149">
        <v>16</v>
      </c>
      <c r="Q83" s="16" t="s">
        <v>102</v>
      </c>
      <c r="T83" s="191"/>
      <c r="U83" s="203"/>
      <c r="V83" s="200"/>
    </row>
    <row r="84" spans="1:22" s="16" customFormat="1" ht="13.5" customHeight="1">
      <c r="A84" s="145" t="s">
        <v>170</v>
      </c>
      <c r="B84" s="145" t="s">
        <v>99</v>
      </c>
      <c r="C84" s="145" t="s">
        <v>157</v>
      </c>
      <c r="D84" s="16" t="s">
        <v>171</v>
      </c>
      <c r="E84" s="207">
        <f t="shared" si="4"/>
        <v>71</v>
      </c>
      <c r="F84" s="165" t="s">
        <v>172</v>
      </c>
      <c r="G84" s="176" t="s">
        <v>160</v>
      </c>
      <c r="H84" s="177">
        <v>1</v>
      </c>
      <c r="I84" s="178"/>
      <c r="J84" s="178"/>
      <c r="K84" s="147">
        <v>0</v>
      </c>
      <c r="L84" s="146">
        <f>H84*K84</f>
        <v>0</v>
      </c>
      <c r="M84" s="147">
        <v>0</v>
      </c>
      <c r="N84" s="146">
        <f>H84*M84</f>
        <v>0</v>
      </c>
      <c r="O84" s="148">
        <v>20</v>
      </c>
      <c r="P84" s="149">
        <v>16</v>
      </c>
      <c r="Q84" s="16" t="s">
        <v>102</v>
      </c>
      <c r="T84" s="191"/>
      <c r="U84" s="203"/>
      <c r="V84" s="200"/>
    </row>
    <row r="85" spans="1:22" s="124" customFormat="1" ht="12.75" customHeight="1">
      <c r="B85" s="128" t="s">
        <v>59</v>
      </c>
      <c r="D85" s="129" t="s">
        <v>173</v>
      </c>
      <c r="E85" s="207">
        <f t="shared" si="4"/>
        <v>72</v>
      </c>
      <c r="F85" s="164" t="s">
        <v>174</v>
      </c>
      <c r="G85" s="183"/>
      <c r="H85" s="183"/>
      <c r="I85" s="183"/>
      <c r="J85" s="184"/>
      <c r="L85" s="131">
        <f>SUM(L91:L96)</f>
        <v>0</v>
      </c>
      <c r="N85" s="131">
        <f>SUM(N91:N96)</f>
        <v>0</v>
      </c>
      <c r="Q85" s="129" t="s">
        <v>97</v>
      </c>
      <c r="T85" s="190"/>
      <c r="U85" s="203"/>
      <c r="V85" s="200"/>
    </row>
    <row r="86" spans="1:22" s="124" customFormat="1" ht="12.75" customHeight="1">
      <c r="B86" s="128"/>
      <c r="D86" s="129"/>
      <c r="E86" s="207">
        <f t="shared" si="4"/>
        <v>73</v>
      </c>
      <c r="F86" s="165" t="s">
        <v>328</v>
      </c>
      <c r="G86" s="176" t="s">
        <v>111</v>
      </c>
      <c r="H86" s="177">
        <v>353.54</v>
      </c>
      <c r="I86" s="178"/>
      <c r="J86" s="178"/>
      <c r="L86" s="131"/>
      <c r="N86" s="131"/>
      <c r="Q86" s="129"/>
      <c r="T86" s="190"/>
      <c r="U86" s="203"/>
      <c r="V86" s="200"/>
    </row>
    <row r="87" spans="1:22" s="124" customFormat="1" ht="24.75" customHeight="1">
      <c r="B87" s="128"/>
      <c r="D87" s="129"/>
      <c r="E87" s="207">
        <f t="shared" si="4"/>
        <v>74</v>
      </c>
      <c r="F87" s="165" t="s">
        <v>338</v>
      </c>
      <c r="G87" s="176" t="s">
        <v>291</v>
      </c>
      <c r="H87" s="177">
        <v>787.3</v>
      </c>
      <c r="I87" s="178"/>
      <c r="J87" s="178"/>
      <c r="L87" s="131"/>
      <c r="N87" s="131"/>
      <c r="Q87" s="129"/>
      <c r="T87" s="190"/>
      <c r="U87" s="203"/>
      <c r="V87" s="200"/>
    </row>
    <row r="88" spans="1:22" s="124" customFormat="1" ht="13" customHeight="1">
      <c r="B88" s="128"/>
      <c r="D88" s="129"/>
      <c r="E88" s="207">
        <f t="shared" si="4"/>
        <v>75</v>
      </c>
      <c r="F88" s="165" t="s">
        <v>339</v>
      </c>
      <c r="G88" s="176" t="s">
        <v>111</v>
      </c>
      <c r="H88" s="177">
        <v>40.57</v>
      </c>
      <c r="I88" s="178"/>
      <c r="J88" s="178"/>
      <c r="L88" s="131"/>
      <c r="N88" s="131"/>
      <c r="Q88" s="129"/>
      <c r="T88" s="190"/>
      <c r="U88" s="203"/>
      <c r="V88" s="200"/>
    </row>
    <row r="89" spans="1:22" s="124" customFormat="1" ht="13" customHeight="1">
      <c r="B89" s="128"/>
      <c r="D89" s="129"/>
      <c r="E89" s="207">
        <f t="shared" si="4"/>
        <v>76</v>
      </c>
      <c r="F89" s="165" t="s">
        <v>340</v>
      </c>
      <c r="G89" s="176" t="s">
        <v>111</v>
      </c>
      <c r="H89" s="177">
        <v>50.7</v>
      </c>
      <c r="I89" s="178"/>
      <c r="J89" s="178"/>
      <c r="L89" s="131"/>
      <c r="N89" s="131"/>
      <c r="Q89" s="129"/>
      <c r="T89" s="190"/>
      <c r="U89" s="203"/>
      <c r="V89" s="200"/>
    </row>
    <row r="90" spans="1:22" s="124" customFormat="1" ht="27" customHeight="1">
      <c r="B90" s="128"/>
      <c r="D90" s="129"/>
      <c r="E90" s="207">
        <f t="shared" si="4"/>
        <v>77</v>
      </c>
      <c r="F90" s="165" t="s">
        <v>341</v>
      </c>
      <c r="G90" s="176" t="s">
        <v>111</v>
      </c>
      <c r="H90" s="177">
        <v>91.27</v>
      </c>
      <c r="I90" s="178"/>
      <c r="J90" s="178"/>
      <c r="L90" s="131"/>
      <c r="N90" s="131"/>
      <c r="Q90" s="129"/>
      <c r="T90" s="190"/>
      <c r="U90" s="203"/>
      <c r="V90" s="200"/>
    </row>
    <row r="91" spans="1:22" s="16" customFormat="1" ht="13" customHeight="1">
      <c r="A91" s="145" t="s">
        <v>175</v>
      </c>
      <c r="B91" s="145" t="s">
        <v>99</v>
      </c>
      <c r="C91" s="145" t="s">
        <v>157</v>
      </c>
      <c r="D91" s="16" t="s">
        <v>176</v>
      </c>
      <c r="E91" s="207">
        <f t="shared" si="4"/>
        <v>78</v>
      </c>
      <c r="F91" s="165" t="s">
        <v>238</v>
      </c>
      <c r="G91" s="176" t="s">
        <v>101</v>
      </c>
      <c r="H91" s="177">
        <v>17</v>
      </c>
      <c r="I91" s="178"/>
      <c r="J91" s="178"/>
      <c r="K91" s="147">
        <v>0</v>
      </c>
      <c r="L91" s="146">
        <f>H91*K91</f>
        <v>0</v>
      </c>
      <c r="M91" s="147">
        <v>0</v>
      </c>
      <c r="N91" s="146">
        <f>H91*M91</f>
        <v>0</v>
      </c>
      <c r="O91" s="148">
        <v>20</v>
      </c>
      <c r="P91" s="149">
        <v>16</v>
      </c>
      <c r="Q91" s="16" t="s">
        <v>102</v>
      </c>
      <c r="T91" s="191"/>
      <c r="U91" s="203"/>
      <c r="V91" s="200"/>
    </row>
    <row r="92" spans="1:22" s="16" customFormat="1" ht="13" customHeight="1">
      <c r="A92" s="145"/>
      <c r="B92" s="145"/>
      <c r="C92" s="145"/>
      <c r="E92" s="207">
        <f t="shared" si="4"/>
        <v>79</v>
      </c>
      <c r="F92" s="165" t="s">
        <v>329</v>
      </c>
      <c r="G92" s="176" t="s">
        <v>101</v>
      </c>
      <c r="H92" s="177">
        <v>17</v>
      </c>
      <c r="I92" s="178"/>
      <c r="J92" s="178"/>
      <c r="K92" s="147"/>
      <c r="L92" s="146"/>
      <c r="M92" s="147"/>
      <c r="N92" s="146"/>
      <c r="O92" s="148"/>
      <c r="P92" s="149"/>
      <c r="T92" s="191"/>
      <c r="U92" s="203"/>
      <c r="V92" s="200"/>
    </row>
    <row r="93" spans="1:22" s="16" customFormat="1" ht="13" customHeight="1">
      <c r="A93" s="145"/>
      <c r="B93" s="145"/>
      <c r="C93" s="145"/>
      <c r="E93" s="207">
        <f t="shared" si="4"/>
        <v>80</v>
      </c>
      <c r="F93" s="165" t="s">
        <v>277</v>
      </c>
      <c r="G93" s="176" t="s">
        <v>160</v>
      </c>
      <c r="H93" s="177">
        <v>1</v>
      </c>
      <c r="I93" s="178"/>
      <c r="J93" s="178"/>
      <c r="K93" s="147"/>
      <c r="L93" s="146"/>
      <c r="M93" s="147"/>
      <c r="N93" s="146"/>
      <c r="O93" s="148"/>
      <c r="P93" s="149"/>
      <c r="T93" s="191"/>
      <c r="U93" s="203"/>
      <c r="V93" s="200"/>
    </row>
    <row r="94" spans="1:22" s="16" customFormat="1" ht="13" customHeight="1">
      <c r="A94" s="145"/>
      <c r="B94" s="145"/>
      <c r="C94" s="145"/>
      <c r="E94" s="207">
        <f t="shared" si="4"/>
        <v>81</v>
      </c>
      <c r="F94" s="165" t="s">
        <v>263</v>
      </c>
      <c r="G94" s="176" t="s">
        <v>111</v>
      </c>
      <c r="H94" s="177">
        <v>116</v>
      </c>
      <c r="I94" s="178"/>
      <c r="J94" s="178"/>
      <c r="K94" s="147"/>
      <c r="L94" s="146"/>
      <c r="M94" s="147"/>
      <c r="N94" s="146"/>
      <c r="O94" s="148"/>
      <c r="P94" s="149"/>
      <c r="T94" s="191"/>
      <c r="U94" s="203"/>
      <c r="V94" s="200"/>
    </row>
    <row r="95" spans="1:22" s="16" customFormat="1" ht="13.5" customHeight="1">
      <c r="A95" s="145"/>
      <c r="B95" s="145"/>
      <c r="C95" s="145"/>
      <c r="E95" s="207">
        <f t="shared" si="4"/>
        <v>82</v>
      </c>
      <c r="F95" s="165" t="s">
        <v>276</v>
      </c>
      <c r="G95" s="176" t="s">
        <v>111</v>
      </c>
      <c r="H95" s="177">
        <v>6.6</v>
      </c>
      <c r="I95" s="178"/>
      <c r="J95" s="178"/>
      <c r="K95" s="147"/>
      <c r="L95" s="146"/>
      <c r="M95" s="147"/>
      <c r="N95" s="146"/>
      <c r="O95" s="148"/>
      <c r="P95" s="149"/>
      <c r="T95" s="191"/>
      <c r="U95" s="203"/>
      <c r="V95" s="200"/>
    </row>
    <row r="96" spans="1:22" s="16" customFormat="1" ht="13.5" customHeight="1">
      <c r="A96" s="145"/>
      <c r="B96" s="145"/>
      <c r="C96" s="145"/>
      <c r="E96" s="207">
        <f t="shared" si="4"/>
        <v>83</v>
      </c>
      <c r="F96" s="218" t="s">
        <v>278</v>
      </c>
      <c r="G96" s="218" t="s">
        <v>101</v>
      </c>
      <c r="H96" s="247">
        <v>9.76</v>
      </c>
      <c r="I96" s="219"/>
      <c r="J96" s="220"/>
      <c r="K96" s="147"/>
      <c r="L96" s="146"/>
      <c r="M96" s="147"/>
      <c r="N96" s="146"/>
      <c r="O96" s="148"/>
      <c r="P96" s="149"/>
      <c r="T96" s="191"/>
      <c r="U96" s="203"/>
      <c r="V96" s="200"/>
    </row>
    <row r="97" spans="1:22" s="16" customFormat="1" ht="13.5" customHeight="1">
      <c r="A97" s="145"/>
      <c r="B97" s="145"/>
      <c r="C97" s="145"/>
      <c r="E97" s="207">
        <f t="shared" si="4"/>
        <v>84</v>
      </c>
      <c r="F97" s="164" t="s">
        <v>217</v>
      </c>
      <c r="G97" s="183"/>
      <c r="H97" s="183"/>
      <c r="I97" s="183"/>
      <c r="J97" s="184"/>
      <c r="K97" s="147"/>
      <c r="L97" s="146"/>
      <c r="M97" s="147"/>
      <c r="N97" s="146"/>
      <c r="O97" s="148"/>
      <c r="P97" s="149"/>
      <c r="T97" s="191"/>
      <c r="U97" s="203"/>
      <c r="V97" s="200"/>
    </row>
    <row r="98" spans="1:22" s="16" customFormat="1" ht="13.5" customHeight="1">
      <c r="A98" s="145"/>
      <c r="B98" s="145"/>
      <c r="C98" s="145"/>
      <c r="E98" s="207">
        <f t="shared" si="4"/>
        <v>85</v>
      </c>
      <c r="F98" s="165" t="s">
        <v>230</v>
      </c>
      <c r="G98" s="176" t="s">
        <v>111</v>
      </c>
      <c r="H98" s="177">
        <v>353.54</v>
      </c>
      <c r="I98" s="178"/>
      <c r="J98" s="178"/>
      <c r="K98" s="147"/>
      <c r="L98" s="146"/>
      <c r="M98" s="147"/>
      <c r="N98" s="146"/>
      <c r="O98" s="148"/>
      <c r="P98" s="149"/>
      <c r="T98" s="191"/>
      <c r="U98" s="203"/>
      <c r="V98" s="200"/>
    </row>
    <row r="99" spans="1:22" s="16" customFormat="1" ht="13.5" customHeight="1">
      <c r="A99" s="145"/>
      <c r="B99" s="145"/>
      <c r="C99" s="145"/>
      <c r="E99" s="207">
        <f t="shared" si="4"/>
        <v>86</v>
      </c>
      <c r="F99" s="165" t="s">
        <v>231</v>
      </c>
      <c r="G99" s="176" t="s">
        <v>111</v>
      </c>
      <c r="H99" s="177">
        <v>353.54</v>
      </c>
      <c r="I99" s="178"/>
      <c r="J99" s="178"/>
      <c r="K99" s="147"/>
      <c r="L99" s="146"/>
      <c r="M99" s="147"/>
      <c r="N99" s="146"/>
      <c r="O99" s="148"/>
      <c r="P99" s="149"/>
      <c r="T99" s="191"/>
      <c r="U99" s="203"/>
      <c r="V99" s="200"/>
    </row>
    <row r="100" spans="1:22" s="16" customFormat="1" ht="13.5" customHeight="1">
      <c r="A100" s="145"/>
      <c r="B100" s="145"/>
      <c r="C100" s="145"/>
      <c r="E100" s="207">
        <f t="shared" si="4"/>
        <v>87</v>
      </c>
      <c r="F100" s="165" t="s">
        <v>232</v>
      </c>
      <c r="G100" s="176" t="s">
        <v>111</v>
      </c>
      <c r="H100" s="177">
        <f>H98</f>
        <v>353.54</v>
      </c>
      <c r="I100" s="178"/>
      <c r="J100" s="178"/>
      <c r="K100" s="147"/>
      <c r="L100" s="146"/>
      <c r="M100" s="147"/>
      <c r="N100" s="146"/>
      <c r="O100" s="148"/>
      <c r="P100" s="149"/>
      <c r="T100" s="191"/>
      <c r="U100" s="203"/>
      <c r="V100" s="200"/>
    </row>
    <row r="101" spans="1:22" s="16" customFormat="1" ht="13.5" customHeight="1">
      <c r="A101" s="145"/>
      <c r="B101" s="145"/>
      <c r="C101" s="145"/>
      <c r="E101" s="207">
        <f t="shared" si="4"/>
        <v>88</v>
      </c>
      <c r="F101" s="164" t="s">
        <v>219</v>
      </c>
      <c r="G101" s="183"/>
      <c r="H101" s="183"/>
      <c r="I101" s="183"/>
      <c r="J101" s="184"/>
      <c r="K101" s="147"/>
      <c r="L101" s="146"/>
      <c r="M101" s="147"/>
      <c r="N101" s="146"/>
      <c r="O101" s="148"/>
      <c r="P101" s="149"/>
      <c r="T101" s="191"/>
      <c r="U101" s="203"/>
      <c r="V101" s="200"/>
    </row>
    <row r="102" spans="1:22" s="16" customFormat="1" ht="13.5" customHeight="1">
      <c r="A102" s="145"/>
      <c r="B102" s="145"/>
      <c r="C102" s="145"/>
      <c r="E102" s="207">
        <f t="shared" si="4"/>
        <v>89</v>
      </c>
      <c r="F102" s="218" t="s">
        <v>343</v>
      </c>
      <c r="G102" s="234" t="s">
        <v>112</v>
      </c>
      <c r="H102" s="247">
        <v>30.3</v>
      </c>
      <c r="I102" s="178"/>
      <c r="J102" s="220"/>
      <c r="K102" s="147"/>
      <c r="L102" s="146"/>
      <c r="M102" s="147"/>
      <c r="N102" s="146"/>
      <c r="O102" s="148"/>
      <c r="P102" s="149"/>
      <c r="T102" s="191"/>
      <c r="U102" s="203"/>
      <c r="V102" s="200"/>
    </row>
    <row r="103" spans="1:22" s="16" customFormat="1" ht="13.5" customHeight="1">
      <c r="A103" s="145"/>
      <c r="B103" s="145"/>
      <c r="C103" s="145"/>
      <c r="E103" s="207">
        <f t="shared" si="4"/>
        <v>90</v>
      </c>
      <c r="F103" s="218" t="s">
        <v>344</v>
      </c>
      <c r="G103" s="234" t="s">
        <v>112</v>
      </c>
      <c r="H103" s="247">
        <v>7.55</v>
      </c>
      <c r="I103" s="178"/>
      <c r="J103" s="220"/>
      <c r="K103" s="147"/>
      <c r="L103" s="146"/>
      <c r="M103" s="147"/>
      <c r="N103" s="146"/>
      <c r="O103" s="148"/>
      <c r="P103" s="149"/>
      <c r="T103" s="191"/>
      <c r="U103" s="203"/>
      <c r="V103" s="200"/>
    </row>
    <row r="104" spans="1:22" s="16" customFormat="1" ht="13.5" customHeight="1">
      <c r="A104" s="145"/>
      <c r="B104" s="145"/>
      <c r="C104" s="145"/>
      <c r="E104" s="207">
        <f t="shared" si="4"/>
        <v>91</v>
      </c>
      <c r="F104" s="218" t="s">
        <v>349</v>
      </c>
      <c r="G104" s="234" t="s">
        <v>112</v>
      </c>
      <c r="H104" s="247">
        <v>46</v>
      </c>
      <c r="I104" s="178"/>
      <c r="J104" s="220"/>
      <c r="K104" s="147"/>
      <c r="L104" s="146"/>
      <c r="M104" s="147"/>
      <c r="N104" s="146"/>
      <c r="O104" s="148"/>
      <c r="P104" s="149"/>
      <c r="T104" s="191"/>
      <c r="U104" s="203"/>
      <c r="V104" s="200"/>
    </row>
    <row r="105" spans="1:22" s="16" customFormat="1" ht="13.5" customHeight="1">
      <c r="A105" s="145"/>
      <c r="B105" s="145"/>
      <c r="C105" s="145"/>
      <c r="E105" s="207">
        <f t="shared" si="4"/>
        <v>92</v>
      </c>
      <c r="F105" s="218" t="s">
        <v>345</v>
      </c>
      <c r="G105" s="234" t="s">
        <v>111</v>
      </c>
      <c r="H105" s="247">
        <v>2</v>
      </c>
      <c r="I105" s="178"/>
      <c r="J105" s="220"/>
      <c r="K105" s="147"/>
      <c r="L105" s="146"/>
      <c r="M105" s="147"/>
      <c r="N105" s="146"/>
      <c r="O105" s="148"/>
      <c r="P105" s="149"/>
      <c r="T105" s="191"/>
      <c r="U105" s="203"/>
      <c r="V105" s="200"/>
    </row>
    <row r="106" spans="1:22" s="16" customFormat="1" ht="13.5" customHeight="1">
      <c r="A106" s="145"/>
      <c r="B106" s="145"/>
      <c r="C106" s="145"/>
      <c r="E106" s="207">
        <f t="shared" si="4"/>
        <v>93</v>
      </c>
      <c r="F106" s="218" t="s">
        <v>346</v>
      </c>
      <c r="G106" s="234" t="s">
        <v>112</v>
      </c>
      <c r="H106" s="247">
        <v>9</v>
      </c>
      <c r="I106" s="178"/>
      <c r="J106" s="220"/>
      <c r="K106" s="147"/>
      <c r="L106" s="146"/>
      <c r="M106" s="147"/>
      <c r="N106" s="146"/>
      <c r="O106" s="148"/>
      <c r="P106" s="149"/>
      <c r="T106" s="191"/>
      <c r="U106" s="203"/>
      <c r="V106" s="200"/>
    </row>
    <row r="107" spans="1:22" s="16" customFormat="1" ht="25.5" customHeight="1">
      <c r="A107" s="145"/>
      <c r="B107" s="145"/>
      <c r="C107" s="145"/>
      <c r="E107" s="207">
        <f t="shared" si="4"/>
        <v>94</v>
      </c>
      <c r="F107" s="218" t="s">
        <v>351</v>
      </c>
      <c r="G107" s="234" t="s">
        <v>291</v>
      </c>
      <c r="H107" s="247">
        <v>46</v>
      </c>
      <c r="I107" s="178"/>
      <c r="J107" s="220"/>
      <c r="K107" s="147"/>
      <c r="L107" s="146"/>
      <c r="M107" s="147"/>
      <c r="N107" s="146"/>
      <c r="O107" s="148"/>
      <c r="P107" s="149"/>
      <c r="T107" s="191"/>
      <c r="U107" s="203"/>
      <c r="V107" s="200"/>
    </row>
    <row r="108" spans="1:22" s="16" customFormat="1" ht="13.5" customHeight="1">
      <c r="A108" s="145"/>
      <c r="B108" s="145"/>
      <c r="C108" s="145"/>
      <c r="E108" s="207">
        <f t="shared" si="4"/>
        <v>95</v>
      </c>
      <c r="F108" s="218" t="s">
        <v>350</v>
      </c>
      <c r="G108" s="234" t="s">
        <v>111</v>
      </c>
      <c r="H108" s="247">
        <v>1</v>
      </c>
      <c r="I108" s="178"/>
      <c r="J108" s="220"/>
      <c r="K108" s="147"/>
      <c r="L108" s="146"/>
      <c r="M108" s="147"/>
      <c r="N108" s="146"/>
      <c r="O108" s="148"/>
      <c r="P108" s="149"/>
      <c r="T108" s="191"/>
      <c r="U108" s="203"/>
      <c r="V108" s="200"/>
    </row>
    <row r="109" spans="1:22" s="16" customFormat="1" ht="13.5" customHeight="1">
      <c r="A109" s="145"/>
      <c r="B109" s="145"/>
      <c r="C109" s="145"/>
      <c r="E109" s="207">
        <f t="shared" si="4"/>
        <v>96</v>
      </c>
      <c r="F109" s="218" t="s">
        <v>286</v>
      </c>
      <c r="G109" s="234" t="s">
        <v>112</v>
      </c>
      <c r="H109" s="247">
        <v>6.9</v>
      </c>
      <c r="I109" s="178"/>
      <c r="J109" s="220"/>
      <c r="K109" s="147"/>
      <c r="L109" s="146"/>
      <c r="M109" s="147"/>
      <c r="N109" s="146"/>
      <c r="O109" s="148"/>
      <c r="P109" s="149"/>
      <c r="T109" s="191"/>
      <c r="U109" s="203"/>
      <c r="V109" s="200"/>
    </row>
    <row r="110" spans="1:22" s="16" customFormat="1" ht="13.5" customHeight="1">
      <c r="A110" s="145"/>
      <c r="B110" s="145"/>
      <c r="C110" s="145"/>
      <c r="E110" s="207">
        <f t="shared" si="4"/>
        <v>97</v>
      </c>
      <c r="F110" s="235" t="s">
        <v>352</v>
      </c>
      <c r="G110" s="236" t="s">
        <v>112</v>
      </c>
      <c r="H110" s="237">
        <v>5.85</v>
      </c>
      <c r="I110" s="237"/>
      <c r="J110" s="237"/>
      <c r="K110" s="147"/>
      <c r="L110" s="146"/>
      <c r="M110" s="147"/>
      <c r="N110" s="146"/>
      <c r="O110" s="148"/>
      <c r="P110" s="149"/>
      <c r="T110" s="191"/>
      <c r="U110" s="203"/>
      <c r="V110" s="200"/>
    </row>
    <row r="111" spans="1:22" s="16" customFormat="1" ht="13.5" customHeight="1">
      <c r="A111" s="145"/>
      <c r="B111" s="145"/>
      <c r="C111" s="145"/>
      <c r="E111" s="207">
        <f t="shared" si="4"/>
        <v>98</v>
      </c>
      <c r="F111" s="218" t="s">
        <v>354</v>
      </c>
      <c r="G111" s="239" t="s">
        <v>112</v>
      </c>
      <c r="H111" s="247">
        <v>30.3</v>
      </c>
      <c r="I111" s="178"/>
      <c r="J111" s="220"/>
      <c r="K111" s="147"/>
      <c r="L111" s="146"/>
      <c r="M111" s="147"/>
      <c r="N111" s="146"/>
      <c r="O111" s="148"/>
      <c r="P111" s="149"/>
      <c r="T111" s="191"/>
      <c r="U111" s="203"/>
      <c r="V111" s="200"/>
    </row>
    <row r="112" spans="1:22" s="16" customFormat="1" ht="13.5" customHeight="1">
      <c r="A112" s="145"/>
      <c r="B112" s="145"/>
      <c r="C112" s="145"/>
      <c r="E112" s="207">
        <f t="shared" si="4"/>
        <v>99</v>
      </c>
      <c r="F112" s="238" t="s">
        <v>287</v>
      </c>
      <c r="G112" s="239" t="s">
        <v>112</v>
      </c>
      <c r="H112" s="247">
        <v>30.3</v>
      </c>
      <c r="I112" s="178"/>
      <c r="J112" s="220"/>
      <c r="K112" s="147"/>
      <c r="L112" s="146"/>
      <c r="M112" s="147"/>
      <c r="N112" s="146"/>
      <c r="O112" s="148"/>
      <c r="P112" s="149"/>
      <c r="T112" s="191"/>
      <c r="U112" s="203"/>
      <c r="V112" s="200"/>
    </row>
    <row r="113" spans="1:22" s="16" customFormat="1" ht="13.5" customHeight="1">
      <c r="A113" s="145"/>
      <c r="B113" s="145"/>
      <c r="C113" s="145"/>
      <c r="E113" s="207">
        <f t="shared" si="4"/>
        <v>100</v>
      </c>
      <c r="F113" s="218" t="s">
        <v>288</v>
      </c>
      <c r="G113" s="234" t="s">
        <v>112</v>
      </c>
      <c r="H113" s="247">
        <v>21.2</v>
      </c>
      <c r="I113" s="178"/>
      <c r="J113" s="220"/>
      <c r="K113" s="147"/>
      <c r="L113" s="146"/>
      <c r="M113" s="147"/>
      <c r="N113" s="146"/>
      <c r="O113" s="148"/>
      <c r="P113" s="149"/>
      <c r="T113" s="191"/>
      <c r="U113" s="203"/>
      <c r="V113" s="200"/>
    </row>
    <row r="114" spans="1:22" s="16" customFormat="1" ht="13.5" customHeight="1">
      <c r="A114" s="145"/>
      <c r="B114" s="145"/>
      <c r="C114" s="145"/>
      <c r="E114" s="207">
        <f t="shared" si="4"/>
        <v>101</v>
      </c>
      <c r="F114" s="218" t="s">
        <v>289</v>
      </c>
      <c r="G114" s="234" t="s">
        <v>113</v>
      </c>
      <c r="H114" s="247">
        <v>2</v>
      </c>
      <c r="I114" s="178"/>
      <c r="J114" s="220"/>
      <c r="K114" s="147"/>
      <c r="L114" s="146"/>
      <c r="M114" s="147"/>
      <c r="N114" s="146"/>
      <c r="O114" s="148"/>
      <c r="P114" s="149"/>
      <c r="T114" s="191"/>
      <c r="U114" s="203"/>
      <c r="V114" s="200"/>
    </row>
    <row r="115" spans="1:22" s="16" customFormat="1" ht="22.5" customHeight="1">
      <c r="A115" s="145"/>
      <c r="B115" s="145"/>
      <c r="C115" s="145"/>
      <c r="E115" s="207">
        <f t="shared" si="4"/>
        <v>102</v>
      </c>
      <c r="F115" s="218" t="s">
        <v>353</v>
      </c>
      <c r="G115" s="234" t="s">
        <v>112</v>
      </c>
      <c r="H115" s="247">
        <v>9</v>
      </c>
      <c r="I115" s="178"/>
      <c r="J115" s="220"/>
      <c r="K115" s="147"/>
      <c r="L115" s="146"/>
      <c r="M115" s="147"/>
      <c r="N115" s="146"/>
      <c r="O115" s="148"/>
      <c r="P115" s="149"/>
      <c r="T115" s="191"/>
      <c r="U115" s="203"/>
      <c r="V115" s="200"/>
    </row>
    <row r="116" spans="1:22" s="124" customFormat="1" ht="12.75" customHeight="1">
      <c r="B116" s="128" t="s">
        <v>59</v>
      </c>
      <c r="D116" s="129" t="s">
        <v>177</v>
      </c>
      <c r="E116" s="207">
        <f t="shared" si="4"/>
        <v>103</v>
      </c>
      <c r="F116" s="164" t="s">
        <v>244</v>
      </c>
      <c r="G116" s="183"/>
      <c r="H116" s="183"/>
      <c r="I116" s="183"/>
      <c r="J116" s="184"/>
      <c r="L116" s="131">
        <f>SUM(L117:L145)</f>
        <v>1.8429999999999998E-2</v>
      </c>
      <c r="N116" s="131">
        <f>SUM(N117:N145)</f>
        <v>0</v>
      </c>
      <c r="Q116" s="129" t="s">
        <v>97</v>
      </c>
      <c r="T116" s="190"/>
      <c r="U116" s="203"/>
      <c r="V116" s="200"/>
    </row>
    <row r="117" spans="1:22" s="16" customFormat="1" ht="13.5" customHeight="1">
      <c r="A117" s="145" t="s">
        <v>179</v>
      </c>
      <c r="B117" s="145" t="s">
        <v>99</v>
      </c>
      <c r="C117" s="145" t="s">
        <v>177</v>
      </c>
      <c r="D117" s="16" t="s">
        <v>180</v>
      </c>
      <c r="E117" s="207">
        <f t="shared" si="4"/>
        <v>104</v>
      </c>
      <c r="F117" s="165" t="s">
        <v>342</v>
      </c>
      <c r="G117" s="176" t="s">
        <v>111</v>
      </c>
      <c r="H117" s="177">
        <v>73.72</v>
      </c>
      <c r="I117" s="178"/>
      <c r="J117" s="178"/>
      <c r="K117" s="147">
        <v>2.5000000000000001E-4</v>
      </c>
      <c r="L117" s="146">
        <f t="shared" ref="L117" si="5">H117*K117</f>
        <v>1.8429999999999998E-2</v>
      </c>
      <c r="M117" s="147">
        <v>0</v>
      </c>
      <c r="N117" s="146">
        <f t="shared" ref="N117" si="6">H117*M117</f>
        <v>0</v>
      </c>
      <c r="O117" s="148">
        <v>20</v>
      </c>
      <c r="P117" s="149">
        <v>16</v>
      </c>
      <c r="Q117" s="16" t="s">
        <v>102</v>
      </c>
      <c r="T117" s="191"/>
      <c r="U117" s="203"/>
      <c r="V117" s="200"/>
    </row>
    <row r="118" spans="1:22" s="16" customFormat="1" ht="13.5" customHeight="1">
      <c r="A118" s="145"/>
      <c r="B118" s="145"/>
      <c r="C118" s="145"/>
      <c r="E118" s="207">
        <f t="shared" si="4"/>
        <v>105</v>
      </c>
      <c r="F118" s="165" t="s">
        <v>240</v>
      </c>
      <c r="G118" s="176" t="s">
        <v>111</v>
      </c>
      <c r="H118" s="177">
        <v>73.72</v>
      </c>
      <c r="I118" s="178"/>
      <c r="J118" s="178"/>
      <c r="K118" s="147"/>
      <c r="L118" s="146"/>
      <c r="M118" s="147"/>
      <c r="N118" s="146"/>
      <c r="O118" s="148"/>
      <c r="P118" s="149"/>
      <c r="T118" s="191"/>
      <c r="U118" s="203"/>
      <c r="V118" s="200"/>
    </row>
    <row r="119" spans="1:22" s="16" customFormat="1" ht="24.75" customHeight="1">
      <c r="A119" s="145"/>
      <c r="B119" s="145"/>
      <c r="C119" s="145"/>
      <c r="E119" s="207">
        <f t="shared" si="4"/>
        <v>106</v>
      </c>
      <c r="F119" s="165" t="s">
        <v>241</v>
      </c>
      <c r="G119" s="176" t="s">
        <v>111</v>
      </c>
      <c r="H119" s="177">
        <v>5.08</v>
      </c>
      <c r="I119" s="178"/>
      <c r="J119" s="178"/>
      <c r="K119" s="147"/>
      <c r="L119" s="146"/>
      <c r="M119" s="147"/>
      <c r="N119" s="146"/>
      <c r="O119" s="148"/>
      <c r="P119" s="149"/>
      <c r="T119" s="191"/>
      <c r="U119" s="203"/>
      <c r="V119" s="200"/>
    </row>
    <row r="120" spans="1:22" s="16" customFormat="1" ht="13.5" customHeight="1">
      <c r="A120" s="145"/>
      <c r="B120" s="145"/>
      <c r="C120" s="145"/>
      <c r="E120" s="207">
        <f t="shared" si="4"/>
        <v>107</v>
      </c>
      <c r="F120" s="165" t="s">
        <v>270</v>
      </c>
      <c r="G120" s="176" t="s">
        <v>111</v>
      </c>
      <c r="H120" s="177">
        <v>300.56</v>
      </c>
      <c r="I120" s="178"/>
      <c r="J120" s="178"/>
      <c r="K120" s="147"/>
      <c r="L120" s="146"/>
      <c r="M120" s="147"/>
      <c r="N120" s="146"/>
      <c r="O120" s="148"/>
      <c r="P120" s="149"/>
      <c r="T120" s="191"/>
      <c r="U120" s="203"/>
      <c r="V120" s="200"/>
    </row>
    <row r="121" spans="1:22" s="16" customFormat="1" ht="24" customHeight="1">
      <c r="A121" s="145"/>
      <c r="B121" s="145"/>
      <c r="C121" s="145"/>
      <c r="E121" s="207">
        <f t="shared" si="4"/>
        <v>108</v>
      </c>
      <c r="F121" s="165" t="s">
        <v>272</v>
      </c>
      <c r="G121" s="176" t="s">
        <v>111</v>
      </c>
      <c r="H121" s="177">
        <v>9.7200000000000006</v>
      </c>
      <c r="I121" s="178"/>
      <c r="J121" s="178"/>
      <c r="K121" s="147"/>
      <c r="L121" s="146"/>
      <c r="M121" s="147"/>
      <c r="N121" s="146"/>
      <c r="O121" s="148"/>
      <c r="P121" s="149"/>
      <c r="T121" s="191"/>
      <c r="U121" s="203"/>
      <c r="V121" s="200"/>
    </row>
    <row r="122" spans="1:22" s="16" customFormat="1" ht="15" customHeight="1">
      <c r="A122" s="145"/>
      <c r="B122" s="145"/>
      <c r="C122" s="145"/>
      <c r="E122" s="207">
        <f t="shared" si="4"/>
        <v>109</v>
      </c>
      <c r="F122" s="165" t="s">
        <v>271</v>
      </c>
      <c r="G122" s="176" t="s">
        <v>111</v>
      </c>
      <c r="H122" s="177">
        <v>115.02</v>
      </c>
      <c r="I122" s="178"/>
      <c r="J122" s="178"/>
      <c r="K122" s="147"/>
      <c r="L122" s="146"/>
      <c r="M122" s="147"/>
      <c r="N122" s="146"/>
      <c r="O122" s="148"/>
      <c r="P122" s="149"/>
      <c r="T122" s="191"/>
      <c r="U122" s="203"/>
      <c r="V122" s="200"/>
    </row>
    <row r="123" spans="1:22" s="16" customFormat="1" ht="15" customHeight="1">
      <c r="A123" s="145"/>
      <c r="B123" s="145"/>
      <c r="C123" s="145"/>
      <c r="E123" s="207">
        <f t="shared" si="4"/>
        <v>110</v>
      </c>
      <c r="F123" s="165" t="s">
        <v>269</v>
      </c>
      <c r="G123" s="176" t="s">
        <v>111</v>
      </c>
      <c r="H123" s="177">
        <v>44.46</v>
      </c>
      <c r="I123" s="178"/>
      <c r="J123" s="178"/>
      <c r="K123" s="147"/>
      <c r="L123" s="146"/>
      <c r="M123" s="147"/>
      <c r="N123" s="146"/>
      <c r="O123" s="148"/>
      <c r="P123" s="149"/>
      <c r="T123" s="191"/>
      <c r="U123" s="203"/>
      <c r="V123" s="200"/>
    </row>
    <row r="124" spans="1:22" s="16" customFormat="1" ht="15" customHeight="1">
      <c r="A124" s="145"/>
      <c r="B124" s="145"/>
      <c r="C124" s="145"/>
      <c r="E124" s="207">
        <f t="shared" si="4"/>
        <v>111</v>
      </c>
      <c r="F124" s="165" t="s">
        <v>267</v>
      </c>
      <c r="G124" s="176" t="s">
        <v>111</v>
      </c>
      <c r="H124" s="177">
        <v>61.1</v>
      </c>
      <c r="I124" s="178"/>
      <c r="J124" s="178"/>
      <c r="K124" s="147"/>
      <c r="L124" s="146"/>
      <c r="M124" s="147"/>
      <c r="N124" s="146"/>
      <c r="O124" s="148"/>
      <c r="P124" s="149"/>
      <c r="T124" s="191"/>
      <c r="U124" s="203"/>
      <c r="V124" s="200"/>
    </row>
    <row r="125" spans="1:22" s="16" customFormat="1" ht="15" customHeight="1">
      <c r="A125" s="145"/>
      <c r="B125" s="145"/>
      <c r="C125" s="145"/>
      <c r="E125" s="207">
        <f t="shared" si="4"/>
        <v>112</v>
      </c>
      <c r="F125" s="165" t="s">
        <v>268</v>
      </c>
      <c r="G125" s="176" t="s">
        <v>111</v>
      </c>
      <c r="H125" s="177">
        <v>61.1</v>
      </c>
      <c r="I125" s="178"/>
      <c r="J125" s="178"/>
      <c r="K125" s="147"/>
      <c r="L125" s="146"/>
      <c r="M125" s="147"/>
      <c r="N125" s="146"/>
      <c r="O125" s="148"/>
      <c r="P125" s="149"/>
      <c r="T125" s="191"/>
      <c r="U125" s="203"/>
      <c r="V125" s="200"/>
    </row>
    <row r="126" spans="1:22" s="16" customFormat="1" ht="12.75" customHeight="1">
      <c r="A126" s="145"/>
      <c r="B126" s="145"/>
      <c r="C126" s="145"/>
      <c r="E126" s="207">
        <f t="shared" si="4"/>
        <v>113</v>
      </c>
      <c r="F126" s="165" t="s">
        <v>265</v>
      </c>
      <c r="G126" s="176" t="s">
        <v>111</v>
      </c>
      <c r="H126" s="177">
        <v>215.96</v>
      </c>
      <c r="I126" s="178"/>
      <c r="J126" s="178"/>
      <c r="K126" s="147"/>
      <c r="L126" s="146"/>
      <c r="M126" s="147"/>
      <c r="N126" s="146"/>
      <c r="O126" s="148"/>
      <c r="P126" s="149"/>
      <c r="T126" s="191"/>
      <c r="U126" s="203"/>
      <c r="V126" s="200"/>
    </row>
    <row r="127" spans="1:22" s="16" customFormat="1" ht="12.75" customHeight="1">
      <c r="A127" s="145"/>
      <c r="B127" s="145"/>
      <c r="C127" s="145"/>
      <c r="E127" s="207">
        <f t="shared" si="4"/>
        <v>114</v>
      </c>
      <c r="F127" s="165" t="s">
        <v>266</v>
      </c>
      <c r="G127" s="176" t="s">
        <v>101</v>
      </c>
      <c r="H127" s="177">
        <v>24.12</v>
      </c>
      <c r="I127" s="178"/>
      <c r="J127" s="178"/>
      <c r="K127" s="147"/>
      <c r="L127" s="146"/>
      <c r="M127" s="147"/>
      <c r="N127" s="146"/>
      <c r="O127" s="148"/>
      <c r="P127" s="149"/>
      <c r="T127" s="191"/>
      <c r="U127" s="203"/>
      <c r="V127" s="200"/>
    </row>
    <row r="128" spans="1:22" s="16" customFormat="1" ht="12.75" customHeight="1">
      <c r="A128" s="145"/>
      <c r="B128" s="145"/>
      <c r="C128" s="145"/>
      <c r="E128" s="207">
        <f t="shared" si="4"/>
        <v>115</v>
      </c>
      <c r="F128" s="221" t="s">
        <v>280</v>
      </c>
      <c r="G128" s="222"/>
      <c r="H128" s="223"/>
      <c r="I128" s="222"/>
      <c r="J128" s="224"/>
      <c r="K128" s="147"/>
      <c r="L128" s="146"/>
      <c r="M128" s="147"/>
      <c r="N128" s="146"/>
      <c r="O128" s="148"/>
      <c r="P128" s="149"/>
      <c r="T128" s="191"/>
      <c r="U128" s="203"/>
      <c r="V128" s="200"/>
    </row>
    <row r="129" spans="1:22" s="16" customFormat="1" ht="12.75" customHeight="1">
      <c r="A129" s="145"/>
      <c r="B129" s="145"/>
      <c r="C129" s="145"/>
      <c r="E129" s="207">
        <f t="shared" si="4"/>
        <v>116</v>
      </c>
      <c r="F129" s="225" t="s">
        <v>281</v>
      </c>
      <c r="G129" s="226" t="s">
        <v>111</v>
      </c>
      <c r="H129" s="227">
        <v>17.8</v>
      </c>
      <c r="I129" s="227"/>
      <c r="J129" s="228"/>
      <c r="K129" s="147"/>
      <c r="L129" s="146"/>
      <c r="M129" s="147"/>
      <c r="N129" s="146"/>
      <c r="O129" s="148"/>
      <c r="P129" s="149"/>
      <c r="T129" s="191"/>
      <c r="U129" s="203"/>
      <c r="V129" s="200"/>
    </row>
    <row r="130" spans="1:22" s="16" customFormat="1" ht="12.75" customHeight="1">
      <c r="A130" s="145"/>
      <c r="B130" s="145"/>
      <c r="C130" s="145"/>
      <c r="E130" s="207">
        <f t="shared" si="4"/>
        <v>117</v>
      </c>
      <c r="F130" s="225" t="s">
        <v>358</v>
      </c>
      <c r="G130" s="226" t="s">
        <v>112</v>
      </c>
      <c r="H130" s="227">
        <v>40.78</v>
      </c>
      <c r="I130" s="227"/>
      <c r="J130" s="228"/>
      <c r="K130" s="147"/>
      <c r="L130" s="146"/>
      <c r="M130" s="147"/>
      <c r="N130" s="146"/>
      <c r="O130" s="148"/>
      <c r="P130" s="149"/>
      <c r="T130" s="191"/>
      <c r="U130" s="203"/>
      <c r="V130" s="200"/>
    </row>
    <row r="131" spans="1:22" s="16" customFormat="1" ht="12.75" customHeight="1">
      <c r="A131" s="145"/>
      <c r="B131" s="145"/>
      <c r="C131" s="145"/>
      <c r="E131" s="207">
        <f t="shared" si="4"/>
        <v>118</v>
      </c>
      <c r="F131" s="229" t="s">
        <v>357</v>
      </c>
      <c r="G131" s="230" t="s">
        <v>112</v>
      </c>
      <c r="H131" s="231">
        <f>H130*1.1</f>
        <v>44.858000000000004</v>
      </c>
      <c r="I131" s="231"/>
      <c r="J131" s="232"/>
      <c r="K131" s="147"/>
      <c r="L131" s="146"/>
      <c r="M131" s="147"/>
      <c r="N131" s="146"/>
      <c r="O131" s="148"/>
      <c r="P131" s="149"/>
      <c r="T131" s="191"/>
      <c r="U131" s="203"/>
      <c r="V131" s="200"/>
    </row>
    <row r="132" spans="1:22" s="16" customFormat="1" ht="12.75" customHeight="1">
      <c r="A132" s="145"/>
      <c r="B132" s="145"/>
      <c r="C132" s="145"/>
      <c r="E132" s="207">
        <f t="shared" si="4"/>
        <v>119</v>
      </c>
      <c r="F132" s="225" t="s">
        <v>359</v>
      </c>
      <c r="G132" s="226" t="s">
        <v>112</v>
      </c>
      <c r="H132" s="227">
        <v>116.64</v>
      </c>
      <c r="I132" s="227"/>
      <c r="J132" s="228"/>
      <c r="K132" s="147"/>
      <c r="L132" s="146"/>
      <c r="M132" s="147"/>
      <c r="N132" s="146"/>
      <c r="O132" s="148"/>
      <c r="P132" s="149"/>
      <c r="T132" s="191"/>
      <c r="U132" s="203"/>
      <c r="V132" s="200"/>
    </row>
    <row r="133" spans="1:22" s="16" customFormat="1" ht="12.75" customHeight="1">
      <c r="A133" s="145"/>
      <c r="B133" s="145"/>
      <c r="C133" s="145"/>
      <c r="E133" s="207">
        <f t="shared" si="4"/>
        <v>120</v>
      </c>
      <c r="F133" s="229" t="s">
        <v>282</v>
      </c>
      <c r="G133" s="230" t="s">
        <v>112</v>
      </c>
      <c r="H133" s="231">
        <f>H132*1.1</f>
        <v>128.304</v>
      </c>
      <c r="I133" s="231"/>
      <c r="J133" s="232"/>
      <c r="K133" s="147"/>
      <c r="L133" s="146"/>
      <c r="M133" s="147"/>
      <c r="N133" s="146"/>
      <c r="O133" s="148"/>
      <c r="P133" s="149"/>
      <c r="T133" s="191"/>
      <c r="U133" s="203"/>
      <c r="V133" s="200"/>
    </row>
    <row r="134" spans="1:22" s="16" customFormat="1" ht="12.75" customHeight="1">
      <c r="A134" s="145"/>
      <c r="B134" s="145"/>
      <c r="C134" s="145"/>
      <c r="E134" s="207">
        <f t="shared" si="4"/>
        <v>121</v>
      </c>
      <c r="F134" s="233" t="s">
        <v>283</v>
      </c>
      <c r="G134" s="226" t="s">
        <v>112</v>
      </c>
      <c r="H134" s="227">
        <v>38.03</v>
      </c>
      <c r="I134" s="227"/>
      <c r="J134" s="228"/>
      <c r="K134" s="147"/>
      <c r="L134" s="146"/>
      <c r="M134" s="147"/>
      <c r="N134" s="146"/>
      <c r="O134" s="148"/>
      <c r="P134" s="149"/>
      <c r="T134" s="191"/>
      <c r="U134" s="203"/>
      <c r="V134" s="200"/>
    </row>
    <row r="135" spans="1:22" s="16" customFormat="1" ht="12.75" customHeight="1">
      <c r="A135" s="145"/>
      <c r="B135" s="145"/>
      <c r="C135" s="145"/>
      <c r="E135" s="207">
        <f t="shared" si="4"/>
        <v>122</v>
      </c>
      <c r="F135" s="229" t="s">
        <v>284</v>
      </c>
      <c r="G135" s="230" t="s">
        <v>112</v>
      </c>
      <c r="H135" s="231">
        <f>H134*1.1</f>
        <v>41.833000000000006</v>
      </c>
      <c r="I135" s="231"/>
      <c r="J135" s="232"/>
      <c r="K135" s="147"/>
      <c r="L135" s="146"/>
      <c r="M135" s="147"/>
      <c r="N135" s="146"/>
      <c r="O135" s="148"/>
      <c r="P135" s="149"/>
      <c r="T135" s="191"/>
      <c r="U135" s="203"/>
      <c r="V135" s="200"/>
    </row>
    <row r="136" spans="1:22" s="16" customFormat="1" ht="12.75" customHeight="1">
      <c r="A136" s="145"/>
      <c r="B136" s="145"/>
      <c r="C136" s="145"/>
      <c r="E136" s="207">
        <f t="shared" si="4"/>
        <v>123</v>
      </c>
      <c r="F136" s="233" t="s">
        <v>355</v>
      </c>
      <c r="G136" s="226" t="s">
        <v>111</v>
      </c>
      <c r="H136" s="227">
        <v>122.15</v>
      </c>
      <c r="I136" s="227"/>
      <c r="J136" s="228"/>
      <c r="K136" s="147"/>
      <c r="L136" s="146"/>
      <c r="M136" s="147"/>
      <c r="N136" s="146"/>
      <c r="O136" s="148"/>
      <c r="P136" s="149"/>
      <c r="T136" s="191"/>
      <c r="U136" s="203"/>
      <c r="V136" s="200"/>
    </row>
    <row r="137" spans="1:22" s="16" customFormat="1" ht="12.75" customHeight="1">
      <c r="A137" s="145"/>
      <c r="B137" s="145"/>
      <c r="C137" s="145"/>
      <c r="E137" s="207">
        <f t="shared" si="4"/>
        <v>124</v>
      </c>
      <c r="F137" s="229" t="s">
        <v>356</v>
      </c>
      <c r="G137" s="230" t="s">
        <v>111</v>
      </c>
      <c r="H137" s="231">
        <f>H136*1.05</f>
        <v>128.25750000000002</v>
      </c>
      <c r="I137" s="231"/>
      <c r="J137" s="232"/>
      <c r="K137" s="147"/>
      <c r="L137" s="146"/>
      <c r="M137" s="147"/>
      <c r="N137" s="146"/>
      <c r="O137" s="148"/>
      <c r="P137" s="149"/>
      <c r="T137" s="191"/>
      <c r="U137" s="203"/>
      <c r="V137" s="200"/>
    </row>
    <row r="138" spans="1:22" s="16" customFormat="1" ht="12.75" customHeight="1">
      <c r="A138" s="145"/>
      <c r="B138" s="145"/>
      <c r="C138" s="145"/>
      <c r="E138" s="207">
        <f t="shared" si="4"/>
        <v>125</v>
      </c>
      <c r="F138" s="233" t="s">
        <v>361</v>
      </c>
      <c r="G138" s="226" t="s">
        <v>111</v>
      </c>
      <c r="H138" s="227">
        <v>10.7</v>
      </c>
      <c r="I138" s="227"/>
      <c r="J138" s="228"/>
      <c r="K138" s="147"/>
      <c r="L138" s="146"/>
      <c r="M138" s="147"/>
      <c r="N138" s="146"/>
      <c r="O138" s="148"/>
      <c r="P138" s="149"/>
      <c r="T138" s="191"/>
      <c r="U138" s="203"/>
      <c r="V138" s="200"/>
    </row>
    <row r="139" spans="1:22" s="16" customFormat="1" ht="12.75" customHeight="1">
      <c r="A139" s="145"/>
      <c r="B139" s="145"/>
      <c r="C139" s="145"/>
      <c r="E139" s="207">
        <f t="shared" si="4"/>
        <v>126</v>
      </c>
      <c r="F139" s="229" t="s">
        <v>360</v>
      </c>
      <c r="G139" s="230" t="s">
        <v>111</v>
      </c>
      <c r="H139" s="231">
        <f>H138*1.1</f>
        <v>11.77</v>
      </c>
      <c r="I139" s="231"/>
      <c r="J139" s="232"/>
      <c r="K139" s="147"/>
      <c r="L139" s="146"/>
      <c r="M139" s="147"/>
      <c r="N139" s="146"/>
      <c r="O139" s="148"/>
      <c r="P139" s="149"/>
      <c r="T139" s="191"/>
      <c r="U139" s="203"/>
      <c r="V139" s="200"/>
    </row>
    <row r="140" spans="1:22" s="16" customFormat="1" ht="12.75" customHeight="1">
      <c r="A140" s="145"/>
      <c r="B140" s="145"/>
      <c r="C140" s="145"/>
      <c r="E140" s="207">
        <f t="shared" si="4"/>
        <v>127</v>
      </c>
      <c r="F140" s="233" t="s">
        <v>285</v>
      </c>
      <c r="G140" s="226" t="s">
        <v>111</v>
      </c>
      <c r="H140" s="227">
        <v>166.72</v>
      </c>
      <c r="I140" s="227"/>
      <c r="J140" s="228"/>
      <c r="K140" s="147"/>
      <c r="L140" s="146"/>
      <c r="M140" s="147"/>
      <c r="N140" s="146"/>
      <c r="O140" s="148"/>
      <c r="P140" s="149"/>
      <c r="T140" s="191"/>
      <c r="U140" s="203"/>
      <c r="V140" s="200"/>
    </row>
    <row r="141" spans="1:22" s="16" customFormat="1" ht="13.5" customHeight="1">
      <c r="A141" s="145"/>
      <c r="B141" s="145"/>
      <c r="C141" s="145"/>
      <c r="E141" s="207">
        <f t="shared" si="4"/>
        <v>128</v>
      </c>
      <c r="F141" s="193" t="s">
        <v>235</v>
      </c>
      <c r="G141" s="194" t="s">
        <v>160</v>
      </c>
      <c r="H141" s="241">
        <v>1</v>
      </c>
      <c r="I141" s="195"/>
      <c r="J141" s="196"/>
      <c r="K141" s="147"/>
      <c r="L141" s="146"/>
      <c r="M141" s="147"/>
      <c r="N141" s="146"/>
      <c r="O141" s="148"/>
      <c r="P141" s="149"/>
      <c r="T141" s="191"/>
      <c r="U141" s="203"/>
      <c r="V141" s="200"/>
    </row>
    <row r="142" spans="1:22" s="16" customFormat="1" ht="13.5" customHeight="1">
      <c r="A142" s="145"/>
      <c r="B142" s="145"/>
      <c r="C142" s="145"/>
      <c r="E142" s="207">
        <f t="shared" si="4"/>
        <v>129</v>
      </c>
      <c r="F142" s="164" t="s">
        <v>178</v>
      </c>
      <c r="G142" s="183"/>
      <c r="H142" s="183"/>
      <c r="I142" s="183"/>
      <c r="J142" s="184"/>
      <c r="K142" s="147"/>
      <c r="L142" s="146"/>
      <c r="M142" s="147"/>
      <c r="N142" s="146"/>
      <c r="O142" s="148"/>
      <c r="P142" s="149"/>
      <c r="T142" s="191"/>
      <c r="U142" s="203"/>
      <c r="V142" s="200"/>
    </row>
    <row r="143" spans="1:22" s="16" customFormat="1" ht="12.75" customHeight="1">
      <c r="A143" s="145" t="s">
        <v>181</v>
      </c>
      <c r="B143" s="145" t="s">
        <v>99</v>
      </c>
      <c r="C143" s="145" t="s">
        <v>177</v>
      </c>
      <c r="D143" s="16" t="s">
        <v>182</v>
      </c>
      <c r="E143" s="207">
        <f t="shared" si="4"/>
        <v>130</v>
      </c>
      <c r="F143" s="165" t="s">
        <v>274</v>
      </c>
      <c r="G143" s="176" t="s">
        <v>252</v>
      </c>
      <c r="H143" s="177">
        <v>2</v>
      </c>
      <c r="I143" s="178"/>
      <c r="J143" s="178"/>
      <c r="K143" s="147">
        <v>0</v>
      </c>
      <c r="L143" s="146">
        <f>H145*K143</f>
        <v>0</v>
      </c>
      <c r="M143" s="147">
        <v>0</v>
      </c>
      <c r="N143" s="146">
        <f>H145*M143</f>
        <v>0</v>
      </c>
      <c r="O143" s="148">
        <v>20</v>
      </c>
      <c r="P143" s="149">
        <v>16</v>
      </c>
      <c r="Q143" s="16" t="s">
        <v>102</v>
      </c>
      <c r="T143" s="191"/>
      <c r="U143" s="203"/>
      <c r="V143" s="200"/>
    </row>
    <row r="144" spans="1:22" s="16" customFormat="1" ht="12.75" customHeight="1">
      <c r="A144" s="145"/>
      <c r="B144" s="145"/>
      <c r="C144" s="145"/>
      <c r="E144" s="207">
        <f t="shared" si="4"/>
        <v>131</v>
      </c>
      <c r="F144" s="165" t="s">
        <v>367</v>
      </c>
      <c r="G144" s="176" t="s">
        <v>113</v>
      </c>
      <c r="H144" s="177">
        <v>13</v>
      </c>
      <c r="I144" s="178"/>
      <c r="J144" s="178"/>
      <c r="K144" s="147"/>
      <c r="L144" s="146"/>
      <c r="M144" s="147"/>
      <c r="N144" s="146"/>
      <c r="O144" s="148"/>
      <c r="P144" s="149"/>
      <c r="T144" s="191"/>
      <c r="U144" s="203"/>
      <c r="V144" s="200"/>
    </row>
    <row r="145" spans="1:22" s="16" customFormat="1" ht="12.75" customHeight="1">
      <c r="A145" s="145"/>
      <c r="B145" s="145"/>
      <c r="C145" s="145"/>
      <c r="E145" s="207">
        <f t="shared" ref="E145:E172" si="7">E144+1</f>
        <v>132</v>
      </c>
      <c r="F145" s="165" t="s">
        <v>368</v>
      </c>
      <c r="G145" s="176" t="s">
        <v>113</v>
      </c>
      <c r="H145" s="177">
        <v>1</v>
      </c>
      <c r="I145" s="178"/>
      <c r="J145" s="178"/>
      <c r="K145" s="147"/>
      <c r="L145" s="146"/>
      <c r="M145" s="147"/>
      <c r="N145" s="146"/>
      <c r="O145" s="148"/>
      <c r="P145" s="149"/>
      <c r="T145" s="191"/>
      <c r="U145" s="203"/>
      <c r="V145" s="200"/>
    </row>
    <row r="146" spans="1:22" s="124" customFormat="1" ht="12.75" customHeight="1">
      <c r="B146" s="128" t="s">
        <v>59</v>
      </c>
      <c r="D146" s="129" t="s">
        <v>183</v>
      </c>
      <c r="E146" s="207">
        <f t="shared" si="7"/>
        <v>133</v>
      </c>
      <c r="F146" s="165" t="s">
        <v>222</v>
      </c>
      <c r="G146" s="244" t="s">
        <v>113</v>
      </c>
      <c r="H146" s="245">
        <v>10</v>
      </c>
      <c r="I146" s="246"/>
      <c r="J146" s="178"/>
      <c r="L146" s="131">
        <f>SUM(L147:L148)</f>
        <v>7.7408999999999992E-2</v>
      </c>
      <c r="N146" s="131">
        <f>SUM(N147:N148)</f>
        <v>0</v>
      </c>
      <c r="Q146" s="129" t="s">
        <v>97</v>
      </c>
      <c r="T146" s="190"/>
      <c r="U146" s="203"/>
      <c r="V146" s="200"/>
    </row>
    <row r="147" spans="1:22" s="16" customFormat="1" ht="12" customHeight="1">
      <c r="A147" s="145" t="s">
        <v>185</v>
      </c>
      <c r="B147" s="145" t="s">
        <v>99</v>
      </c>
      <c r="C147" s="145" t="s">
        <v>183</v>
      </c>
      <c r="D147" s="16" t="s">
        <v>186</v>
      </c>
      <c r="E147" s="207">
        <f t="shared" si="7"/>
        <v>134</v>
      </c>
      <c r="F147" s="243" t="s">
        <v>249</v>
      </c>
      <c r="G147" s="244" t="s">
        <v>160</v>
      </c>
      <c r="H147" s="245">
        <v>2</v>
      </c>
      <c r="I147" s="246"/>
      <c r="J147" s="178"/>
      <c r="K147" s="147">
        <v>3.6600000000000001E-3</v>
      </c>
      <c r="L147" s="146">
        <f>H149*K147</f>
        <v>7.7408999999999992E-2</v>
      </c>
      <c r="M147" s="147">
        <v>0</v>
      </c>
      <c r="N147" s="146">
        <f>H149*M147</f>
        <v>0</v>
      </c>
      <c r="O147" s="148">
        <v>20</v>
      </c>
      <c r="P147" s="149">
        <v>16</v>
      </c>
      <c r="Q147" s="16" t="s">
        <v>102</v>
      </c>
      <c r="T147" s="191"/>
      <c r="U147" s="203"/>
      <c r="V147" s="200"/>
    </row>
    <row r="148" spans="1:22" s="16" customFormat="1" ht="13.5" customHeight="1">
      <c r="A148" s="145"/>
      <c r="B148" s="145"/>
      <c r="C148" s="145"/>
      <c r="E148" s="207">
        <f t="shared" si="7"/>
        <v>135</v>
      </c>
      <c r="F148" s="164" t="s">
        <v>184</v>
      </c>
      <c r="G148" s="183"/>
      <c r="H148" s="183"/>
      <c r="I148" s="183"/>
      <c r="J148" s="208"/>
      <c r="K148" s="147"/>
      <c r="L148" s="146"/>
      <c r="M148" s="147"/>
      <c r="N148" s="146"/>
      <c r="O148" s="148"/>
      <c r="P148" s="149"/>
      <c r="T148" s="191"/>
      <c r="U148" s="203"/>
      <c r="V148" s="200"/>
    </row>
    <row r="149" spans="1:22" s="124" customFormat="1" ht="12.75" customHeight="1">
      <c r="B149" s="128" t="s">
        <v>59</v>
      </c>
      <c r="D149" s="129" t="s">
        <v>187</v>
      </c>
      <c r="E149" s="207">
        <f t="shared" si="7"/>
        <v>136</v>
      </c>
      <c r="F149" s="165" t="s">
        <v>246</v>
      </c>
      <c r="G149" s="176" t="s">
        <v>111</v>
      </c>
      <c r="H149" s="177">
        <v>21.15</v>
      </c>
      <c r="I149" s="178"/>
      <c r="J149" s="178"/>
      <c r="L149" s="131">
        <f>SUM(L151:L151)</f>
        <v>3.4213725E-2</v>
      </c>
      <c r="N149" s="131">
        <f>SUM(N151:N151)</f>
        <v>0</v>
      </c>
      <c r="Q149" s="129" t="s">
        <v>97</v>
      </c>
      <c r="T149" s="190"/>
      <c r="U149" s="203"/>
      <c r="V149" s="200"/>
    </row>
    <row r="150" spans="1:22" s="124" customFormat="1" ht="12.75" customHeight="1">
      <c r="B150" s="128"/>
      <c r="D150" s="129"/>
      <c r="E150" s="207">
        <f t="shared" si="7"/>
        <v>137</v>
      </c>
      <c r="F150" s="179" t="s">
        <v>247</v>
      </c>
      <c r="G150" s="180" t="s">
        <v>111</v>
      </c>
      <c r="H150" s="181">
        <f>H149*1.1</f>
        <v>23.265000000000001</v>
      </c>
      <c r="I150" s="182"/>
      <c r="J150" s="182"/>
      <c r="L150" s="131"/>
      <c r="N150" s="131"/>
      <c r="Q150" s="129"/>
      <c r="T150" s="190"/>
      <c r="U150" s="203"/>
      <c r="V150" s="200"/>
    </row>
    <row r="151" spans="1:22" s="16" customFormat="1" ht="12" customHeight="1">
      <c r="A151" s="145" t="s">
        <v>188</v>
      </c>
      <c r="B151" s="145" t="s">
        <v>99</v>
      </c>
      <c r="C151" s="145" t="s">
        <v>187</v>
      </c>
      <c r="D151" s="16" t="s">
        <v>189</v>
      </c>
      <c r="E151" s="207">
        <f t="shared" si="7"/>
        <v>138</v>
      </c>
      <c r="F151" s="164" t="s">
        <v>242</v>
      </c>
      <c r="G151" s="183"/>
      <c r="H151" s="183"/>
      <c r="I151" s="183"/>
      <c r="J151" s="208"/>
      <c r="K151" s="147">
        <v>1.2999999999999999E-4</v>
      </c>
      <c r="L151" s="146">
        <f>H154*K151</f>
        <v>3.4213725E-2</v>
      </c>
      <c r="M151" s="147">
        <v>0</v>
      </c>
      <c r="N151" s="146">
        <f>H154*M151</f>
        <v>0</v>
      </c>
      <c r="O151" s="148">
        <v>20</v>
      </c>
      <c r="P151" s="149">
        <v>16</v>
      </c>
      <c r="Q151" s="16" t="s">
        <v>102</v>
      </c>
      <c r="T151" s="191"/>
      <c r="U151" s="203"/>
      <c r="V151" s="200"/>
    </row>
    <row r="152" spans="1:22" s="16" customFormat="1" ht="12" customHeight="1">
      <c r="A152" s="145"/>
      <c r="B152" s="145"/>
      <c r="C152" s="145"/>
      <c r="E152" s="207">
        <f t="shared" si="7"/>
        <v>139</v>
      </c>
      <c r="F152" s="243" t="s">
        <v>253</v>
      </c>
      <c r="G152" s="244" t="s">
        <v>111</v>
      </c>
      <c r="H152" s="245">
        <v>250.65</v>
      </c>
      <c r="I152" s="246"/>
      <c r="J152" s="178"/>
      <c r="K152" s="147"/>
      <c r="L152" s="146"/>
      <c r="M152" s="147"/>
      <c r="N152" s="146"/>
      <c r="O152" s="148"/>
      <c r="P152" s="149"/>
      <c r="T152" s="191"/>
      <c r="U152" s="203"/>
      <c r="V152" s="200"/>
    </row>
    <row r="153" spans="1:22" s="124" customFormat="1" ht="12.75" customHeight="1">
      <c r="B153" s="128" t="s">
        <v>59</v>
      </c>
      <c r="D153" s="129" t="s">
        <v>190</v>
      </c>
      <c r="E153" s="207">
        <f t="shared" si="7"/>
        <v>140</v>
      </c>
      <c r="F153" s="243" t="s">
        <v>243</v>
      </c>
      <c r="G153" s="244" t="s">
        <v>111</v>
      </c>
      <c r="H153" s="245">
        <v>250.65</v>
      </c>
      <c r="I153" s="246"/>
      <c r="J153" s="178"/>
      <c r="L153" s="131">
        <f>SUM(L154:L155)</f>
        <v>0.76865040000000007</v>
      </c>
      <c r="N153" s="131">
        <f>SUM(N154:N155)</f>
        <v>0</v>
      </c>
      <c r="Q153" s="129" t="s">
        <v>97</v>
      </c>
      <c r="T153" s="190"/>
      <c r="U153" s="203"/>
      <c r="V153" s="200"/>
    </row>
    <row r="154" spans="1:22" s="16" customFormat="1" ht="12" customHeight="1">
      <c r="A154" s="145" t="s">
        <v>192</v>
      </c>
      <c r="B154" s="145" t="s">
        <v>99</v>
      </c>
      <c r="C154" s="145" t="s">
        <v>190</v>
      </c>
      <c r="D154" s="16" t="s">
        <v>193</v>
      </c>
      <c r="E154" s="207">
        <f t="shared" si="7"/>
        <v>141</v>
      </c>
      <c r="F154" s="179" t="s">
        <v>279</v>
      </c>
      <c r="G154" s="180" t="s">
        <v>111</v>
      </c>
      <c r="H154" s="181">
        <f>H153*1.05</f>
        <v>263.1825</v>
      </c>
      <c r="I154" s="182"/>
      <c r="J154" s="182"/>
      <c r="K154" s="147">
        <v>3.0000000000000001E-3</v>
      </c>
      <c r="L154" s="146">
        <f>H156*K154</f>
        <v>0.12684000000000001</v>
      </c>
      <c r="M154" s="147">
        <v>0</v>
      </c>
      <c r="N154" s="146">
        <f>H156*M154</f>
        <v>0</v>
      </c>
      <c r="O154" s="148">
        <v>20</v>
      </c>
      <c r="P154" s="149">
        <v>16</v>
      </c>
      <c r="Q154" s="16" t="s">
        <v>102</v>
      </c>
      <c r="T154" s="191"/>
      <c r="U154" s="203"/>
      <c r="V154" s="200"/>
    </row>
    <row r="155" spans="1:22" s="16" customFormat="1" ht="13.5" customHeight="1">
      <c r="A155" s="150" t="s">
        <v>194</v>
      </c>
      <c r="B155" s="150" t="s">
        <v>107</v>
      </c>
      <c r="C155" s="150" t="s">
        <v>108</v>
      </c>
      <c r="D155" s="151" t="s">
        <v>195</v>
      </c>
      <c r="E155" s="207">
        <f t="shared" si="7"/>
        <v>142</v>
      </c>
      <c r="F155" s="164" t="s">
        <v>191</v>
      </c>
      <c r="G155" s="183"/>
      <c r="H155" s="183"/>
      <c r="I155" s="183"/>
      <c r="J155" s="208"/>
      <c r="K155" s="153">
        <v>1.38E-2</v>
      </c>
      <c r="L155" s="152">
        <f>H157*K155</f>
        <v>0.6418104</v>
      </c>
      <c r="M155" s="153">
        <v>0</v>
      </c>
      <c r="N155" s="152">
        <f>H157*M155</f>
        <v>0</v>
      </c>
      <c r="O155" s="154">
        <v>20</v>
      </c>
      <c r="P155" s="155">
        <v>32</v>
      </c>
      <c r="Q155" s="151" t="s">
        <v>102</v>
      </c>
      <c r="T155" s="191"/>
      <c r="U155" s="203"/>
      <c r="V155" s="200"/>
    </row>
    <row r="156" spans="1:22" s="124" customFormat="1" ht="12.75" customHeight="1">
      <c r="B156" s="128" t="s">
        <v>59</v>
      </c>
      <c r="D156" s="129" t="s">
        <v>196</v>
      </c>
      <c r="E156" s="207">
        <f t="shared" si="7"/>
        <v>143</v>
      </c>
      <c r="F156" s="165" t="s">
        <v>234</v>
      </c>
      <c r="G156" s="176" t="s">
        <v>111</v>
      </c>
      <c r="H156" s="177">
        <v>42.28</v>
      </c>
      <c r="I156" s="178"/>
      <c r="J156" s="178"/>
      <c r="L156" s="131">
        <f>SUM(L157:L157)</f>
        <v>0.60329880000000002</v>
      </c>
      <c r="N156" s="131">
        <f>SUM(N157:N157)</f>
        <v>0</v>
      </c>
      <c r="Q156" s="129" t="s">
        <v>97</v>
      </c>
      <c r="T156" s="190"/>
      <c r="U156" s="203"/>
      <c r="V156" s="200"/>
    </row>
    <row r="157" spans="1:22" s="16" customFormat="1" ht="13.5" customHeight="1">
      <c r="A157" s="145" t="s">
        <v>198</v>
      </c>
      <c r="B157" s="145" t="s">
        <v>99</v>
      </c>
      <c r="C157" s="145" t="s">
        <v>196</v>
      </c>
      <c r="D157" s="16" t="s">
        <v>199</v>
      </c>
      <c r="E157" s="207">
        <f t="shared" si="7"/>
        <v>144</v>
      </c>
      <c r="F157" s="179" t="s">
        <v>366</v>
      </c>
      <c r="G157" s="180" t="s">
        <v>111</v>
      </c>
      <c r="H157" s="181">
        <f>H156*1.1</f>
        <v>46.508000000000003</v>
      </c>
      <c r="I157" s="182"/>
      <c r="J157" s="182"/>
      <c r="K157" s="147">
        <v>3.8999999999999999E-4</v>
      </c>
      <c r="L157" s="146">
        <f>H159*K157</f>
        <v>0.60329880000000002</v>
      </c>
      <c r="M157" s="147">
        <v>0</v>
      </c>
      <c r="N157" s="146">
        <f>H159*M157</f>
        <v>0</v>
      </c>
      <c r="O157" s="148">
        <v>20</v>
      </c>
      <c r="P157" s="149">
        <v>16</v>
      </c>
      <c r="Q157" s="16" t="s">
        <v>102</v>
      </c>
      <c r="T157" s="191"/>
      <c r="U157" s="203"/>
      <c r="V157" s="200"/>
    </row>
    <row r="158" spans="1:22" s="124" customFormat="1" ht="12.75" customHeight="1">
      <c r="B158" s="125" t="s">
        <v>59</v>
      </c>
      <c r="D158" s="126" t="s">
        <v>107</v>
      </c>
      <c r="E158" s="207">
        <f t="shared" si="7"/>
        <v>145</v>
      </c>
      <c r="F158" s="164" t="s">
        <v>197</v>
      </c>
      <c r="G158" s="183"/>
      <c r="H158" s="183"/>
      <c r="I158" s="183"/>
      <c r="J158" s="208"/>
      <c r="L158" s="127">
        <f>SUM(L163:L166)</f>
        <v>0</v>
      </c>
      <c r="N158" s="127">
        <f>SUM(N163:N166)</f>
        <v>0</v>
      </c>
      <c r="Q158" s="126" t="s">
        <v>96</v>
      </c>
      <c r="T158" s="190"/>
      <c r="U158" s="203"/>
      <c r="V158" s="200"/>
    </row>
    <row r="159" spans="1:22" s="124" customFormat="1" ht="12.75" customHeight="1">
      <c r="B159" s="125"/>
      <c r="D159" s="126"/>
      <c r="E159" s="207">
        <f t="shared" si="7"/>
        <v>146</v>
      </c>
      <c r="F159" s="165" t="s">
        <v>200</v>
      </c>
      <c r="G159" s="176" t="s">
        <v>111</v>
      </c>
      <c r="H159" s="177">
        <v>1546.92</v>
      </c>
      <c r="I159" s="178"/>
      <c r="J159" s="178"/>
      <c r="L159" s="127"/>
      <c r="N159" s="127"/>
      <c r="Q159" s="126"/>
      <c r="T159" s="190"/>
      <c r="U159" s="203"/>
      <c r="V159" s="200"/>
    </row>
    <row r="160" spans="1:22" s="124" customFormat="1" ht="12.75" customHeight="1">
      <c r="B160" s="125"/>
      <c r="D160" s="126"/>
      <c r="E160" s="207">
        <f t="shared" si="7"/>
        <v>147</v>
      </c>
      <c r="F160" s="165" t="s">
        <v>264</v>
      </c>
      <c r="G160" s="176" t="s">
        <v>111</v>
      </c>
      <c r="H160" s="177">
        <v>297</v>
      </c>
      <c r="I160" s="178"/>
      <c r="J160" s="178"/>
      <c r="L160" s="127"/>
      <c r="N160" s="127"/>
      <c r="Q160" s="126"/>
      <c r="T160" s="190"/>
      <c r="U160" s="203"/>
      <c r="V160" s="200"/>
    </row>
    <row r="161" spans="1:22" s="124" customFormat="1" ht="12.75" customHeight="1">
      <c r="B161" s="125"/>
      <c r="D161" s="126"/>
      <c r="E161" s="207">
        <f t="shared" si="7"/>
        <v>148</v>
      </c>
      <c r="F161" s="166" t="s">
        <v>305</v>
      </c>
      <c r="G161" s="183"/>
      <c r="H161" s="183"/>
      <c r="I161" s="183"/>
      <c r="J161" s="188"/>
      <c r="L161" s="127"/>
      <c r="N161" s="127"/>
      <c r="Q161" s="126"/>
      <c r="T161" s="190"/>
      <c r="U161" s="203"/>
      <c r="V161" s="200"/>
    </row>
    <row r="162" spans="1:22" s="124" customFormat="1" ht="12.75" customHeight="1">
      <c r="B162" s="125"/>
      <c r="D162" s="126"/>
      <c r="E162" s="207">
        <f t="shared" si="7"/>
        <v>149</v>
      </c>
      <c r="F162" s="165" t="s">
        <v>306</v>
      </c>
      <c r="G162" s="176" t="s">
        <v>160</v>
      </c>
      <c r="H162" s="177">
        <v>1</v>
      </c>
      <c r="I162" s="178"/>
      <c r="J162" s="178"/>
      <c r="L162" s="127"/>
      <c r="N162" s="127"/>
      <c r="Q162" s="126"/>
      <c r="T162" s="190"/>
      <c r="U162" s="203"/>
      <c r="V162" s="200"/>
    </row>
    <row r="163" spans="1:22" s="16" customFormat="1" ht="13.5" customHeight="1">
      <c r="A163" s="145" t="s">
        <v>201</v>
      </c>
      <c r="B163" s="145" t="s">
        <v>99</v>
      </c>
      <c r="C163" s="145" t="s">
        <v>157</v>
      </c>
      <c r="D163" s="16" t="s">
        <v>202</v>
      </c>
      <c r="E163" s="207">
        <f t="shared" si="7"/>
        <v>150</v>
      </c>
      <c r="F163" s="165" t="s">
        <v>327</v>
      </c>
      <c r="G163" s="176" t="s">
        <v>160</v>
      </c>
      <c r="H163" s="177">
        <v>1</v>
      </c>
      <c r="I163" s="178"/>
      <c r="J163" s="178"/>
      <c r="K163" s="147">
        <v>0</v>
      </c>
      <c r="L163" s="146">
        <f>H165*K163</f>
        <v>0</v>
      </c>
      <c r="M163" s="147">
        <v>0</v>
      </c>
      <c r="N163" s="146">
        <f>H165*M163</f>
        <v>0</v>
      </c>
      <c r="O163" s="148">
        <v>20</v>
      </c>
      <c r="P163" s="149">
        <v>64</v>
      </c>
      <c r="Q163" s="16" t="s">
        <v>97</v>
      </c>
      <c r="T163" s="191"/>
      <c r="U163" s="203"/>
      <c r="V163" s="200"/>
    </row>
    <row r="164" spans="1:22" s="16" customFormat="1" ht="13.5" customHeight="1">
      <c r="A164" s="145" t="s">
        <v>204</v>
      </c>
      <c r="B164" s="145" t="s">
        <v>99</v>
      </c>
      <c r="C164" s="145" t="s">
        <v>157</v>
      </c>
      <c r="D164" s="16" t="s">
        <v>205</v>
      </c>
      <c r="E164" s="207">
        <f t="shared" si="7"/>
        <v>151</v>
      </c>
      <c r="F164" s="166" t="s">
        <v>223</v>
      </c>
      <c r="G164" s="183"/>
      <c r="H164" s="183"/>
      <c r="I164" s="183"/>
      <c r="J164" s="188"/>
      <c r="K164" s="147">
        <v>0</v>
      </c>
      <c r="L164" s="146">
        <f>H166*K164</f>
        <v>0</v>
      </c>
      <c r="M164" s="147">
        <v>0</v>
      </c>
      <c r="N164" s="146">
        <f>H166*M164</f>
        <v>0</v>
      </c>
      <c r="O164" s="148">
        <v>20</v>
      </c>
      <c r="P164" s="149">
        <v>64</v>
      </c>
      <c r="Q164" s="16" t="s">
        <v>97</v>
      </c>
      <c r="T164" s="191"/>
      <c r="U164" s="203"/>
      <c r="V164" s="200"/>
    </row>
    <row r="165" spans="1:22" s="16" customFormat="1" ht="13.5" customHeight="1">
      <c r="A165" s="145" t="s">
        <v>207</v>
      </c>
      <c r="B165" s="145" t="s">
        <v>99</v>
      </c>
      <c r="C165" s="145" t="s">
        <v>157</v>
      </c>
      <c r="D165" s="16" t="s">
        <v>208</v>
      </c>
      <c r="E165" s="207">
        <f t="shared" si="7"/>
        <v>152</v>
      </c>
      <c r="F165" s="165" t="s">
        <v>203</v>
      </c>
      <c r="G165" s="176" t="s">
        <v>160</v>
      </c>
      <c r="H165" s="177">
        <v>1</v>
      </c>
      <c r="I165" s="178"/>
      <c r="J165" s="178"/>
      <c r="K165" s="147">
        <v>0</v>
      </c>
      <c r="L165" s="146">
        <f>H167*K165</f>
        <v>0</v>
      </c>
      <c r="M165" s="147">
        <v>0</v>
      </c>
      <c r="N165" s="146">
        <f>H167*M165</f>
        <v>0</v>
      </c>
      <c r="O165" s="148">
        <v>20</v>
      </c>
      <c r="P165" s="149">
        <v>64</v>
      </c>
      <c r="Q165" s="16" t="s">
        <v>97</v>
      </c>
      <c r="T165" s="191"/>
      <c r="U165" s="203"/>
      <c r="V165" s="200"/>
    </row>
    <row r="166" spans="1:22" s="16" customFormat="1" ht="13.5" customHeight="1">
      <c r="A166" s="145" t="s">
        <v>210</v>
      </c>
      <c r="B166" s="145" t="s">
        <v>99</v>
      </c>
      <c r="C166" s="145" t="s">
        <v>157</v>
      </c>
      <c r="D166" s="16" t="s">
        <v>211</v>
      </c>
      <c r="E166" s="207">
        <f t="shared" si="7"/>
        <v>153</v>
      </c>
      <c r="F166" s="165" t="s">
        <v>206</v>
      </c>
      <c r="G166" s="176" t="s">
        <v>160</v>
      </c>
      <c r="H166" s="177">
        <v>1</v>
      </c>
      <c r="I166" s="178"/>
      <c r="J166" s="178"/>
      <c r="K166" s="147">
        <v>0</v>
      </c>
      <c r="L166" s="146">
        <f>H168*K166</f>
        <v>0</v>
      </c>
      <c r="M166" s="147">
        <v>0</v>
      </c>
      <c r="N166" s="146">
        <f>H168*M166</f>
        <v>0</v>
      </c>
      <c r="O166" s="148">
        <v>20</v>
      </c>
      <c r="P166" s="149">
        <v>64</v>
      </c>
      <c r="Q166" s="16" t="s">
        <v>97</v>
      </c>
      <c r="T166" s="191"/>
      <c r="U166" s="203"/>
      <c r="V166" s="200"/>
    </row>
    <row r="167" spans="1:22" s="132" customFormat="1" ht="12.75" customHeight="1">
      <c r="E167" s="207">
        <f t="shared" si="7"/>
        <v>154</v>
      </c>
      <c r="F167" s="165" t="s">
        <v>209</v>
      </c>
      <c r="G167" s="176" t="s">
        <v>160</v>
      </c>
      <c r="H167" s="177">
        <v>1</v>
      </c>
      <c r="I167" s="178"/>
      <c r="J167" s="178"/>
      <c r="L167" s="133" t="e">
        <f>L14+L63+L158</f>
        <v>#REF!</v>
      </c>
      <c r="N167" s="133" t="e">
        <f>N14+N63+N158</f>
        <v>#REF!</v>
      </c>
      <c r="T167" s="192"/>
      <c r="U167" s="204"/>
      <c r="V167" s="201"/>
    </row>
    <row r="168" spans="1:22" s="132" customFormat="1" ht="12.75" customHeight="1">
      <c r="E168" s="207">
        <f t="shared" si="7"/>
        <v>155</v>
      </c>
      <c r="F168" s="165" t="s">
        <v>212</v>
      </c>
      <c r="G168" s="176" t="s">
        <v>160</v>
      </c>
      <c r="H168" s="177">
        <v>1</v>
      </c>
      <c r="I168" s="178"/>
      <c r="J168" s="178"/>
      <c r="L168" s="133"/>
      <c r="N168" s="133"/>
      <c r="T168" s="192"/>
      <c r="U168" s="204"/>
      <c r="V168" s="201"/>
    </row>
    <row r="169" spans="1:22" s="132" customFormat="1" ht="12.75" customHeight="1">
      <c r="E169" s="207">
        <f t="shared" si="7"/>
        <v>156</v>
      </c>
      <c r="F169" s="166" t="s">
        <v>302</v>
      </c>
      <c r="G169" s="176"/>
      <c r="H169" s="177"/>
      <c r="I169" s="178"/>
      <c r="J169" s="188"/>
      <c r="L169" s="133"/>
      <c r="N169" s="133"/>
      <c r="T169" s="192"/>
      <c r="U169" s="204"/>
      <c r="V169" s="201"/>
    </row>
    <row r="170" spans="1:22" s="132" customFormat="1" ht="12.75" customHeight="1">
      <c r="E170" s="207">
        <f t="shared" si="7"/>
        <v>157</v>
      </c>
      <c r="F170" s="165" t="s">
        <v>301</v>
      </c>
      <c r="G170" s="176" t="s">
        <v>303</v>
      </c>
      <c r="H170" s="177">
        <v>10</v>
      </c>
      <c r="I170" s="178"/>
      <c r="J170" s="178"/>
      <c r="L170" s="133"/>
      <c r="N170" s="133"/>
      <c r="T170" s="192"/>
      <c r="U170" s="204"/>
      <c r="V170" s="201"/>
    </row>
    <row r="171" spans="1:22" ht="11.25" customHeight="1">
      <c r="E171" s="207">
        <f t="shared" si="7"/>
        <v>158</v>
      </c>
      <c r="F171" s="165" t="s">
        <v>304</v>
      </c>
      <c r="G171" s="165"/>
      <c r="H171" s="165"/>
      <c r="I171" s="165"/>
      <c r="J171" s="165"/>
    </row>
    <row r="172" spans="1:22" ht="11.25" customHeight="1">
      <c r="E172" s="207">
        <f t="shared" si="7"/>
        <v>159</v>
      </c>
      <c r="F172" s="167" t="s">
        <v>79</v>
      </c>
      <c r="G172" s="214"/>
      <c r="H172" s="214"/>
      <c r="I172" s="214"/>
      <c r="J172" s="215"/>
    </row>
    <row r="173" spans="1:22" ht="11.25" customHeight="1">
      <c r="F173" s="168"/>
      <c r="G173" s="168"/>
      <c r="H173" s="168"/>
      <c r="I173" s="168"/>
      <c r="J173" s="168"/>
    </row>
    <row r="174" spans="1:22" ht="11.25" customHeight="1">
      <c r="F174" s="168"/>
      <c r="G174" s="168"/>
      <c r="H174" s="168"/>
      <c r="I174" s="168"/>
      <c r="J174" s="168"/>
    </row>
    <row r="177" spans="8:10" ht="11.25" customHeight="1">
      <c r="J177" s="175"/>
    </row>
    <row r="178" spans="8:10" ht="11.25" customHeight="1">
      <c r="H178" s="174"/>
      <c r="J178" s="175"/>
    </row>
  </sheetData>
  <mergeCells count="1">
    <mergeCell ref="H2:J2"/>
  </mergeCells>
  <phoneticPr fontId="2" type="noConversion"/>
  <printOptions horizontalCentered="1"/>
  <pageMargins left="0.78740157480314965" right="0.78740157480314965" top="0.59055118110236227" bottom="0.59055118110236227" header="0" footer="0"/>
  <pageSetup paperSize="9" scale="90" fitToHeight="9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3"/>
  <sheetViews>
    <sheetView tabSelected="1" workbookViewId="0">
      <selection activeCell="C33" sqref="C33"/>
    </sheetView>
  </sheetViews>
  <sheetFormatPr baseColWidth="10" defaultColWidth="8.83203125" defaultRowHeight="13"/>
  <cols>
    <col min="2" max="2" width="20" customWidth="1"/>
  </cols>
  <sheetData>
    <row r="2" spans="2:6">
      <c r="B2" t="s">
        <v>254</v>
      </c>
      <c r="C2">
        <f>(11.6+11.4)*16</f>
        <v>368</v>
      </c>
      <c r="D2" s="216">
        <f>0.12*0.18*C2</f>
        <v>7.9487999999999994</v>
      </c>
    </row>
    <row r="3" spans="2:6">
      <c r="B3" s="217" t="s">
        <v>257</v>
      </c>
      <c r="C3">
        <f>15.1+14.7</f>
        <v>29.799999999999997</v>
      </c>
      <c r="D3" s="216">
        <f>0.16*0.26*C3</f>
        <v>1.2396800000000001</v>
      </c>
    </row>
    <row r="4" spans="2:6">
      <c r="B4" s="217" t="s">
        <v>258</v>
      </c>
      <c r="C4">
        <f>14.4*2</f>
        <v>28.8</v>
      </c>
      <c r="D4" s="216">
        <f>0.16*0.22*C4</f>
        <v>1.01376</v>
      </c>
    </row>
    <row r="5" spans="2:6">
      <c r="B5" s="217" t="s">
        <v>259</v>
      </c>
      <c r="C5">
        <f>15.5+14.2</f>
        <v>29.7</v>
      </c>
      <c r="D5" s="216">
        <f>0.12*0.16*C5</f>
        <v>0.57023999999999997</v>
      </c>
    </row>
    <row r="6" spans="2:6">
      <c r="B6" s="217" t="s">
        <v>256</v>
      </c>
      <c r="C6">
        <f>10*16</f>
        <v>160</v>
      </c>
      <c r="D6" s="216">
        <f>0.08*0.2*C6</f>
        <v>2.56</v>
      </c>
    </row>
    <row r="7" spans="2:6">
      <c r="B7" s="217" t="s">
        <v>255</v>
      </c>
      <c r="C7">
        <f>3.9*16</f>
        <v>62.4</v>
      </c>
      <c r="D7" s="216">
        <f>0.08*0.16*C7</f>
        <v>0.79871999999999999</v>
      </c>
    </row>
    <row r="8" spans="2:6">
      <c r="B8" s="217" t="s">
        <v>260</v>
      </c>
      <c r="C8">
        <f>24*1</f>
        <v>24</v>
      </c>
      <c r="D8" s="216">
        <f>0.12*0.16*C8</f>
        <v>0.46079999999999999</v>
      </c>
    </row>
    <row r="9" spans="2:6">
      <c r="B9" s="217" t="s">
        <v>261</v>
      </c>
      <c r="C9">
        <f>3.7*8</f>
        <v>29.6</v>
      </c>
      <c r="D9" s="216">
        <f>0.12*0.16*C9</f>
        <v>0.56831999999999994</v>
      </c>
    </row>
    <row r="10" spans="2:6">
      <c r="B10" s="217" t="s">
        <v>262</v>
      </c>
      <c r="C10">
        <f>7.1*5+3.6*10</f>
        <v>71.5</v>
      </c>
      <c r="D10" s="216">
        <f>0.16*0.16*C10</f>
        <v>1.8304</v>
      </c>
    </row>
    <row r="11" spans="2:6">
      <c r="D11" s="216">
        <f>SUM(D2:D10)</f>
        <v>16.99072</v>
      </c>
      <c r="F11" s="216">
        <f>D2+D3+D5</f>
        <v>9.7587200000000003</v>
      </c>
    </row>
    <row r="12" spans="2:6">
      <c r="D12" s="216"/>
    </row>
    <row r="13" spans="2:6">
      <c r="D13" s="216"/>
    </row>
    <row r="14" spans="2:6">
      <c r="D14" s="216"/>
    </row>
    <row r="15" spans="2:6">
      <c r="B15" t="s">
        <v>330</v>
      </c>
      <c r="D15" s="216"/>
    </row>
    <row r="16" spans="2:6">
      <c r="B16" t="s">
        <v>331</v>
      </c>
      <c r="C16">
        <f>13*(11.6+11.4)</f>
        <v>299</v>
      </c>
      <c r="D16" s="216"/>
    </row>
    <row r="17" spans="2:4">
      <c r="B17" t="s">
        <v>332</v>
      </c>
      <c r="C17">
        <v>62</v>
      </c>
      <c r="D17" s="216"/>
    </row>
    <row r="18" spans="2:4">
      <c r="B18" t="s">
        <v>333</v>
      </c>
      <c r="C18">
        <f>29.7*2</f>
        <v>59.4</v>
      </c>
    </row>
    <row r="19" spans="2:4">
      <c r="B19" t="s">
        <v>334</v>
      </c>
      <c r="C19">
        <v>29.7</v>
      </c>
    </row>
    <row r="20" spans="2:4">
      <c r="B20" t="s">
        <v>335</v>
      </c>
      <c r="C20">
        <f>10*13+4*13</f>
        <v>182</v>
      </c>
    </row>
    <row r="21" spans="2:4">
      <c r="B21" t="s">
        <v>336</v>
      </c>
      <c r="C21">
        <v>29.6</v>
      </c>
    </row>
    <row r="22" spans="2:4">
      <c r="B22" t="s">
        <v>337</v>
      </c>
      <c r="C22">
        <f>8*3.2</f>
        <v>25.6</v>
      </c>
    </row>
    <row r="23" spans="2:4">
      <c r="C23">
        <f>SUM(C16:C22)</f>
        <v>687.3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Krycí list</vt:lpstr>
      <vt:lpstr>Rozpocet</vt:lpstr>
      <vt:lpstr>Krov</vt:lpstr>
      <vt:lpstr>Rozpocet!Oblast_tisku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Microsoft Office User</cp:lastModifiedBy>
  <cp:lastPrinted>2021-04-18T12:17:05Z</cp:lastPrinted>
  <dcterms:created xsi:type="dcterms:W3CDTF">2015-11-17T07:57:44Z</dcterms:created>
  <dcterms:modified xsi:type="dcterms:W3CDTF">2021-06-22T20:20:38Z</dcterms:modified>
</cp:coreProperties>
</file>