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živatel\Desktop\Brno Medlánky\ROZPOČTY OSTRÉ\"/>
    </mc:Choice>
  </mc:AlternateContent>
  <bookViews>
    <workbookView xWindow="0" yWindow="0" windowWidth="28800" windowHeight="12432"/>
  </bookViews>
  <sheets>
    <sheet name="Stavební rozpočet" sheetId="1" r:id="rId1"/>
  </sheets>
  <calcPr calcId="162913"/>
</workbook>
</file>

<file path=xl/calcChain.xml><?xml version="1.0" encoding="utf-8"?>
<calcChain xmlns="http://schemas.openxmlformats.org/spreadsheetml/2006/main">
  <c r="L13" i="1" l="1"/>
  <c r="AL13" i="1" s="1"/>
  <c r="AU12" i="1" s="1"/>
  <c r="AH13" i="1"/>
  <c r="AO13" i="1"/>
  <c r="AP13" i="1"/>
  <c r="K13" i="1" s="1"/>
  <c r="K12" i="1" s="1"/>
  <c r="BD13" i="1"/>
  <c r="BF13" i="1"/>
  <c r="BJ13" i="1"/>
  <c r="Z13" i="1" s="1"/>
  <c r="L16" i="1"/>
  <c r="AJ16" i="1" s="1"/>
  <c r="AS15" i="1" s="1"/>
  <c r="AO16" i="1"/>
  <c r="AP16" i="1"/>
  <c r="BD16" i="1"/>
  <c r="BF16" i="1"/>
  <c r="BJ16" i="1"/>
  <c r="Z16" i="1" s="1"/>
  <c r="L19" i="1"/>
  <c r="AJ19" i="1" s="1"/>
  <c r="AB19" i="1"/>
  <c r="AK19" i="1"/>
  <c r="AO19" i="1"/>
  <c r="J19" i="1" s="1"/>
  <c r="AP19" i="1"/>
  <c r="AW19" i="1"/>
  <c r="BD19" i="1"/>
  <c r="BF19" i="1"/>
  <c r="BI19" i="1"/>
  <c r="BJ19" i="1"/>
  <c r="AH19" i="1" s="1"/>
  <c r="L21" i="1"/>
  <c r="AJ21" i="1" s="1"/>
  <c r="AO21" i="1"/>
  <c r="AP21" i="1"/>
  <c r="K21" i="1" s="1"/>
  <c r="BD21" i="1"/>
  <c r="BF21" i="1"/>
  <c r="BJ21" i="1"/>
  <c r="Z21" i="1" s="1"/>
  <c r="L23" i="1"/>
  <c r="AL23" i="1" s="1"/>
  <c r="Z23" i="1"/>
  <c r="AH23" i="1"/>
  <c r="AO23" i="1"/>
  <c r="J23" i="1" s="1"/>
  <c r="AP23" i="1"/>
  <c r="K23" i="1" s="1"/>
  <c r="BD23" i="1"/>
  <c r="BF23" i="1"/>
  <c r="BJ23" i="1"/>
  <c r="L25" i="1"/>
  <c r="AJ25" i="1" s="1"/>
  <c r="AK25" i="1"/>
  <c r="AO25" i="1"/>
  <c r="J25" i="1" s="1"/>
  <c r="AP25" i="1"/>
  <c r="AX25" i="1" s="1"/>
  <c r="BD25" i="1"/>
  <c r="BF25" i="1"/>
  <c r="BJ25" i="1"/>
  <c r="L27" i="1"/>
  <c r="AJ27" i="1" s="1"/>
  <c r="AB27" i="1"/>
  <c r="AK27" i="1"/>
  <c r="AO27" i="1"/>
  <c r="J27" i="1" s="1"/>
  <c r="AP27" i="1"/>
  <c r="BD27" i="1"/>
  <c r="BF27" i="1"/>
  <c r="BJ27" i="1"/>
  <c r="AH27" i="1" s="1"/>
  <c r="L30" i="1"/>
  <c r="AL30" i="1" s="1"/>
  <c r="AJ30" i="1"/>
  <c r="AK30" i="1"/>
  <c r="AO30" i="1"/>
  <c r="AW30" i="1" s="1"/>
  <c r="AP30" i="1"/>
  <c r="BI30" i="1" s="1"/>
  <c r="BD30" i="1"/>
  <c r="BF30" i="1"/>
  <c r="BH30" i="1"/>
  <c r="AD30" i="1" s="1"/>
  <c r="BJ30" i="1"/>
  <c r="L32" i="1"/>
  <c r="AJ32" i="1" s="1"/>
  <c r="Z32" i="1"/>
  <c r="AH32" i="1"/>
  <c r="AO32" i="1"/>
  <c r="AP32" i="1"/>
  <c r="BD32" i="1"/>
  <c r="BF32" i="1"/>
  <c r="BJ32" i="1"/>
  <c r="L34" i="1"/>
  <c r="AK34" i="1" s="1"/>
  <c r="Z34" i="1"/>
  <c r="AJ34" i="1"/>
  <c r="AO34" i="1"/>
  <c r="J34" i="1" s="1"/>
  <c r="AP34" i="1"/>
  <c r="K34" i="1" s="1"/>
  <c r="BD34" i="1"/>
  <c r="BF34" i="1"/>
  <c r="BJ34" i="1"/>
  <c r="AH34" i="1" s="1"/>
  <c r="L36" i="1"/>
  <c r="AJ36" i="1" s="1"/>
  <c r="AO36" i="1"/>
  <c r="J36" i="1" s="1"/>
  <c r="AP36" i="1"/>
  <c r="AX36" i="1" s="1"/>
  <c r="BD36" i="1"/>
  <c r="BF36" i="1"/>
  <c r="BJ36" i="1"/>
  <c r="Z36" i="1" s="1"/>
  <c r="L38" i="1"/>
  <c r="AK38" i="1" s="1"/>
  <c r="Z38" i="1"/>
  <c r="AJ38" i="1"/>
  <c r="AO38" i="1"/>
  <c r="AW38" i="1" s="1"/>
  <c r="AP38" i="1"/>
  <c r="AX38" i="1" s="1"/>
  <c r="BD38" i="1"/>
  <c r="BF38" i="1"/>
  <c r="BH38" i="1"/>
  <c r="AD38" i="1" s="1"/>
  <c r="BJ38" i="1"/>
  <c r="AH38" i="1" s="1"/>
  <c r="L40" i="1"/>
  <c r="AL40" i="1" s="1"/>
  <c r="AO40" i="1"/>
  <c r="AW40" i="1" s="1"/>
  <c r="AP40" i="1"/>
  <c r="K40" i="1" s="1"/>
  <c r="BD40" i="1"/>
  <c r="BF40" i="1"/>
  <c r="BJ40" i="1"/>
  <c r="Z40" i="1" s="1"/>
  <c r="L42" i="1"/>
  <c r="Z42" i="1"/>
  <c r="AO42" i="1"/>
  <c r="J42" i="1" s="1"/>
  <c r="AP42" i="1"/>
  <c r="BI42" i="1" s="1"/>
  <c r="AE42" i="1" s="1"/>
  <c r="BD42" i="1"/>
  <c r="BF42" i="1"/>
  <c r="BH42" i="1"/>
  <c r="AD42" i="1" s="1"/>
  <c r="BJ42" i="1"/>
  <c r="AH42" i="1" s="1"/>
  <c r="L44" i="1"/>
  <c r="AJ44" i="1" s="1"/>
  <c r="AK44" i="1"/>
  <c r="AO44" i="1"/>
  <c r="AW44" i="1" s="1"/>
  <c r="AP44" i="1"/>
  <c r="K44" i="1" s="1"/>
  <c r="BD44" i="1"/>
  <c r="BF44" i="1"/>
  <c r="BJ44" i="1"/>
  <c r="L47" i="1"/>
  <c r="AL47" i="1" s="1"/>
  <c r="AJ47" i="1"/>
  <c r="AK47" i="1"/>
  <c r="AO47" i="1"/>
  <c r="J47" i="1" s="1"/>
  <c r="AP47" i="1"/>
  <c r="AX47" i="1" s="1"/>
  <c r="BD47" i="1"/>
  <c r="BF47" i="1"/>
  <c r="BH47" i="1"/>
  <c r="AD47" i="1" s="1"/>
  <c r="BJ47" i="1"/>
  <c r="AH47" i="1" s="1"/>
  <c r="L50" i="1"/>
  <c r="AL50" i="1" s="1"/>
  <c r="AO50" i="1"/>
  <c r="J50" i="1" s="1"/>
  <c r="AP50" i="1"/>
  <c r="K50" i="1" s="1"/>
  <c r="BD50" i="1"/>
  <c r="BF50" i="1"/>
  <c r="BJ50" i="1"/>
  <c r="Z50" i="1" s="1"/>
  <c r="L52" i="1"/>
  <c r="AJ52" i="1" s="1"/>
  <c r="AK52" i="1"/>
  <c r="AO52" i="1"/>
  <c r="J52" i="1" s="1"/>
  <c r="AP52" i="1"/>
  <c r="K52" i="1" s="1"/>
  <c r="BD52" i="1"/>
  <c r="BF52" i="1"/>
  <c r="BJ52" i="1"/>
  <c r="L55" i="1"/>
  <c r="AJ55" i="1" s="1"/>
  <c r="AK55" i="1"/>
  <c r="AO55" i="1"/>
  <c r="J55" i="1" s="1"/>
  <c r="AP55" i="1"/>
  <c r="BD55" i="1"/>
  <c r="BF55" i="1"/>
  <c r="BJ55" i="1"/>
  <c r="AH55" i="1" s="1"/>
  <c r="L57" i="1"/>
  <c r="AH57" i="1"/>
  <c r="AO57" i="1"/>
  <c r="BH57" i="1" s="1"/>
  <c r="AP57" i="1"/>
  <c r="AX57" i="1" s="1"/>
  <c r="BD57" i="1"/>
  <c r="BF57" i="1"/>
  <c r="BJ57" i="1"/>
  <c r="Z57" i="1" s="1"/>
  <c r="L59" i="1"/>
  <c r="AO59" i="1"/>
  <c r="J59" i="1" s="1"/>
  <c r="AP59" i="1"/>
  <c r="K59" i="1" s="1"/>
  <c r="BD59" i="1"/>
  <c r="BF59" i="1"/>
  <c r="BJ59" i="1"/>
  <c r="Z59" i="1" s="1"/>
  <c r="L61" i="1"/>
  <c r="AK61" i="1" s="1"/>
  <c r="AJ61" i="1"/>
  <c r="AO61" i="1"/>
  <c r="J61" i="1" s="1"/>
  <c r="AP61" i="1"/>
  <c r="AX61" i="1" s="1"/>
  <c r="BD61" i="1"/>
  <c r="BF61" i="1"/>
  <c r="BJ61" i="1"/>
  <c r="L63" i="1"/>
  <c r="AL63" i="1" s="1"/>
  <c r="AB63" i="1"/>
  <c r="AJ63" i="1"/>
  <c r="AK63" i="1"/>
  <c r="AO63" i="1"/>
  <c r="J63" i="1" s="1"/>
  <c r="AP63" i="1"/>
  <c r="BD63" i="1"/>
  <c r="BF63" i="1"/>
  <c r="BH63" i="1"/>
  <c r="AD63" i="1" s="1"/>
  <c r="BI63" i="1"/>
  <c r="BJ63" i="1"/>
  <c r="AH63" i="1" s="1"/>
  <c r="L65" i="1"/>
  <c r="AJ65" i="1" s="1"/>
  <c r="Z65" i="1"/>
  <c r="AH65" i="1"/>
  <c r="AO65" i="1"/>
  <c r="AP65" i="1"/>
  <c r="BD65" i="1"/>
  <c r="BF65" i="1"/>
  <c r="BJ65" i="1"/>
  <c r="L67" i="1"/>
  <c r="AL67" i="1" s="1"/>
  <c r="AC67" i="1"/>
  <c r="AO67" i="1"/>
  <c r="AP67" i="1"/>
  <c r="K67" i="1" s="1"/>
  <c r="BD67" i="1"/>
  <c r="BF67" i="1"/>
  <c r="BJ67" i="1"/>
  <c r="Z67" i="1" s="1"/>
  <c r="L69" i="1"/>
  <c r="AJ69" i="1" s="1"/>
  <c r="AK69" i="1"/>
  <c r="AO69" i="1"/>
  <c r="AW69" i="1" s="1"/>
  <c r="AP69" i="1"/>
  <c r="K69" i="1" s="1"/>
  <c r="BD69" i="1"/>
  <c r="BF69" i="1"/>
  <c r="BJ69" i="1"/>
  <c r="L71" i="1"/>
  <c r="AL71" i="1" s="1"/>
  <c r="AJ71" i="1"/>
  <c r="AK71" i="1"/>
  <c r="AO71" i="1"/>
  <c r="J71" i="1" s="1"/>
  <c r="AP71" i="1"/>
  <c r="BI71" i="1" s="1"/>
  <c r="BD71" i="1"/>
  <c r="BF71" i="1"/>
  <c r="BJ71" i="1"/>
  <c r="AH71" i="1" s="1"/>
  <c r="L73" i="1"/>
  <c r="AL73" i="1" s="1"/>
  <c r="Z73" i="1"/>
  <c r="AJ73" i="1"/>
  <c r="AK73" i="1"/>
  <c r="AO73" i="1"/>
  <c r="J73" i="1" s="1"/>
  <c r="AP73" i="1"/>
  <c r="BD73" i="1"/>
  <c r="BF73" i="1"/>
  <c r="BI73" i="1"/>
  <c r="BJ73" i="1"/>
  <c r="AH73" i="1" s="1"/>
  <c r="L75" i="1"/>
  <c r="AJ75" i="1" s="1"/>
  <c r="Z75" i="1"/>
  <c r="AH75" i="1"/>
  <c r="AO75" i="1"/>
  <c r="AP75" i="1"/>
  <c r="BD75" i="1"/>
  <c r="BF75" i="1"/>
  <c r="BJ75" i="1"/>
  <c r="L77" i="1"/>
  <c r="AL77" i="1" s="1"/>
  <c r="AO77" i="1"/>
  <c r="AP77" i="1"/>
  <c r="AX77" i="1" s="1"/>
  <c r="BD77" i="1"/>
  <c r="BF77" i="1"/>
  <c r="BJ77" i="1"/>
  <c r="Z77" i="1" s="1"/>
  <c r="L79" i="1"/>
  <c r="AL79" i="1" s="1"/>
  <c r="AJ79" i="1"/>
  <c r="AK79" i="1"/>
  <c r="AO79" i="1"/>
  <c r="AW79" i="1" s="1"/>
  <c r="AP79" i="1"/>
  <c r="AX79" i="1" s="1"/>
  <c r="BD79" i="1"/>
  <c r="BF79" i="1"/>
  <c r="BJ79" i="1"/>
  <c r="L82" i="1"/>
  <c r="AL82" i="1" s="1"/>
  <c r="AJ82" i="1"/>
  <c r="AK82" i="1"/>
  <c r="AO82" i="1"/>
  <c r="J82" i="1" s="1"/>
  <c r="AP82" i="1"/>
  <c r="AX82" i="1" s="1"/>
  <c r="BD82" i="1"/>
  <c r="BF82" i="1"/>
  <c r="BJ82" i="1"/>
  <c r="L84" i="1"/>
  <c r="AL84" i="1" s="1"/>
  <c r="Z84" i="1"/>
  <c r="AJ84" i="1"/>
  <c r="AK84" i="1"/>
  <c r="AO84" i="1"/>
  <c r="AW84" i="1" s="1"/>
  <c r="AP84" i="1"/>
  <c r="BD84" i="1"/>
  <c r="BF84" i="1"/>
  <c r="BH84" i="1"/>
  <c r="AD84" i="1" s="1"/>
  <c r="BI84" i="1"/>
  <c r="BJ84" i="1"/>
  <c r="AH84" i="1" s="1"/>
  <c r="L86" i="1"/>
  <c r="AJ86" i="1" s="1"/>
  <c r="AH86" i="1"/>
  <c r="AO86" i="1"/>
  <c r="AP86" i="1"/>
  <c r="K86" i="1" s="1"/>
  <c r="BD86" i="1"/>
  <c r="BF86" i="1"/>
  <c r="BJ86" i="1"/>
  <c r="Z86" i="1" s="1"/>
  <c r="L88" i="1"/>
  <c r="AL88" i="1" s="1"/>
  <c r="AO88" i="1"/>
  <c r="AP88" i="1"/>
  <c r="AX88" i="1" s="1"/>
  <c r="BD88" i="1"/>
  <c r="BF88" i="1"/>
  <c r="BJ88" i="1"/>
  <c r="Z88" i="1" s="1"/>
  <c r="L90" i="1"/>
  <c r="AL90" i="1" s="1"/>
  <c r="AK90" i="1"/>
  <c r="AO90" i="1"/>
  <c r="J90" i="1" s="1"/>
  <c r="AP90" i="1"/>
  <c r="AX90" i="1" s="1"/>
  <c r="BD90" i="1"/>
  <c r="BF90" i="1"/>
  <c r="BJ90" i="1"/>
  <c r="L92" i="1"/>
  <c r="AK92" i="1" s="1"/>
  <c r="AO92" i="1"/>
  <c r="AP92" i="1"/>
  <c r="K92" i="1" s="1"/>
  <c r="BD92" i="1"/>
  <c r="BF92" i="1"/>
  <c r="BH92" i="1"/>
  <c r="BJ92" i="1"/>
  <c r="AH92" i="1" s="1"/>
  <c r="L94" i="1"/>
  <c r="AJ94" i="1" s="1"/>
  <c r="Z94" i="1"/>
  <c r="AK94" i="1"/>
  <c r="AO94" i="1"/>
  <c r="J94" i="1" s="1"/>
  <c r="AP94" i="1"/>
  <c r="K94" i="1" s="1"/>
  <c r="BD94" i="1"/>
  <c r="BF94" i="1"/>
  <c r="BJ94" i="1"/>
  <c r="AH94" i="1" s="1"/>
  <c r="L96" i="1"/>
  <c r="AL96" i="1" s="1"/>
  <c r="AB96" i="1"/>
  <c r="AF96" i="1"/>
  <c r="AJ96" i="1"/>
  <c r="AK96" i="1"/>
  <c r="AO96" i="1"/>
  <c r="AW96" i="1" s="1"/>
  <c r="AP96" i="1"/>
  <c r="BI96" i="1" s="1"/>
  <c r="BD96" i="1"/>
  <c r="BF96" i="1"/>
  <c r="BH96" i="1"/>
  <c r="AD96" i="1" s="1"/>
  <c r="BJ96" i="1"/>
  <c r="AH96" i="1" s="1"/>
  <c r="L98" i="1"/>
  <c r="AJ98" i="1" s="1"/>
  <c r="Z98" i="1"/>
  <c r="AO98" i="1"/>
  <c r="AP98" i="1"/>
  <c r="K98" i="1" s="1"/>
  <c r="BD98" i="1"/>
  <c r="BF98" i="1"/>
  <c r="BJ98" i="1"/>
  <c r="AH98" i="1" s="1"/>
  <c r="L100" i="1"/>
  <c r="AL100" i="1" s="1"/>
  <c r="Z100" i="1"/>
  <c r="AH100" i="1"/>
  <c r="AO100" i="1"/>
  <c r="J100" i="1" s="1"/>
  <c r="AP100" i="1"/>
  <c r="K100" i="1" s="1"/>
  <c r="BD100" i="1"/>
  <c r="BF100" i="1"/>
  <c r="BJ100" i="1"/>
  <c r="L102" i="1"/>
  <c r="AJ102" i="1" s="1"/>
  <c r="AK102" i="1"/>
  <c r="AO102" i="1"/>
  <c r="J102" i="1" s="1"/>
  <c r="AP102" i="1"/>
  <c r="K102" i="1" s="1"/>
  <c r="BD102" i="1"/>
  <c r="BF102" i="1"/>
  <c r="BJ102" i="1"/>
  <c r="L104" i="1"/>
  <c r="AL104" i="1" s="1"/>
  <c r="AJ104" i="1"/>
  <c r="AK104" i="1"/>
  <c r="AO104" i="1"/>
  <c r="AW104" i="1" s="1"/>
  <c r="AP104" i="1"/>
  <c r="BD104" i="1"/>
  <c r="BF104" i="1"/>
  <c r="BJ104" i="1"/>
  <c r="AH104" i="1" s="1"/>
  <c r="L106" i="1"/>
  <c r="AO106" i="1"/>
  <c r="BH106" i="1" s="1"/>
  <c r="AP106" i="1"/>
  <c r="AX106" i="1" s="1"/>
  <c r="BD106" i="1"/>
  <c r="BF106" i="1"/>
  <c r="BJ106" i="1"/>
  <c r="Z106" i="1" s="1"/>
  <c r="L108" i="1"/>
  <c r="Z108" i="1"/>
  <c r="AG108" i="1"/>
  <c r="AH108" i="1"/>
  <c r="AO108" i="1"/>
  <c r="AP108" i="1"/>
  <c r="K108" i="1" s="1"/>
  <c r="BD108" i="1"/>
  <c r="BF108" i="1"/>
  <c r="BJ108" i="1"/>
  <c r="L110" i="1"/>
  <c r="AJ110" i="1" s="1"/>
  <c r="AB110" i="1"/>
  <c r="AC110" i="1"/>
  <c r="AF110" i="1"/>
  <c r="AG110" i="1"/>
  <c r="AK110" i="1"/>
  <c r="AO110" i="1"/>
  <c r="J110" i="1" s="1"/>
  <c r="AP110" i="1"/>
  <c r="K110" i="1" s="1"/>
  <c r="BD110" i="1"/>
  <c r="BF110" i="1"/>
  <c r="BJ110" i="1"/>
  <c r="L113" i="1"/>
  <c r="AJ113" i="1" s="1"/>
  <c r="AO113" i="1"/>
  <c r="J113" i="1" s="1"/>
  <c r="AP113" i="1"/>
  <c r="K113" i="1" s="1"/>
  <c r="BD113" i="1"/>
  <c r="BF113" i="1"/>
  <c r="BJ113" i="1"/>
  <c r="L115" i="1"/>
  <c r="AL115" i="1" s="1"/>
  <c r="AJ115" i="1"/>
  <c r="AK115" i="1"/>
  <c r="AO115" i="1"/>
  <c r="AW115" i="1" s="1"/>
  <c r="AP115" i="1"/>
  <c r="BI115" i="1" s="1"/>
  <c r="BD115" i="1"/>
  <c r="BF115" i="1"/>
  <c r="BJ115" i="1"/>
  <c r="AH115" i="1" s="1"/>
  <c r="L118" i="1"/>
  <c r="AJ118" i="1" s="1"/>
  <c r="AB118" i="1"/>
  <c r="AK118" i="1"/>
  <c r="AO118" i="1"/>
  <c r="J118" i="1" s="1"/>
  <c r="AP118" i="1"/>
  <c r="BD118" i="1"/>
  <c r="BF118" i="1"/>
  <c r="BJ118" i="1"/>
  <c r="AH118" i="1" s="1"/>
  <c r="L120" i="1"/>
  <c r="AJ120" i="1" s="1"/>
  <c r="AO120" i="1"/>
  <c r="BH120" i="1" s="1"/>
  <c r="AP120" i="1"/>
  <c r="K120" i="1" s="1"/>
  <c r="BD120" i="1"/>
  <c r="BF120" i="1"/>
  <c r="BJ120" i="1"/>
  <c r="Z120" i="1" s="1"/>
  <c r="L122" i="1"/>
  <c r="AO122" i="1"/>
  <c r="J122" i="1" s="1"/>
  <c r="AP122" i="1"/>
  <c r="K122" i="1" s="1"/>
  <c r="BD122" i="1"/>
  <c r="BF122" i="1"/>
  <c r="BJ122" i="1"/>
  <c r="AH122" i="1" s="1"/>
  <c r="L124" i="1"/>
  <c r="AJ124" i="1" s="1"/>
  <c r="AK124" i="1"/>
  <c r="AO124" i="1"/>
  <c r="AW124" i="1" s="1"/>
  <c r="AP124" i="1"/>
  <c r="AX124" i="1" s="1"/>
  <c r="BD124" i="1"/>
  <c r="BF124" i="1"/>
  <c r="BJ124" i="1"/>
  <c r="L126" i="1"/>
  <c r="AL126" i="1" s="1"/>
  <c r="AJ126" i="1"/>
  <c r="AK126" i="1"/>
  <c r="AO126" i="1"/>
  <c r="J126" i="1" s="1"/>
  <c r="AP126" i="1"/>
  <c r="BD126" i="1"/>
  <c r="BF126" i="1"/>
  <c r="BH126" i="1"/>
  <c r="AD126" i="1" s="1"/>
  <c r="BJ126" i="1"/>
  <c r="AH126" i="1" s="1"/>
  <c r="L128" i="1"/>
  <c r="AJ128" i="1" s="1"/>
  <c r="AO128" i="1"/>
  <c r="AP128" i="1"/>
  <c r="BD128" i="1"/>
  <c r="BF128" i="1"/>
  <c r="BJ128" i="1"/>
  <c r="Z128" i="1" s="1"/>
  <c r="L130" i="1"/>
  <c r="AL130" i="1" s="1"/>
  <c r="Z130" i="1"/>
  <c r="AO130" i="1"/>
  <c r="AP130" i="1"/>
  <c r="K130" i="1" s="1"/>
  <c r="BD130" i="1"/>
  <c r="BF130" i="1"/>
  <c r="BJ130" i="1"/>
  <c r="AH130" i="1" s="1"/>
  <c r="L133" i="1"/>
  <c r="AJ133" i="1" s="1"/>
  <c r="AK133" i="1"/>
  <c r="AO133" i="1"/>
  <c r="AW133" i="1" s="1"/>
  <c r="AP133" i="1"/>
  <c r="K133" i="1" s="1"/>
  <c r="BD133" i="1"/>
  <c r="BF133" i="1"/>
  <c r="BJ133" i="1"/>
  <c r="L135" i="1"/>
  <c r="AL135" i="1" s="1"/>
  <c r="AK135" i="1"/>
  <c r="AO135" i="1"/>
  <c r="J135" i="1" s="1"/>
  <c r="AP135" i="1"/>
  <c r="BD135" i="1"/>
  <c r="BF135" i="1"/>
  <c r="BJ135" i="1"/>
  <c r="AH135" i="1" s="1"/>
  <c r="L137" i="1"/>
  <c r="AO137" i="1"/>
  <c r="AP137" i="1"/>
  <c r="K137" i="1" s="1"/>
  <c r="BD137" i="1"/>
  <c r="BF137" i="1"/>
  <c r="BH137" i="1"/>
  <c r="BJ137" i="1"/>
  <c r="Z137" i="1" s="1"/>
  <c r="L139" i="1"/>
  <c r="AH139" i="1"/>
  <c r="AO139" i="1"/>
  <c r="J139" i="1" s="1"/>
  <c r="AP139" i="1"/>
  <c r="K139" i="1" s="1"/>
  <c r="BD139" i="1"/>
  <c r="BF139" i="1"/>
  <c r="BJ139" i="1"/>
  <c r="Z139" i="1" s="1"/>
  <c r="L141" i="1"/>
  <c r="AJ141" i="1" s="1"/>
  <c r="AO141" i="1"/>
  <c r="AW141" i="1" s="1"/>
  <c r="AP141" i="1"/>
  <c r="AX141" i="1" s="1"/>
  <c r="BD141" i="1"/>
  <c r="BF141" i="1"/>
  <c r="BJ141" i="1"/>
  <c r="L143" i="1"/>
  <c r="AL143" i="1" s="1"/>
  <c r="AJ143" i="1"/>
  <c r="AK143" i="1"/>
  <c r="AO143" i="1"/>
  <c r="BH143" i="1" s="1"/>
  <c r="AP143" i="1"/>
  <c r="BD143" i="1"/>
  <c r="BF143" i="1"/>
  <c r="BJ143" i="1"/>
  <c r="AH143" i="1" s="1"/>
  <c r="L145" i="1"/>
  <c r="AJ145" i="1" s="1"/>
  <c r="Z145" i="1"/>
  <c r="AH145" i="1"/>
  <c r="AO145" i="1"/>
  <c r="AP145" i="1"/>
  <c r="BD145" i="1"/>
  <c r="BF145" i="1"/>
  <c r="BJ145" i="1"/>
  <c r="L147" i="1"/>
  <c r="AL147" i="1" s="1"/>
  <c r="AC147" i="1"/>
  <c r="AO147" i="1"/>
  <c r="AP147" i="1"/>
  <c r="K147" i="1" s="1"/>
  <c r="BD147" i="1"/>
  <c r="BF147" i="1"/>
  <c r="BJ147" i="1"/>
  <c r="AH147" i="1" s="1"/>
  <c r="L149" i="1"/>
  <c r="AJ149" i="1" s="1"/>
  <c r="AK149" i="1"/>
  <c r="AO149" i="1"/>
  <c r="J149" i="1" s="1"/>
  <c r="AP149" i="1"/>
  <c r="AX149" i="1" s="1"/>
  <c r="BD149" i="1"/>
  <c r="BF149" i="1"/>
  <c r="BJ149" i="1"/>
  <c r="L151" i="1"/>
  <c r="AL151" i="1" s="1"/>
  <c r="AB151" i="1"/>
  <c r="AJ151" i="1"/>
  <c r="AK151" i="1"/>
  <c r="AO151" i="1"/>
  <c r="J151" i="1" s="1"/>
  <c r="AP151" i="1"/>
  <c r="BD151" i="1"/>
  <c r="BF151" i="1"/>
  <c r="BJ151" i="1"/>
  <c r="AH151" i="1" s="1"/>
  <c r="L153" i="1"/>
  <c r="AL153" i="1" s="1"/>
  <c r="AO153" i="1"/>
  <c r="AW153" i="1" s="1"/>
  <c r="AP153" i="1"/>
  <c r="K153" i="1" s="1"/>
  <c r="BD153" i="1"/>
  <c r="BF153" i="1"/>
  <c r="BJ153" i="1"/>
  <c r="Z153" i="1" s="1"/>
  <c r="L155" i="1"/>
  <c r="AK155" i="1" s="1"/>
  <c r="Z155" i="1"/>
  <c r="AH155" i="1"/>
  <c r="AO155" i="1"/>
  <c r="J155" i="1" s="1"/>
  <c r="AP155" i="1"/>
  <c r="BI155" i="1" s="1"/>
  <c r="AE155" i="1" s="1"/>
  <c r="BD155" i="1"/>
  <c r="BF155" i="1"/>
  <c r="BJ155" i="1"/>
  <c r="L157" i="1"/>
  <c r="AJ157" i="1" s="1"/>
  <c r="AH157" i="1"/>
  <c r="AO157" i="1"/>
  <c r="AW157" i="1" s="1"/>
  <c r="AP157" i="1"/>
  <c r="AX157" i="1" s="1"/>
  <c r="BD157" i="1"/>
  <c r="BF157" i="1"/>
  <c r="BJ157" i="1"/>
  <c r="Z157" i="1" s="1"/>
  <c r="L159" i="1"/>
  <c r="AL159" i="1" s="1"/>
  <c r="AO159" i="1"/>
  <c r="J159" i="1" s="1"/>
  <c r="AP159" i="1"/>
  <c r="K159" i="1" s="1"/>
  <c r="BD159" i="1"/>
  <c r="BF159" i="1"/>
  <c r="BJ159" i="1"/>
  <c r="Z159" i="1" s="1"/>
  <c r="L161" i="1"/>
  <c r="AL161" i="1" s="1"/>
  <c r="AB161" i="1"/>
  <c r="AC161" i="1"/>
  <c r="AF161" i="1"/>
  <c r="AG161" i="1"/>
  <c r="AJ161" i="1"/>
  <c r="AK161" i="1"/>
  <c r="AO161" i="1"/>
  <c r="J161" i="1" s="1"/>
  <c r="AP161" i="1"/>
  <c r="AX161" i="1" s="1"/>
  <c r="BD161" i="1"/>
  <c r="BF161" i="1"/>
  <c r="BJ161" i="1"/>
  <c r="L163" i="1"/>
  <c r="AL163" i="1" s="1"/>
  <c r="AK163" i="1"/>
  <c r="AO163" i="1"/>
  <c r="AW163" i="1" s="1"/>
  <c r="AP163" i="1"/>
  <c r="BI163" i="1" s="1"/>
  <c r="BD163" i="1"/>
  <c r="BF163" i="1"/>
  <c r="BJ163" i="1"/>
  <c r="AH163" i="1" s="1"/>
  <c r="L165" i="1"/>
  <c r="Z165" i="1"/>
  <c r="AH165" i="1"/>
  <c r="AO165" i="1"/>
  <c r="BH165" i="1" s="1"/>
  <c r="AP165" i="1"/>
  <c r="K165" i="1" s="1"/>
  <c r="BD165" i="1"/>
  <c r="BF165" i="1"/>
  <c r="BJ165" i="1"/>
  <c r="L167" i="1"/>
  <c r="AC167" i="1"/>
  <c r="AG167" i="1"/>
  <c r="AH167" i="1"/>
  <c r="AO167" i="1"/>
  <c r="J167" i="1" s="1"/>
  <c r="AP167" i="1"/>
  <c r="BI167" i="1" s="1"/>
  <c r="AE167" i="1" s="1"/>
  <c r="BD167" i="1"/>
  <c r="BF167" i="1"/>
  <c r="BJ167" i="1"/>
  <c r="Z167" i="1" s="1"/>
  <c r="L169" i="1"/>
  <c r="AK169" i="1" s="1"/>
  <c r="AJ169" i="1"/>
  <c r="AO169" i="1"/>
  <c r="J169" i="1" s="1"/>
  <c r="AP169" i="1"/>
  <c r="AX169" i="1" s="1"/>
  <c r="BD169" i="1"/>
  <c r="BF169" i="1"/>
  <c r="BJ169" i="1"/>
  <c r="L171" i="1"/>
  <c r="AL171" i="1" s="1"/>
  <c r="Z171" i="1"/>
  <c r="AF171" i="1"/>
  <c r="AJ171" i="1"/>
  <c r="AK171" i="1"/>
  <c r="AO171" i="1"/>
  <c r="AW171" i="1" s="1"/>
  <c r="AP171" i="1"/>
  <c r="BD171" i="1"/>
  <c r="BF171" i="1"/>
  <c r="BH171" i="1"/>
  <c r="AD171" i="1" s="1"/>
  <c r="BJ171" i="1"/>
  <c r="AH171" i="1" s="1"/>
  <c r="L174" i="1"/>
  <c r="AL174" i="1" s="1"/>
  <c r="Z174" i="1"/>
  <c r="AJ174" i="1"/>
  <c r="AK174" i="1"/>
  <c r="AO174" i="1"/>
  <c r="AW174" i="1" s="1"/>
  <c r="AP174" i="1"/>
  <c r="BI174" i="1" s="1"/>
  <c r="BD174" i="1"/>
  <c r="BF174" i="1"/>
  <c r="BH174" i="1"/>
  <c r="AD174" i="1" s="1"/>
  <c r="BJ174" i="1"/>
  <c r="AH174" i="1" s="1"/>
  <c r="L176" i="1"/>
  <c r="AJ176" i="1" s="1"/>
  <c r="AH176" i="1"/>
  <c r="AO176" i="1"/>
  <c r="BH176" i="1" s="1"/>
  <c r="AP176" i="1"/>
  <c r="K176" i="1" s="1"/>
  <c r="BD176" i="1"/>
  <c r="BF176" i="1"/>
  <c r="BJ176" i="1"/>
  <c r="Z176" i="1" s="1"/>
  <c r="L178" i="1"/>
  <c r="AL178" i="1" s="1"/>
  <c r="AO178" i="1"/>
  <c r="J178" i="1" s="1"/>
  <c r="AP178" i="1"/>
  <c r="AX178" i="1" s="1"/>
  <c r="BD178" i="1"/>
  <c r="BF178" i="1"/>
  <c r="BJ178" i="1"/>
  <c r="Z178" i="1" s="1"/>
  <c r="L180" i="1"/>
  <c r="AL180" i="1" s="1"/>
  <c r="AJ180" i="1"/>
  <c r="AK180" i="1"/>
  <c r="AO180" i="1"/>
  <c r="AW180" i="1" s="1"/>
  <c r="AP180" i="1"/>
  <c r="AX180" i="1" s="1"/>
  <c r="BD180" i="1"/>
  <c r="BF180" i="1"/>
  <c r="BH180" i="1"/>
  <c r="AD180" i="1" s="1"/>
  <c r="BJ180" i="1"/>
  <c r="L183" i="1"/>
  <c r="AF183" i="1"/>
  <c r="AJ183" i="1"/>
  <c r="AK183" i="1"/>
  <c r="AL183" i="1"/>
  <c r="AO183" i="1"/>
  <c r="J183" i="1" s="1"/>
  <c r="AP183" i="1"/>
  <c r="AX183" i="1" s="1"/>
  <c r="BD183" i="1"/>
  <c r="BF183" i="1"/>
  <c r="BJ183" i="1"/>
  <c r="L185" i="1"/>
  <c r="AL185" i="1" s="1"/>
  <c r="Z185" i="1"/>
  <c r="AB185" i="1"/>
  <c r="AJ185" i="1"/>
  <c r="AK185" i="1"/>
  <c r="AO185" i="1"/>
  <c r="AW185" i="1" s="1"/>
  <c r="AP185" i="1"/>
  <c r="BD185" i="1"/>
  <c r="BF185" i="1"/>
  <c r="BJ185" i="1"/>
  <c r="AH185" i="1" s="1"/>
  <c r="L187" i="1"/>
  <c r="AJ187" i="1" s="1"/>
  <c r="AO187" i="1"/>
  <c r="BH187" i="1" s="1"/>
  <c r="AP187" i="1"/>
  <c r="K187" i="1" s="1"/>
  <c r="BD187" i="1"/>
  <c r="BF187" i="1"/>
  <c r="BJ187" i="1"/>
  <c r="Z187" i="1" s="1"/>
  <c r="L190" i="1"/>
  <c r="AJ190" i="1" s="1"/>
  <c r="Z190" i="1"/>
  <c r="AO190" i="1"/>
  <c r="AP190" i="1"/>
  <c r="K190" i="1" s="1"/>
  <c r="BD190" i="1"/>
  <c r="BF190" i="1"/>
  <c r="BJ190" i="1"/>
  <c r="AH190" i="1" s="1"/>
  <c r="L192" i="1"/>
  <c r="AL192" i="1" s="1"/>
  <c r="AC192" i="1"/>
  <c r="AO192" i="1"/>
  <c r="J192" i="1" s="1"/>
  <c r="AP192" i="1"/>
  <c r="K192" i="1" s="1"/>
  <c r="BD192" i="1"/>
  <c r="BF192" i="1"/>
  <c r="BJ192" i="1"/>
  <c r="Z192" i="1" s="1"/>
  <c r="L194" i="1"/>
  <c r="AL194" i="1" s="1"/>
  <c r="AJ194" i="1"/>
  <c r="AK194" i="1"/>
  <c r="AO194" i="1"/>
  <c r="J194" i="1" s="1"/>
  <c r="AP194" i="1"/>
  <c r="AX194" i="1" s="1"/>
  <c r="BD194" i="1"/>
  <c r="BF194" i="1"/>
  <c r="BJ194" i="1"/>
  <c r="L197" i="1"/>
  <c r="AL197" i="1" s="1"/>
  <c r="AF197" i="1"/>
  <c r="AJ197" i="1"/>
  <c r="AK197" i="1"/>
  <c r="AO197" i="1"/>
  <c r="AW197" i="1" s="1"/>
  <c r="AP197" i="1"/>
  <c r="BI197" i="1" s="1"/>
  <c r="AE197" i="1" s="1"/>
  <c r="BD197" i="1"/>
  <c r="BF197" i="1"/>
  <c r="BJ197" i="1"/>
  <c r="AH197" i="1" s="1"/>
  <c r="L200" i="1"/>
  <c r="AJ200" i="1" s="1"/>
  <c r="Z200" i="1"/>
  <c r="AO200" i="1"/>
  <c r="AP200" i="1"/>
  <c r="K200" i="1" s="1"/>
  <c r="BD200" i="1"/>
  <c r="BF200" i="1"/>
  <c r="BJ200" i="1"/>
  <c r="AH200" i="1" s="1"/>
  <c r="L202" i="1"/>
  <c r="AL202" i="1" s="1"/>
  <c r="AC202" i="1"/>
  <c r="AO202" i="1"/>
  <c r="J202" i="1" s="1"/>
  <c r="AP202" i="1"/>
  <c r="K202" i="1" s="1"/>
  <c r="BD202" i="1"/>
  <c r="BF202" i="1"/>
  <c r="BJ202" i="1"/>
  <c r="Z202" i="1" s="1"/>
  <c r="L204" i="1"/>
  <c r="AL204" i="1" s="1"/>
  <c r="AJ204" i="1"/>
  <c r="AK204" i="1"/>
  <c r="AO204" i="1"/>
  <c r="AW204" i="1" s="1"/>
  <c r="AP204" i="1"/>
  <c r="AX204" i="1" s="1"/>
  <c r="BD204" i="1"/>
  <c r="BF204" i="1"/>
  <c r="BJ204" i="1"/>
  <c r="L206" i="1"/>
  <c r="AL206" i="1" s="1"/>
  <c r="AB206" i="1"/>
  <c r="AJ206" i="1"/>
  <c r="AK206" i="1"/>
  <c r="AO206" i="1"/>
  <c r="AW206" i="1" s="1"/>
  <c r="AP206" i="1"/>
  <c r="BD206" i="1"/>
  <c r="BF206" i="1"/>
  <c r="BJ206" i="1"/>
  <c r="AH206" i="1" s="1"/>
  <c r="L208" i="1"/>
  <c r="AH208" i="1"/>
  <c r="AO208" i="1"/>
  <c r="BH208" i="1" s="1"/>
  <c r="AP208" i="1"/>
  <c r="K208" i="1" s="1"/>
  <c r="BD208" i="1"/>
  <c r="BF208" i="1"/>
  <c r="BJ208" i="1"/>
  <c r="Z208" i="1" s="1"/>
  <c r="L210" i="1"/>
  <c r="AJ210" i="1" s="1"/>
  <c r="AO210" i="1"/>
  <c r="J210" i="1" s="1"/>
  <c r="AP210" i="1"/>
  <c r="K210" i="1" s="1"/>
  <c r="BD210" i="1"/>
  <c r="BF210" i="1"/>
  <c r="BJ210" i="1"/>
  <c r="Z210" i="1" s="1"/>
  <c r="L212" i="1"/>
  <c r="AL212" i="1" s="1"/>
  <c r="AJ212" i="1"/>
  <c r="AK212" i="1"/>
  <c r="AO212" i="1"/>
  <c r="J212" i="1" s="1"/>
  <c r="AP212" i="1"/>
  <c r="K212" i="1" s="1"/>
  <c r="BD212" i="1"/>
  <c r="BF212" i="1"/>
  <c r="BH212" i="1"/>
  <c r="AD212" i="1" s="1"/>
  <c r="BJ212" i="1"/>
  <c r="Z212" i="1" s="1"/>
  <c r="L214" i="1"/>
  <c r="AL214" i="1" s="1"/>
  <c r="AJ214" i="1"/>
  <c r="AK214" i="1"/>
  <c r="AO214" i="1"/>
  <c r="BH214" i="1" s="1"/>
  <c r="AD214" i="1" s="1"/>
  <c r="AP214" i="1"/>
  <c r="AX214" i="1" s="1"/>
  <c r="BD214" i="1"/>
  <c r="BF214" i="1"/>
  <c r="BJ214" i="1"/>
  <c r="AH214" i="1" s="1"/>
  <c r="L216" i="1"/>
  <c r="AL216" i="1" s="1"/>
  <c r="AF216" i="1"/>
  <c r="AK216" i="1"/>
  <c r="AO216" i="1"/>
  <c r="AW216" i="1" s="1"/>
  <c r="AP216" i="1"/>
  <c r="K216" i="1" s="1"/>
  <c r="BD216" i="1"/>
  <c r="BF216" i="1"/>
  <c r="BH216" i="1"/>
  <c r="AD216" i="1" s="1"/>
  <c r="BJ216" i="1"/>
  <c r="Z216" i="1" s="1"/>
  <c r="L218" i="1"/>
  <c r="AK218" i="1" s="1"/>
  <c r="Z218" i="1"/>
  <c r="AO218" i="1"/>
  <c r="J218" i="1" s="1"/>
  <c r="AP218" i="1"/>
  <c r="K218" i="1" s="1"/>
  <c r="BD218" i="1"/>
  <c r="BF218" i="1"/>
  <c r="BH218" i="1"/>
  <c r="AB218" i="1" s="1"/>
  <c r="BJ218" i="1"/>
  <c r="AH218" i="1" s="1"/>
  <c r="L221" i="1"/>
  <c r="AO221" i="1"/>
  <c r="J221" i="1" s="1"/>
  <c r="AP221" i="1"/>
  <c r="AX221" i="1" s="1"/>
  <c r="BD221" i="1"/>
  <c r="BF221" i="1"/>
  <c r="BJ221" i="1"/>
  <c r="Z221" i="1" s="1"/>
  <c r="L223" i="1"/>
  <c r="AJ223" i="1" s="1"/>
  <c r="AO223" i="1"/>
  <c r="AW223" i="1" s="1"/>
  <c r="AP223" i="1"/>
  <c r="K223" i="1" s="1"/>
  <c r="BD223" i="1"/>
  <c r="BF223" i="1"/>
  <c r="BJ223" i="1"/>
  <c r="Z223" i="1" s="1"/>
  <c r="L225" i="1"/>
  <c r="AL225" i="1" s="1"/>
  <c r="AJ225" i="1"/>
  <c r="AK225" i="1"/>
  <c r="AO225" i="1"/>
  <c r="BH225" i="1" s="1"/>
  <c r="AD225" i="1" s="1"/>
  <c r="AP225" i="1"/>
  <c r="AX225" i="1" s="1"/>
  <c r="BD225" i="1"/>
  <c r="BF225" i="1"/>
  <c r="BJ225" i="1"/>
  <c r="AH225" i="1" s="1"/>
  <c r="L227" i="1"/>
  <c r="AL227" i="1" s="1"/>
  <c r="AF227" i="1"/>
  <c r="AK227" i="1"/>
  <c r="AO227" i="1"/>
  <c r="AW227" i="1" s="1"/>
  <c r="AP227" i="1"/>
  <c r="K227" i="1" s="1"/>
  <c r="BD227" i="1"/>
  <c r="BF227" i="1"/>
  <c r="BJ227" i="1"/>
  <c r="AH227" i="1" s="1"/>
  <c r="L230" i="1"/>
  <c r="AL230" i="1" s="1"/>
  <c r="AU229" i="1" s="1"/>
  <c r="AJ230" i="1"/>
  <c r="AS229" i="1" s="1"/>
  <c r="AK230" i="1"/>
  <c r="AT229" i="1" s="1"/>
  <c r="AO230" i="1"/>
  <c r="AW230" i="1" s="1"/>
  <c r="AP230" i="1"/>
  <c r="K230" i="1" s="1"/>
  <c r="K229" i="1" s="1"/>
  <c r="BD230" i="1"/>
  <c r="BF230" i="1"/>
  <c r="BJ230" i="1"/>
  <c r="AH230" i="1" s="1"/>
  <c r="L233" i="1"/>
  <c r="AF233" i="1"/>
  <c r="AG233" i="1"/>
  <c r="AJ233" i="1"/>
  <c r="AK233" i="1"/>
  <c r="AO233" i="1"/>
  <c r="J233" i="1" s="1"/>
  <c r="AP233" i="1"/>
  <c r="AX233" i="1" s="1"/>
  <c r="BD233" i="1"/>
  <c r="BF233" i="1"/>
  <c r="BJ233" i="1"/>
  <c r="AH233" i="1" s="1"/>
  <c r="L235" i="1"/>
  <c r="AL235" i="1" s="1"/>
  <c r="AF235" i="1"/>
  <c r="AJ235" i="1"/>
  <c r="AK235" i="1"/>
  <c r="AO235" i="1"/>
  <c r="J235" i="1" s="1"/>
  <c r="AP235" i="1"/>
  <c r="K235" i="1" s="1"/>
  <c r="BD235" i="1"/>
  <c r="BF235" i="1"/>
  <c r="BJ235" i="1"/>
  <c r="AH235" i="1" s="1"/>
  <c r="L238" i="1"/>
  <c r="AJ238" i="1" s="1"/>
  <c r="AO238" i="1"/>
  <c r="AW238" i="1" s="1"/>
  <c r="AP238" i="1"/>
  <c r="K238" i="1" s="1"/>
  <c r="BD238" i="1"/>
  <c r="BF238" i="1"/>
  <c r="BJ238" i="1"/>
  <c r="Z238" i="1" s="1"/>
  <c r="L240" i="1"/>
  <c r="AL240" i="1" s="1"/>
  <c r="AJ240" i="1"/>
  <c r="AK240" i="1"/>
  <c r="AO240" i="1"/>
  <c r="J240" i="1" s="1"/>
  <c r="AP240" i="1"/>
  <c r="AX240" i="1" s="1"/>
  <c r="BD240" i="1"/>
  <c r="BF240" i="1"/>
  <c r="BJ240" i="1"/>
  <c r="AH240" i="1" s="1"/>
  <c r="L242" i="1"/>
  <c r="AL242" i="1" s="1"/>
  <c r="AJ242" i="1"/>
  <c r="AK242" i="1"/>
  <c r="AO242" i="1"/>
  <c r="AW242" i="1" s="1"/>
  <c r="AP242" i="1"/>
  <c r="K242" i="1" s="1"/>
  <c r="BD242" i="1"/>
  <c r="BF242" i="1"/>
  <c r="BJ242" i="1"/>
  <c r="AH242" i="1" s="1"/>
  <c r="L244" i="1"/>
  <c r="AK244" i="1" s="1"/>
  <c r="AO244" i="1"/>
  <c r="J244" i="1" s="1"/>
  <c r="AP244" i="1"/>
  <c r="K244" i="1" s="1"/>
  <c r="BD244" i="1"/>
  <c r="BF244" i="1"/>
  <c r="BJ244" i="1"/>
  <c r="Z244" i="1" s="1"/>
  <c r="L246" i="1"/>
  <c r="AJ246" i="1" s="1"/>
  <c r="AO246" i="1"/>
  <c r="AW246" i="1" s="1"/>
  <c r="AP246" i="1"/>
  <c r="K246" i="1" s="1"/>
  <c r="BD246" i="1"/>
  <c r="BF246" i="1"/>
  <c r="BJ246" i="1"/>
  <c r="Z246" i="1" s="1"/>
  <c r="L248" i="1"/>
  <c r="AJ248" i="1" s="1"/>
  <c r="AK248" i="1"/>
  <c r="AO248" i="1"/>
  <c r="AW248" i="1" s="1"/>
  <c r="AP248" i="1"/>
  <c r="K248" i="1" s="1"/>
  <c r="BD248" i="1"/>
  <c r="BF248" i="1"/>
  <c r="BJ248" i="1"/>
  <c r="AH248" i="1" s="1"/>
  <c r="L250" i="1"/>
  <c r="AJ250" i="1" s="1"/>
  <c r="AK250" i="1"/>
  <c r="AO250" i="1"/>
  <c r="BH250" i="1" s="1"/>
  <c r="AP250" i="1"/>
  <c r="K250" i="1" s="1"/>
  <c r="BD250" i="1"/>
  <c r="BF250" i="1"/>
  <c r="BJ250" i="1"/>
  <c r="Z250" i="1" s="1"/>
  <c r="L252" i="1"/>
  <c r="AK252" i="1" s="1"/>
  <c r="Z252" i="1"/>
  <c r="AO252" i="1"/>
  <c r="J252" i="1" s="1"/>
  <c r="AP252" i="1"/>
  <c r="K252" i="1" s="1"/>
  <c r="BD252" i="1"/>
  <c r="BF252" i="1"/>
  <c r="BJ252" i="1"/>
  <c r="AH252" i="1" s="1"/>
  <c r="L254" i="1"/>
  <c r="AJ254" i="1" s="1"/>
  <c r="AO254" i="1"/>
  <c r="AW254" i="1" s="1"/>
  <c r="AP254" i="1"/>
  <c r="K254" i="1" s="1"/>
  <c r="BD254" i="1"/>
  <c r="BF254" i="1"/>
  <c r="BJ254" i="1"/>
  <c r="Z254" i="1" s="1"/>
  <c r="L256" i="1"/>
  <c r="AJ256" i="1" s="1"/>
  <c r="AO256" i="1"/>
  <c r="AW256" i="1" s="1"/>
  <c r="AP256" i="1"/>
  <c r="AX256" i="1" s="1"/>
  <c r="BD256" i="1"/>
  <c r="BF256" i="1"/>
  <c r="BJ256" i="1"/>
  <c r="AH256" i="1" s="1"/>
  <c r="L259" i="1"/>
  <c r="AL259" i="1" s="1"/>
  <c r="AJ259" i="1"/>
  <c r="AK259" i="1"/>
  <c r="AO259" i="1"/>
  <c r="AW259" i="1" s="1"/>
  <c r="AP259" i="1"/>
  <c r="K259" i="1" s="1"/>
  <c r="BD259" i="1"/>
  <c r="BF259" i="1"/>
  <c r="BJ259" i="1"/>
  <c r="Z259" i="1" s="1"/>
  <c r="BH185" i="1" l="1"/>
  <c r="AD185" i="1" s="1"/>
  <c r="BH155" i="1"/>
  <c r="BH73" i="1"/>
  <c r="AD73" i="1" s="1"/>
  <c r="BH227" i="1"/>
  <c r="AD227" i="1" s="1"/>
  <c r="BH79" i="1"/>
  <c r="AD79" i="1" s="1"/>
  <c r="BH242" i="1"/>
  <c r="AD242" i="1" s="1"/>
  <c r="BH115" i="1"/>
  <c r="AD115" i="1" s="1"/>
  <c r="BI254" i="1"/>
  <c r="AE254" i="1" s="1"/>
  <c r="AX254" i="1"/>
  <c r="AV254" i="1" s="1"/>
  <c r="BI223" i="1"/>
  <c r="AE223" i="1" s="1"/>
  <c r="BI108" i="1"/>
  <c r="AE108" i="1" s="1"/>
  <c r="BH197" i="1"/>
  <c r="AD197" i="1" s="1"/>
  <c r="BI44" i="1"/>
  <c r="AE44" i="1" s="1"/>
  <c r="BI221" i="1"/>
  <c r="AE221" i="1" s="1"/>
  <c r="AX108" i="1"/>
  <c r="AW82" i="1"/>
  <c r="AV82" i="1" s="1"/>
  <c r="AL44" i="1"/>
  <c r="BH82" i="1"/>
  <c r="AD82" i="1" s="1"/>
  <c r="AX223" i="1"/>
  <c r="BC223" i="1" s="1"/>
  <c r="BH19" i="1"/>
  <c r="AD19" i="1" s="1"/>
  <c r="BI248" i="1"/>
  <c r="AE248" i="1" s="1"/>
  <c r="BI242" i="1"/>
  <c r="AC242" i="1" s="1"/>
  <c r="BI238" i="1"/>
  <c r="AE238" i="1" s="1"/>
  <c r="BI139" i="1"/>
  <c r="AE139" i="1" s="1"/>
  <c r="BI98" i="1"/>
  <c r="AE98" i="1" s="1"/>
  <c r="J79" i="1"/>
  <c r="AX238" i="1"/>
  <c r="BC238" i="1" s="1"/>
  <c r="BI147" i="1"/>
  <c r="AE147" i="1" s="1"/>
  <c r="BI102" i="1"/>
  <c r="AE102" i="1" s="1"/>
  <c r="AW100" i="1"/>
  <c r="AW52" i="1"/>
  <c r="AX44" i="1"/>
  <c r="AV44" i="1" s="1"/>
  <c r="AX248" i="1"/>
  <c r="BC248" i="1" s="1"/>
  <c r="AW151" i="1"/>
  <c r="AL102" i="1"/>
  <c r="BH100" i="1"/>
  <c r="AD100" i="1" s="1"/>
  <c r="BH52" i="1"/>
  <c r="AD52" i="1" s="1"/>
  <c r="BH135" i="1"/>
  <c r="AD135" i="1" s="1"/>
  <c r="BI149" i="1"/>
  <c r="AE149" i="1" s="1"/>
  <c r="BI252" i="1"/>
  <c r="AC252" i="1" s="1"/>
  <c r="AV248" i="1"/>
  <c r="BI244" i="1"/>
  <c r="AC244" i="1" s="1"/>
  <c r="AW240" i="1"/>
  <c r="AV240" i="1" s="1"/>
  <c r="AW233" i="1"/>
  <c r="AV233" i="1" s="1"/>
  <c r="K233" i="1"/>
  <c r="K232" i="1" s="1"/>
  <c r="AW210" i="1"/>
  <c r="AX192" i="1"/>
  <c r="AX167" i="1"/>
  <c r="BI159" i="1"/>
  <c r="AE159" i="1" s="1"/>
  <c r="AL149" i="1"/>
  <c r="AX147" i="1"/>
  <c r="AL110" i="1"/>
  <c r="AX102" i="1"/>
  <c r="BI23" i="1"/>
  <c r="AE23" i="1" s="1"/>
  <c r="AX23" i="1"/>
  <c r="K149" i="1"/>
  <c r="AL248" i="1"/>
  <c r="BH240" i="1"/>
  <c r="AD240" i="1" s="1"/>
  <c r="BH210" i="1"/>
  <c r="AB210" i="1" s="1"/>
  <c r="AW161" i="1"/>
  <c r="BC161" i="1" s="1"/>
  <c r="AX139" i="1"/>
  <c r="AX110" i="1"/>
  <c r="AW90" i="1"/>
  <c r="AV90" i="1" s="1"/>
  <c r="BH23" i="1"/>
  <c r="AD23" i="1" s="1"/>
  <c r="AW23" i="1"/>
  <c r="BH104" i="1"/>
  <c r="AD104" i="1" s="1"/>
  <c r="BH61" i="1"/>
  <c r="AD61" i="1" s="1"/>
  <c r="BI230" i="1"/>
  <c r="AC230" i="1" s="1"/>
  <c r="BI225" i="1"/>
  <c r="AE225" i="1" s="1"/>
  <c r="BI214" i="1"/>
  <c r="AE214" i="1" s="1"/>
  <c r="AW194" i="1"/>
  <c r="BC194" i="1" s="1"/>
  <c r="BI130" i="1"/>
  <c r="AE130" i="1" s="1"/>
  <c r="BI227" i="1"/>
  <c r="AC227" i="1" s="1"/>
  <c r="BI192" i="1"/>
  <c r="AE192" i="1" s="1"/>
  <c r="BI69" i="1"/>
  <c r="AE69" i="1" s="1"/>
  <c r="BI21" i="1"/>
  <c r="AE21" i="1" s="1"/>
  <c r="AV204" i="1"/>
  <c r="BI178" i="1"/>
  <c r="AE178" i="1" s="1"/>
  <c r="BH102" i="1"/>
  <c r="AD102" i="1" s="1"/>
  <c r="AW102" i="1"/>
  <c r="BC102" i="1" s="1"/>
  <c r="BI88" i="1"/>
  <c r="AE88" i="1" s="1"/>
  <c r="BI86" i="1"/>
  <c r="AE86" i="1" s="1"/>
  <c r="AL69" i="1"/>
  <c r="BI67" i="1"/>
  <c r="AE67" i="1" s="1"/>
  <c r="AL210" i="1"/>
  <c r="BH194" i="1"/>
  <c r="AD194" i="1" s="1"/>
  <c r="BI187" i="1"/>
  <c r="AE187" i="1" s="1"/>
  <c r="AL157" i="1"/>
  <c r="AW126" i="1"/>
  <c r="BI120" i="1"/>
  <c r="AL19" i="1"/>
  <c r="BH259" i="1"/>
  <c r="AD259" i="1" s="1"/>
  <c r="J259" i="1"/>
  <c r="BH254" i="1"/>
  <c r="AB254" i="1" s="1"/>
  <c r="BH252" i="1"/>
  <c r="AB252" i="1" s="1"/>
  <c r="AD250" i="1"/>
  <c r="AB250" i="1"/>
  <c r="AL250" i="1"/>
  <c r="J250" i="1"/>
  <c r="BI250" i="1"/>
  <c r="AC250" i="1" s="1"/>
  <c r="AW250" i="1"/>
  <c r="BI246" i="1"/>
  <c r="AE246" i="1" s="1"/>
  <c r="AX246" i="1"/>
  <c r="BC246" i="1" s="1"/>
  <c r="J242" i="1"/>
  <c r="BI240" i="1"/>
  <c r="AE240" i="1" s="1"/>
  <c r="BH233" i="1"/>
  <c r="AD233" i="1" s="1"/>
  <c r="J225" i="1"/>
  <c r="AW225" i="1"/>
  <c r="BC225" i="1" s="1"/>
  <c r="L220" i="1"/>
  <c r="BI218" i="1"/>
  <c r="AC218" i="1" s="1"/>
  <c r="J214" i="1"/>
  <c r="AW214" i="1"/>
  <c r="BC214" i="1" s="1"/>
  <c r="BI212" i="1"/>
  <c r="AE212" i="1" s="1"/>
  <c r="AX212" i="1"/>
  <c r="BI210" i="1"/>
  <c r="AE210" i="1" s="1"/>
  <c r="AX210" i="1"/>
  <c r="BI202" i="1"/>
  <c r="AE202" i="1" s="1"/>
  <c r="AX202" i="1"/>
  <c r="J197" i="1"/>
  <c r="BI194" i="1"/>
  <c r="AE194" i="1" s="1"/>
  <c r="AX187" i="1"/>
  <c r="BI183" i="1"/>
  <c r="AE183" i="1" s="1"/>
  <c r="AW183" i="1"/>
  <c r="BC183" i="1" s="1"/>
  <c r="K183" i="1"/>
  <c r="BH183" i="1"/>
  <c r="AD183" i="1" s="1"/>
  <c r="J180" i="1"/>
  <c r="BI180" i="1"/>
  <c r="AE180" i="1" s="1"/>
  <c r="K178" i="1"/>
  <c r="BI176" i="1"/>
  <c r="AE176" i="1" s="1"/>
  <c r="AX176" i="1"/>
  <c r="AX159" i="1"/>
  <c r="BH151" i="1"/>
  <c r="AD151" i="1" s="1"/>
  <c r="BH139" i="1"/>
  <c r="AD139" i="1" s="1"/>
  <c r="AW139" i="1"/>
  <c r="AL133" i="1"/>
  <c r="AX130" i="1"/>
  <c r="BI124" i="1"/>
  <c r="AE124" i="1" s="1"/>
  <c r="AX120" i="1"/>
  <c r="AL118" i="1"/>
  <c r="AW118" i="1"/>
  <c r="BH118" i="1"/>
  <c r="AD118" i="1" s="1"/>
  <c r="BH110" i="1"/>
  <c r="AD110" i="1" s="1"/>
  <c r="AW110" i="1"/>
  <c r="J104" i="1"/>
  <c r="BI100" i="1"/>
  <c r="AE100" i="1" s="1"/>
  <c r="AX100" i="1"/>
  <c r="J96" i="1"/>
  <c r="BH90" i="1"/>
  <c r="AD90" i="1" s="1"/>
  <c r="K88" i="1"/>
  <c r="AV79" i="1"/>
  <c r="J69" i="1"/>
  <c r="AX69" i="1"/>
  <c r="AV69" i="1" s="1"/>
  <c r="BH69" i="1"/>
  <c r="AD69" i="1" s="1"/>
  <c r="AX67" i="1"/>
  <c r="AW59" i="1"/>
  <c r="AL55" i="1"/>
  <c r="BI52" i="1"/>
  <c r="AE52" i="1" s="1"/>
  <c r="AX52" i="1"/>
  <c r="AL52" i="1"/>
  <c r="BI47" i="1"/>
  <c r="AE47" i="1" s="1"/>
  <c r="AW47" i="1"/>
  <c r="AV47" i="1" s="1"/>
  <c r="AW42" i="1"/>
  <c r="BH40" i="1"/>
  <c r="AD40" i="1" s="1"/>
  <c r="AL34" i="1"/>
  <c r="J30" i="1"/>
  <c r="AW27" i="1"/>
  <c r="BH27" i="1"/>
  <c r="AD27" i="1" s="1"/>
  <c r="K25" i="1"/>
  <c r="BI25" i="1"/>
  <c r="AE25" i="1" s="1"/>
  <c r="AX21" i="1"/>
  <c r="BI13" i="1"/>
  <c r="AE13" i="1" s="1"/>
  <c r="AX13" i="1"/>
  <c r="BH235" i="1"/>
  <c r="BH206" i="1"/>
  <c r="AD206" i="1" s="1"/>
  <c r="J204" i="1"/>
  <c r="BH204" i="1"/>
  <c r="AD204" i="1" s="1"/>
  <c r="K124" i="1"/>
  <c r="AL124" i="1"/>
  <c r="J115" i="1"/>
  <c r="BI82" i="1"/>
  <c r="AE82" i="1" s="1"/>
  <c r="AW63" i="1"/>
  <c r="BH59" i="1"/>
  <c r="AD59" i="1" s="1"/>
  <c r="L49" i="1"/>
  <c r="AL36" i="1"/>
  <c r="K36" i="1"/>
  <c r="BI36" i="1"/>
  <c r="AE36" i="1" s="1"/>
  <c r="AL27" i="1"/>
  <c r="AL25" i="1"/>
  <c r="AS232" i="1"/>
  <c r="BI235" i="1"/>
  <c r="AC235" i="1" s="1"/>
  <c r="L232" i="1"/>
  <c r="AW235" i="1"/>
  <c r="J232" i="1"/>
  <c r="AT232" i="1"/>
  <c r="AL233" i="1"/>
  <c r="AU232" i="1" s="1"/>
  <c r="BI233" i="1"/>
  <c r="BH169" i="1"/>
  <c r="AD169" i="1" s="1"/>
  <c r="AL169" i="1"/>
  <c r="K167" i="1"/>
  <c r="AW167" i="1"/>
  <c r="BC167" i="1" s="1"/>
  <c r="BH167" i="1"/>
  <c r="AD167" i="1" s="1"/>
  <c r="AX165" i="1"/>
  <c r="BI161" i="1"/>
  <c r="AE161" i="1" s="1"/>
  <c r="K161" i="1"/>
  <c r="BH161" i="1"/>
  <c r="AD161" i="1" s="1"/>
  <c r="AW155" i="1"/>
  <c r="AW135" i="1"/>
  <c r="BH133" i="1"/>
  <c r="AD133" i="1" s="1"/>
  <c r="J133" i="1"/>
  <c r="BI110" i="1"/>
  <c r="AE110" i="1" s="1"/>
  <c r="AF259" i="1"/>
  <c r="BI259" i="1"/>
  <c r="AC259" i="1" s="1"/>
  <c r="BC256" i="1"/>
  <c r="K256" i="1"/>
  <c r="BI256" i="1"/>
  <c r="J256" i="1"/>
  <c r="AL256" i="1"/>
  <c r="BH256" i="1"/>
  <c r="AK256" i="1"/>
  <c r="AG254" i="1"/>
  <c r="AH254" i="1"/>
  <c r="AJ252" i="1"/>
  <c r="AF250" i="1"/>
  <c r="J248" i="1"/>
  <c r="BH248" i="1"/>
  <c r="AG248" i="1"/>
  <c r="AH246" i="1"/>
  <c r="AG246" i="1"/>
  <c r="BH246" i="1"/>
  <c r="AD246" i="1" s="1"/>
  <c r="AJ244" i="1"/>
  <c r="AH244" i="1"/>
  <c r="BH244" i="1"/>
  <c r="AB244" i="1" s="1"/>
  <c r="AF242" i="1"/>
  <c r="AG240" i="1"/>
  <c r="AF240" i="1"/>
  <c r="K240" i="1"/>
  <c r="AH238" i="1"/>
  <c r="AG238" i="1"/>
  <c r="BH238" i="1"/>
  <c r="AB238" i="1" s="1"/>
  <c r="BH230" i="1"/>
  <c r="J230" i="1"/>
  <c r="J229" i="1" s="1"/>
  <c r="L229" i="1"/>
  <c r="AB227" i="1"/>
  <c r="AJ227" i="1"/>
  <c r="J227" i="1"/>
  <c r="AC225" i="1"/>
  <c r="AB225" i="1"/>
  <c r="AG225" i="1"/>
  <c r="AF225" i="1"/>
  <c r="K225" i="1"/>
  <c r="AH223" i="1"/>
  <c r="AG223" i="1"/>
  <c r="BH223" i="1"/>
  <c r="AB223" i="1" s="1"/>
  <c r="AC223" i="1"/>
  <c r="BH221" i="1"/>
  <c r="AB221" i="1" s="1"/>
  <c r="AJ221" i="1"/>
  <c r="AS220" i="1" s="1"/>
  <c r="AH221" i="1"/>
  <c r="AJ218" i="1"/>
  <c r="AB216" i="1"/>
  <c r="BI216" i="1"/>
  <c r="AC216" i="1" s="1"/>
  <c r="AJ216" i="1"/>
  <c r="J216" i="1"/>
  <c r="AB214" i="1"/>
  <c r="AG214" i="1"/>
  <c r="AC214" i="1"/>
  <c r="AF214" i="1"/>
  <c r="K214" i="1"/>
  <c r="AG212" i="1"/>
  <c r="AC212" i="1"/>
  <c r="AH212" i="1"/>
  <c r="AG210" i="1"/>
  <c r="AC210" i="1"/>
  <c r="AX208" i="1"/>
  <c r="J206" i="1"/>
  <c r="AF206" i="1"/>
  <c r="AB204" i="1"/>
  <c r="BI204" i="1"/>
  <c r="AF204" i="1"/>
  <c r="K204" i="1"/>
  <c r="AH202" i="1"/>
  <c r="AG202" i="1"/>
  <c r="AB197" i="1"/>
  <c r="AB194" i="1"/>
  <c r="AC194" i="1"/>
  <c r="AG194" i="1"/>
  <c r="AF194" i="1"/>
  <c r="K194" i="1"/>
  <c r="AH192" i="1"/>
  <c r="AG192" i="1"/>
  <c r="BI190" i="1"/>
  <c r="AG190" i="1" s="1"/>
  <c r="AX190" i="1"/>
  <c r="AH187" i="1"/>
  <c r="AF185" i="1"/>
  <c r="J185" i="1"/>
  <c r="AC183" i="1"/>
  <c r="AB183" i="1"/>
  <c r="AG183" i="1"/>
  <c r="AB180" i="1"/>
  <c r="AC180" i="1"/>
  <c r="AG180" i="1"/>
  <c r="AF180" i="1"/>
  <c r="K180" i="1"/>
  <c r="AH178" i="1"/>
  <c r="AG178" i="1"/>
  <c r="AC178" i="1"/>
  <c r="L173" i="1"/>
  <c r="AF174" i="1"/>
  <c r="J174" i="1"/>
  <c r="AB174" i="1"/>
  <c r="J171" i="1"/>
  <c r="AB171" i="1"/>
  <c r="AB169" i="1"/>
  <c r="AF169" i="1"/>
  <c r="K169" i="1"/>
  <c r="BI169" i="1"/>
  <c r="AW169" i="1"/>
  <c r="BC169" i="1" s="1"/>
  <c r="BH163" i="1"/>
  <c r="AJ163" i="1"/>
  <c r="J163" i="1"/>
  <c r="AH159" i="1"/>
  <c r="AG159" i="1"/>
  <c r="AC159" i="1"/>
  <c r="AK157" i="1"/>
  <c r="AX155" i="1"/>
  <c r="AJ155" i="1"/>
  <c r="K155" i="1"/>
  <c r="J153" i="1"/>
  <c r="AX153" i="1"/>
  <c r="BC153" i="1" s="1"/>
  <c r="AK153" i="1"/>
  <c r="BH153" i="1"/>
  <c r="AD153" i="1" s="1"/>
  <c r="AJ153" i="1"/>
  <c r="AF151" i="1"/>
  <c r="BH149" i="1"/>
  <c r="AW149" i="1"/>
  <c r="AC149" i="1"/>
  <c r="AG149" i="1"/>
  <c r="Z147" i="1"/>
  <c r="AG147" i="1"/>
  <c r="AD143" i="1"/>
  <c r="AF143" i="1"/>
  <c r="AB143" i="1"/>
  <c r="J143" i="1"/>
  <c r="AW143" i="1"/>
  <c r="Z143" i="1"/>
  <c r="K141" i="1"/>
  <c r="BI141" i="1"/>
  <c r="AL141" i="1"/>
  <c r="J141" i="1"/>
  <c r="BH141" i="1"/>
  <c r="AK141" i="1"/>
  <c r="AG139" i="1"/>
  <c r="AC139" i="1"/>
  <c r="AH137" i="1"/>
  <c r="BI137" i="1"/>
  <c r="AE137" i="1" s="1"/>
  <c r="AX137" i="1"/>
  <c r="AJ135" i="1"/>
  <c r="AF135" i="1"/>
  <c r="AB135" i="1"/>
  <c r="AB133" i="1"/>
  <c r="BI133" i="1"/>
  <c r="AX133" i="1"/>
  <c r="BC133" i="1" s="1"/>
  <c r="AF133" i="1"/>
  <c r="AG130" i="1"/>
  <c r="AC130" i="1"/>
  <c r="AH128" i="1"/>
  <c r="Z126" i="1"/>
  <c r="AF126" i="1"/>
  <c r="AB126" i="1"/>
  <c r="AC124" i="1"/>
  <c r="J124" i="1"/>
  <c r="BH124" i="1"/>
  <c r="AG124" i="1"/>
  <c r="Z122" i="1"/>
  <c r="BI122" i="1"/>
  <c r="AX122" i="1"/>
  <c r="BH122" i="1"/>
  <c r="AD122" i="1" s="1"/>
  <c r="AW122" i="1"/>
  <c r="AH120" i="1"/>
  <c r="AF118" i="1"/>
  <c r="AF115" i="1"/>
  <c r="AB115" i="1"/>
  <c r="AS112" i="1"/>
  <c r="BI113" i="1"/>
  <c r="AX113" i="1"/>
  <c r="BH113" i="1"/>
  <c r="AW113" i="1"/>
  <c r="AL113" i="1"/>
  <c r="AK113" i="1"/>
  <c r="AT112" i="1" s="1"/>
  <c r="AC108" i="1"/>
  <c r="AH106" i="1"/>
  <c r="AF104" i="1"/>
  <c r="AB104" i="1"/>
  <c r="AC102" i="1"/>
  <c r="AB102" i="1"/>
  <c r="AG102" i="1"/>
  <c r="AF102" i="1"/>
  <c r="AG100" i="1"/>
  <c r="AC100" i="1"/>
  <c r="AX98" i="1"/>
  <c r="BI94" i="1"/>
  <c r="AX94" i="1"/>
  <c r="BH94" i="1"/>
  <c r="AD94" i="1" s="1"/>
  <c r="AW94" i="1"/>
  <c r="AL94" i="1"/>
  <c r="BI92" i="1"/>
  <c r="AE92" i="1" s="1"/>
  <c r="AX92" i="1"/>
  <c r="Z92" i="1"/>
  <c r="AB90" i="1"/>
  <c r="AJ90" i="1"/>
  <c r="BI90" i="1"/>
  <c r="AG90" i="1" s="1"/>
  <c r="AF90" i="1"/>
  <c r="AG88" i="1"/>
  <c r="AC88" i="1"/>
  <c r="AH88" i="1"/>
  <c r="AB84" i="1"/>
  <c r="AF84" i="1"/>
  <c r="J84" i="1"/>
  <c r="AC82" i="1"/>
  <c r="AG82" i="1"/>
  <c r="AB82" i="1"/>
  <c r="AF82" i="1"/>
  <c r="K82" i="1"/>
  <c r="AB79" i="1"/>
  <c r="BI79" i="1"/>
  <c r="AF79" i="1"/>
  <c r="K79" i="1"/>
  <c r="BI77" i="1"/>
  <c r="AH77" i="1"/>
  <c r="K77" i="1"/>
  <c r="AW71" i="1"/>
  <c r="BH71" i="1"/>
  <c r="AC69" i="1"/>
  <c r="AG69" i="1"/>
  <c r="AB69" i="1"/>
  <c r="AF69" i="1"/>
  <c r="AH67" i="1"/>
  <c r="AG67" i="1"/>
  <c r="Z63" i="1"/>
  <c r="AF63" i="1"/>
  <c r="AL61" i="1"/>
  <c r="AF61" i="1"/>
  <c r="K61" i="1"/>
  <c r="AB61" i="1"/>
  <c r="BI61" i="1"/>
  <c r="AW61" i="1"/>
  <c r="BC61" i="1" s="1"/>
  <c r="BI59" i="1"/>
  <c r="AX59" i="1"/>
  <c r="AH59" i="1"/>
  <c r="AW55" i="1"/>
  <c r="BH55" i="1"/>
  <c r="AG52" i="1"/>
  <c r="AC52" i="1"/>
  <c r="AB52" i="1"/>
  <c r="AF52" i="1"/>
  <c r="BI50" i="1"/>
  <c r="AX50" i="1"/>
  <c r="BH50" i="1"/>
  <c r="AD50" i="1" s="1"/>
  <c r="AW50" i="1"/>
  <c r="AH50" i="1"/>
  <c r="Z47" i="1"/>
  <c r="AF47" i="1"/>
  <c r="AB47" i="1"/>
  <c r="AG44" i="1"/>
  <c r="J44" i="1"/>
  <c r="AC44" i="1"/>
  <c r="AX42" i="1"/>
  <c r="K42" i="1"/>
  <c r="J40" i="1"/>
  <c r="AK40" i="1"/>
  <c r="AX40" i="1"/>
  <c r="BC40" i="1" s="1"/>
  <c r="AF38" i="1"/>
  <c r="AL38" i="1"/>
  <c r="J38" i="1"/>
  <c r="BI38" i="1"/>
  <c r="AB38" i="1"/>
  <c r="AK36" i="1"/>
  <c r="AG36" i="1"/>
  <c r="AC36" i="1"/>
  <c r="AW34" i="1"/>
  <c r="BH34" i="1"/>
  <c r="AD34" i="1" s="1"/>
  <c r="L29" i="1"/>
  <c r="AF30" i="1"/>
  <c r="AB30" i="1"/>
  <c r="AF27" i="1"/>
  <c r="AC25" i="1"/>
  <c r="BH25" i="1"/>
  <c r="AW25" i="1"/>
  <c r="BC25" i="1" s="1"/>
  <c r="AG25" i="1"/>
  <c r="AG23" i="1"/>
  <c r="AC23" i="1"/>
  <c r="AH21" i="1"/>
  <c r="AF19" i="1"/>
  <c r="AH16" i="1"/>
  <c r="AG13" i="1"/>
  <c r="AC163" i="1"/>
  <c r="AG163" i="1"/>
  <c r="AE163" i="1"/>
  <c r="AB176" i="1"/>
  <c r="AF176" i="1"/>
  <c r="AD176" i="1"/>
  <c r="BC254" i="1"/>
  <c r="AD254" i="1"/>
  <c r="AE252" i="1"/>
  <c r="AE244" i="1"/>
  <c r="AD238" i="1"/>
  <c r="AF210" i="1"/>
  <c r="AB208" i="1"/>
  <c r="AF208" i="1"/>
  <c r="AK208" i="1"/>
  <c r="AL208" i="1"/>
  <c r="K206" i="1"/>
  <c r="AX206" i="1"/>
  <c r="AV206" i="1" s="1"/>
  <c r="J190" i="1"/>
  <c r="AW190" i="1"/>
  <c r="AB165" i="1"/>
  <c r="AF165" i="1"/>
  <c r="AK165" i="1"/>
  <c r="AL165" i="1"/>
  <c r="AK137" i="1"/>
  <c r="AL137" i="1"/>
  <c r="AC115" i="1"/>
  <c r="AG115" i="1"/>
  <c r="AK106" i="1"/>
  <c r="AL106" i="1"/>
  <c r="AJ106" i="1"/>
  <c r="AE259" i="1"/>
  <c r="AV256" i="1"/>
  <c r="AL254" i="1"/>
  <c r="AX252" i="1"/>
  <c r="AD252" i="1"/>
  <c r="AE250" i="1"/>
  <c r="AL246" i="1"/>
  <c r="AX244" i="1"/>
  <c r="Z242" i="1"/>
  <c r="AL238" i="1"/>
  <c r="Z235" i="1"/>
  <c r="Z230" i="1"/>
  <c r="Z227" i="1"/>
  <c r="AX218" i="1"/>
  <c r="AD218" i="1"/>
  <c r="AB212" i="1"/>
  <c r="AK210" i="1"/>
  <c r="AC190" i="1"/>
  <c r="AS182" i="1"/>
  <c r="AK187" i="1"/>
  <c r="AL187" i="1"/>
  <c r="AU182" i="1" s="1"/>
  <c r="K171" i="1"/>
  <c r="AX171" i="1"/>
  <c r="AV157" i="1"/>
  <c r="K157" i="1"/>
  <c r="K143" i="1"/>
  <c r="AX143" i="1"/>
  <c r="BC141" i="1"/>
  <c r="AV141" i="1"/>
  <c r="AH133" i="1"/>
  <c r="Z133" i="1"/>
  <c r="AC120" i="1"/>
  <c r="AG120" i="1"/>
  <c r="AE120" i="1"/>
  <c r="AC96" i="1"/>
  <c r="AG96" i="1"/>
  <c r="AE96" i="1"/>
  <c r="AH82" i="1"/>
  <c r="Z82" i="1"/>
  <c r="AC63" i="1"/>
  <c r="AG63" i="1"/>
  <c r="AE63" i="1"/>
  <c r="Z55" i="1"/>
  <c r="AX259" i="1"/>
  <c r="AH259" i="1"/>
  <c r="Z256" i="1"/>
  <c r="AK254" i="1"/>
  <c r="AF254" i="1"/>
  <c r="J254" i="1"/>
  <c r="AW252" i="1"/>
  <c r="AL252" i="1"/>
  <c r="AG252" i="1"/>
  <c r="AX250" i="1"/>
  <c r="AH250" i="1"/>
  <c r="Z248" i="1"/>
  <c r="AK246" i="1"/>
  <c r="AF246" i="1"/>
  <c r="J246" i="1"/>
  <c r="AW244" i="1"/>
  <c r="AL244" i="1"/>
  <c r="AG244" i="1"/>
  <c r="AX242" i="1"/>
  <c r="BC242" i="1" s="1"/>
  <c r="Z240" i="1"/>
  <c r="AK238" i="1"/>
  <c r="AF238" i="1"/>
  <c r="J238" i="1"/>
  <c r="L237" i="1"/>
  <c r="AX235" i="1"/>
  <c r="Z233" i="1"/>
  <c r="AX230" i="1"/>
  <c r="BC230" i="1" s="1"/>
  <c r="AX227" i="1"/>
  <c r="AV227" i="1" s="1"/>
  <c r="Z225" i="1"/>
  <c r="AK223" i="1"/>
  <c r="AF223" i="1"/>
  <c r="J223" i="1"/>
  <c r="AW221" i="1"/>
  <c r="AL221" i="1"/>
  <c r="AG221" i="1"/>
  <c r="AC221" i="1"/>
  <c r="K221" i="1"/>
  <c r="AW218" i="1"/>
  <c r="AL218" i="1"/>
  <c r="AG218" i="1"/>
  <c r="AX216" i="1"/>
  <c r="BC216" i="1" s="1"/>
  <c r="AH216" i="1"/>
  <c r="Z214" i="1"/>
  <c r="AF212" i="1"/>
  <c r="AH210" i="1"/>
  <c r="J208" i="1"/>
  <c r="AW208" i="1"/>
  <c r="AD208" i="1"/>
  <c r="BI206" i="1"/>
  <c r="AH204" i="1"/>
  <c r="Z204" i="1"/>
  <c r="BI200" i="1"/>
  <c r="Z197" i="1"/>
  <c r="BH192" i="1"/>
  <c r="AW192" i="1"/>
  <c r="AJ192" i="1"/>
  <c r="AK192" i="1"/>
  <c r="BH190" i="1"/>
  <c r="L189" i="1"/>
  <c r="AK190" i="1"/>
  <c r="AL190" i="1"/>
  <c r="BC180" i="1"/>
  <c r="BH178" i="1"/>
  <c r="AW178" i="1"/>
  <c r="AJ178" i="1"/>
  <c r="AS173" i="1" s="1"/>
  <c r="AK178" i="1"/>
  <c r="AK176" i="1"/>
  <c r="AL176" i="1"/>
  <c r="AU173" i="1" s="1"/>
  <c r="K174" i="1"/>
  <c r="AX174" i="1"/>
  <c r="J165" i="1"/>
  <c r="AW165" i="1"/>
  <c r="AD165" i="1"/>
  <c r="AH161" i="1"/>
  <c r="Z161" i="1"/>
  <c r="BI157" i="1"/>
  <c r="BC157" i="1"/>
  <c r="J157" i="1"/>
  <c r="J147" i="1"/>
  <c r="AW147" i="1"/>
  <c r="BH147" i="1"/>
  <c r="K145" i="1"/>
  <c r="AX145" i="1"/>
  <c r="BI145" i="1"/>
  <c r="AJ139" i="1"/>
  <c r="AK139" i="1"/>
  <c r="AL139" i="1"/>
  <c r="AB137" i="1"/>
  <c r="AF137" i="1"/>
  <c r="AD137" i="1"/>
  <c r="J130" i="1"/>
  <c r="AW130" i="1"/>
  <c r="BH130" i="1"/>
  <c r="K128" i="1"/>
  <c r="AX128" i="1"/>
  <c r="BI128" i="1"/>
  <c r="AJ122" i="1"/>
  <c r="AK122" i="1"/>
  <c r="AL122" i="1"/>
  <c r="AB120" i="1"/>
  <c r="AF120" i="1"/>
  <c r="AD120" i="1"/>
  <c r="J108" i="1"/>
  <c r="AW108" i="1"/>
  <c r="BH108" i="1"/>
  <c r="Z104" i="1"/>
  <c r="J98" i="1"/>
  <c r="AW98" i="1"/>
  <c r="BH98" i="1"/>
  <c r="AL92" i="1"/>
  <c r="AJ92" i="1"/>
  <c r="L81" i="1"/>
  <c r="J88" i="1"/>
  <c r="AW88" i="1"/>
  <c r="BH88" i="1"/>
  <c r="AH30" i="1"/>
  <c r="Z30" i="1"/>
  <c r="AC187" i="1"/>
  <c r="AG187" i="1"/>
  <c r="J176" i="1"/>
  <c r="AW176" i="1"/>
  <c r="AC174" i="1"/>
  <c r="AG174" i="1"/>
  <c r="AB167" i="1"/>
  <c r="AF167" i="1"/>
  <c r="AJ167" i="1"/>
  <c r="AK167" i="1"/>
  <c r="K163" i="1"/>
  <c r="AX163" i="1"/>
  <c r="AV163" i="1" s="1"/>
  <c r="AB155" i="1"/>
  <c r="AF155" i="1"/>
  <c r="AF153" i="1"/>
  <c r="AB153" i="1"/>
  <c r="AK120" i="1"/>
  <c r="AL120" i="1"/>
  <c r="L117" i="1"/>
  <c r="AE115" i="1"/>
  <c r="AJ108" i="1"/>
  <c r="AK108" i="1"/>
  <c r="AL108" i="1"/>
  <c r="AC98" i="1"/>
  <c r="AG98" i="1"/>
  <c r="AB92" i="1"/>
  <c r="AD92" i="1"/>
  <c r="AF92" i="1"/>
  <c r="J75" i="1"/>
  <c r="AW75" i="1"/>
  <c r="BH75" i="1"/>
  <c r="AH52" i="1"/>
  <c r="Z52" i="1"/>
  <c r="AB50" i="1"/>
  <c r="AF50" i="1"/>
  <c r="BC38" i="1"/>
  <c r="AV38" i="1"/>
  <c r="AD244" i="1"/>
  <c r="AE242" i="1"/>
  <c r="AE235" i="1"/>
  <c r="AL223" i="1"/>
  <c r="AW212" i="1"/>
  <c r="J200" i="1"/>
  <c r="AW200" i="1"/>
  <c r="AC197" i="1"/>
  <c r="AG197" i="1"/>
  <c r="AH194" i="1"/>
  <c r="Z194" i="1"/>
  <c r="AB187" i="1"/>
  <c r="AF187" i="1"/>
  <c r="K185" i="1"/>
  <c r="AX185" i="1"/>
  <c r="AV185" i="1" s="1"/>
  <c r="AH180" i="1"/>
  <c r="Z180" i="1"/>
  <c r="AC176" i="1"/>
  <c r="AG176" i="1"/>
  <c r="AG155" i="1"/>
  <c r="AC155" i="1"/>
  <c r="AH149" i="1"/>
  <c r="Z149" i="1"/>
  <c r="AC137" i="1"/>
  <c r="AG137" i="1"/>
  <c r="AJ137" i="1"/>
  <c r="K126" i="1"/>
  <c r="AX126" i="1"/>
  <c r="BC124" i="1"/>
  <c r="AV124" i="1"/>
  <c r="AH102" i="1"/>
  <c r="Z102" i="1"/>
  <c r="AB100" i="1"/>
  <c r="AF100" i="1"/>
  <c r="J77" i="1"/>
  <c r="AW77" i="1"/>
  <c r="BH77" i="1"/>
  <c r="AB59" i="1"/>
  <c r="AF59" i="1"/>
  <c r="AG259" i="1"/>
  <c r="AF252" i="1"/>
  <c r="AG250" i="1"/>
  <c r="AF244" i="1"/>
  <c r="AG242" i="1"/>
  <c r="AG235" i="1"/>
  <c r="AG230" i="1"/>
  <c r="AG227" i="1"/>
  <c r="AK221" i="1"/>
  <c r="AF221" i="1"/>
  <c r="AF218" i="1"/>
  <c r="AG216" i="1"/>
  <c r="BI208" i="1"/>
  <c r="AJ208" i="1"/>
  <c r="Z206" i="1"/>
  <c r="BC204" i="1"/>
  <c r="BH202" i="1"/>
  <c r="AW202" i="1"/>
  <c r="AJ202" i="1"/>
  <c r="AK202" i="1"/>
  <c r="BH200" i="1"/>
  <c r="AX200" i="1"/>
  <c r="AK200" i="1"/>
  <c r="AL200" i="1"/>
  <c r="K197" i="1"/>
  <c r="AX197" i="1"/>
  <c r="BC197" i="1" s="1"/>
  <c r="J187" i="1"/>
  <c r="AW187" i="1"/>
  <c r="AD187" i="1"/>
  <c r="BI185" i="1"/>
  <c r="AH183" i="1"/>
  <c r="Z183" i="1"/>
  <c r="L182" i="1"/>
  <c r="AV180" i="1"/>
  <c r="AE174" i="1"/>
  <c r="BI171" i="1"/>
  <c r="AH169" i="1"/>
  <c r="Z169" i="1"/>
  <c r="AL167" i="1"/>
  <c r="BI165" i="1"/>
  <c r="AJ165" i="1"/>
  <c r="Z163" i="1"/>
  <c r="BH159" i="1"/>
  <c r="AW159" i="1"/>
  <c r="AJ159" i="1"/>
  <c r="AK159" i="1"/>
  <c r="BH157" i="1"/>
  <c r="AL155" i="1"/>
  <c r="AD155" i="1"/>
  <c r="J145" i="1"/>
  <c r="AW145" i="1"/>
  <c r="BH145" i="1"/>
  <c r="BI143" i="1"/>
  <c r="AB139" i="1"/>
  <c r="AF139" i="1"/>
  <c r="J128" i="1"/>
  <c r="AW128" i="1"/>
  <c r="BH128" i="1"/>
  <c r="BI126" i="1"/>
  <c r="AB122" i="1"/>
  <c r="AF122" i="1"/>
  <c r="AB106" i="1"/>
  <c r="AF106" i="1"/>
  <c r="AD106" i="1"/>
  <c r="K106" i="1"/>
  <c r="BI106" i="1"/>
  <c r="K104" i="1"/>
  <c r="AX104" i="1"/>
  <c r="BI104" i="1"/>
  <c r="AC92" i="1"/>
  <c r="AG92" i="1"/>
  <c r="AC86" i="1"/>
  <c r="AG86" i="1"/>
  <c r="AC84" i="1"/>
  <c r="AG84" i="1"/>
  <c r="AE84" i="1"/>
  <c r="K32" i="1"/>
  <c r="AX32" i="1"/>
  <c r="BI32" i="1"/>
  <c r="AH153" i="1"/>
  <c r="K151" i="1"/>
  <c r="AX151" i="1"/>
  <c r="Z151" i="1"/>
  <c r="K135" i="1"/>
  <c r="AX135" i="1"/>
  <c r="Z135" i="1"/>
  <c r="K118" i="1"/>
  <c r="AX118" i="1"/>
  <c r="Z118" i="1"/>
  <c r="AH113" i="1"/>
  <c r="Z113" i="1"/>
  <c r="L112" i="1"/>
  <c r="AH110" i="1"/>
  <c r="Z110" i="1"/>
  <c r="J106" i="1"/>
  <c r="AW106" i="1"/>
  <c r="AJ100" i="1"/>
  <c r="AK100" i="1"/>
  <c r="AK98" i="1"/>
  <c r="AL98" i="1"/>
  <c r="AC90" i="1"/>
  <c r="J86" i="1"/>
  <c r="AW86" i="1"/>
  <c r="BH86" i="1"/>
  <c r="J67" i="1"/>
  <c r="AW67" i="1"/>
  <c r="BH67" i="1"/>
  <c r="J65" i="1"/>
  <c r="AW65" i="1"/>
  <c r="BH65" i="1"/>
  <c r="AV61" i="1"/>
  <c r="J32" i="1"/>
  <c r="AW32" i="1"/>
  <c r="BH32" i="1"/>
  <c r="AC30" i="1"/>
  <c r="AG30" i="1"/>
  <c r="AE30" i="1"/>
  <c r="BI153" i="1"/>
  <c r="BI151" i="1"/>
  <c r="AJ147" i="1"/>
  <c r="AK147" i="1"/>
  <c r="AK145" i="1"/>
  <c r="AL145" i="1"/>
  <c r="AH141" i="1"/>
  <c r="Z141" i="1"/>
  <c r="J137" i="1"/>
  <c r="AW137" i="1"/>
  <c r="BI135" i="1"/>
  <c r="AJ130" i="1"/>
  <c r="AK130" i="1"/>
  <c r="AK128" i="1"/>
  <c r="AL128" i="1"/>
  <c r="AH124" i="1"/>
  <c r="Z124" i="1"/>
  <c r="J120" i="1"/>
  <c r="AW120" i="1"/>
  <c r="BI118" i="1"/>
  <c r="K115" i="1"/>
  <c r="K112" i="1" s="1"/>
  <c r="AX115" i="1"/>
  <c r="Z115" i="1"/>
  <c r="K96" i="1"/>
  <c r="AX96" i="1"/>
  <c r="Z96" i="1"/>
  <c r="AW92" i="1"/>
  <c r="J92" i="1"/>
  <c r="K75" i="1"/>
  <c r="AX75" i="1"/>
  <c r="BI75" i="1"/>
  <c r="AC73" i="1"/>
  <c r="AG73" i="1"/>
  <c r="AE73" i="1"/>
  <c r="AK42" i="1"/>
  <c r="AJ42" i="1"/>
  <c r="AL42" i="1"/>
  <c r="K90" i="1"/>
  <c r="AJ88" i="1"/>
  <c r="AK88" i="1"/>
  <c r="AX86" i="1"/>
  <c r="AK86" i="1"/>
  <c r="AL86" i="1"/>
  <c r="K84" i="1"/>
  <c r="AX84" i="1"/>
  <c r="AH79" i="1"/>
  <c r="Z79" i="1"/>
  <c r="K63" i="1"/>
  <c r="AX63" i="1"/>
  <c r="AB57" i="1"/>
  <c r="AF57" i="1"/>
  <c r="AD57" i="1"/>
  <c r="K57" i="1"/>
  <c r="BI57" i="1"/>
  <c r="K55" i="1"/>
  <c r="AX55" i="1"/>
  <c r="BI55" i="1"/>
  <c r="AC47" i="1"/>
  <c r="AG47" i="1"/>
  <c r="Z44" i="1"/>
  <c r="AH44" i="1"/>
  <c r="AW36" i="1"/>
  <c r="BH36" i="1"/>
  <c r="AB94" i="1"/>
  <c r="AF94" i="1"/>
  <c r="AH90" i="1"/>
  <c r="Z90" i="1"/>
  <c r="BC79" i="1"/>
  <c r="AJ77" i="1"/>
  <c r="AK77" i="1"/>
  <c r="AK75" i="1"/>
  <c r="AL75" i="1"/>
  <c r="K73" i="1"/>
  <c r="AX73" i="1"/>
  <c r="AC71" i="1"/>
  <c r="AG71" i="1"/>
  <c r="AE71" i="1"/>
  <c r="K65" i="1"/>
  <c r="AX65" i="1"/>
  <c r="BI65" i="1"/>
  <c r="AJ59" i="1"/>
  <c r="AK59" i="1"/>
  <c r="AL59" i="1"/>
  <c r="AK57" i="1"/>
  <c r="AL57" i="1"/>
  <c r="AJ57" i="1"/>
  <c r="AJ50" i="1"/>
  <c r="AK50" i="1"/>
  <c r="AG42" i="1"/>
  <c r="AC42" i="1"/>
  <c r="K27" i="1"/>
  <c r="AX27" i="1"/>
  <c r="BI27" i="1"/>
  <c r="AC21" i="1"/>
  <c r="AG21" i="1"/>
  <c r="AB73" i="1"/>
  <c r="AF73" i="1"/>
  <c r="AH69" i="1"/>
  <c r="Z69" i="1"/>
  <c r="J57" i="1"/>
  <c r="AW57" i="1"/>
  <c r="AH25" i="1"/>
  <c r="Z25" i="1"/>
  <c r="AB23" i="1"/>
  <c r="AF23" i="1"/>
  <c r="AC19" i="1"/>
  <c r="AG19" i="1"/>
  <c r="AE19" i="1"/>
  <c r="K16" i="1"/>
  <c r="K15" i="1" s="1"/>
  <c r="AX16" i="1"/>
  <c r="BI16" i="1"/>
  <c r="J13" i="1"/>
  <c r="J12" i="1" s="1"/>
  <c r="AW13" i="1"/>
  <c r="BH13" i="1"/>
  <c r="AW73" i="1"/>
  <c r="K71" i="1"/>
  <c r="AX71" i="1"/>
  <c r="Z71" i="1"/>
  <c r="AJ67" i="1"/>
  <c r="AK67" i="1"/>
  <c r="AK65" i="1"/>
  <c r="AL65" i="1"/>
  <c r="AH61" i="1"/>
  <c r="Z61" i="1"/>
  <c r="AB42" i="1"/>
  <c r="AF42" i="1"/>
  <c r="AF40" i="1"/>
  <c r="AB40" i="1"/>
  <c r="AJ40" i="1"/>
  <c r="AH36" i="1"/>
  <c r="AX34" i="1"/>
  <c r="BI34" i="1"/>
  <c r="K30" i="1"/>
  <c r="AX30" i="1"/>
  <c r="Z27" i="1"/>
  <c r="J21" i="1"/>
  <c r="AW21" i="1"/>
  <c r="BH21" i="1"/>
  <c r="J16" i="1"/>
  <c r="J15" i="1" s="1"/>
  <c r="AW16" i="1"/>
  <c r="BH16" i="1"/>
  <c r="AH40" i="1"/>
  <c r="K38" i="1"/>
  <c r="J18" i="1"/>
  <c r="AJ23" i="1"/>
  <c r="AK23" i="1"/>
  <c r="AK21" i="1"/>
  <c r="AL21" i="1"/>
  <c r="K47" i="1"/>
  <c r="BH44" i="1"/>
  <c r="BI40" i="1"/>
  <c r="AB34" i="1"/>
  <c r="AK32" i="1"/>
  <c r="AL32" i="1"/>
  <c r="K19" i="1"/>
  <c r="AX19" i="1"/>
  <c r="Z19" i="1"/>
  <c r="L18" i="1"/>
  <c r="L15" i="1"/>
  <c r="AK16" i="1"/>
  <c r="AT15" i="1" s="1"/>
  <c r="AL16" i="1"/>
  <c r="AU15" i="1" s="1"/>
  <c r="AJ13" i="1"/>
  <c r="AS12" i="1" s="1"/>
  <c r="L12" i="1"/>
  <c r="AK13" i="1"/>
  <c r="AT12" i="1" s="1"/>
  <c r="BC82" i="1" l="1"/>
  <c r="AC254" i="1"/>
  <c r="AB242" i="1"/>
  <c r="AV223" i="1"/>
  <c r="AV52" i="1"/>
  <c r="AC13" i="1"/>
  <c r="AV161" i="1"/>
  <c r="AV102" i="1"/>
  <c r="BC69" i="1"/>
  <c r="AB233" i="1"/>
  <c r="BC44" i="1"/>
  <c r="BC210" i="1"/>
  <c r="AV100" i="1"/>
  <c r="AE230" i="1"/>
  <c r="BC240" i="1"/>
  <c r="AV59" i="1"/>
  <c r="AC238" i="1"/>
  <c r="AB259" i="1"/>
  <c r="AV246" i="1"/>
  <c r="BC90" i="1"/>
  <c r="AC248" i="1"/>
  <c r="BC23" i="1"/>
  <c r="AV194" i="1"/>
  <c r="K237" i="1"/>
  <c r="AC246" i="1"/>
  <c r="AE227" i="1"/>
  <c r="BC233" i="1"/>
  <c r="AC240" i="1"/>
  <c r="BC139" i="1"/>
  <c r="AB240" i="1"/>
  <c r="AV210" i="1"/>
  <c r="AV23" i="1"/>
  <c r="AV214" i="1"/>
  <c r="AV238" i="1"/>
  <c r="AV25" i="1"/>
  <c r="BC34" i="1"/>
  <c r="AV183" i="1"/>
  <c r="BC122" i="1"/>
  <c r="AS237" i="1"/>
  <c r="AV167" i="1"/>
  <c r="BC100" i="1"/>
  <c r="BC47" i="1"/>
  <c r="AV34" i="1"/>
  <c r="AV139" i="1"/>
  <c r="AD221" i="1"/>
  <c r="AE216" i="1"/>
  <c r="AV122" i="1"/>
  <c r="J182" i="1"/>
  <c r="AD210" i="1"/>
  <c r="AV155" i="1"/>
  <c r="AV42" i="1"/>
  <c r="AV110" i="1"/>
  <c r="BC42" i="1"/>
  <c r="BC155" i="1"/>
  <c r="K220" i="1"/>
  <c r="J112" i="1"/>
  <c r="AE218" i="1"/>
  <c r="AV40" i="1"/>
  <c r="K182" i="1"/>
  <c r="J220" i="1"/>
  <c r="AB246" i="1"/>
  <c r="BC52" i="1"/>
  <c r="BC110" i="1"/>
  <c r="AU81" i="1"/>
  <c r="J237" i="1"/>
  <c r="AV225" i="1"/>
  <c r="AD223" i="1"/>
  <c r="AV197" i="1"/>
  <c r="AE190" i="1"/>
  <c r="J173" i="1"/>
  <c r="BC163" i="1"/>
  <c r="AV153" i="1"/>
  <c r="AE90" i="1"/>
  <c r="BC50" i="1"/>
  <c r="AU29" i="1"/>
  <c r="AT29" i="1"/>
  <c r="AD235" i="1"/>
  <c r="AB235" i="1"/>
  <c r="AU112" i="1"/>
  <c r="AV50" i="1"/>
  <c r="AE233" i="1"/>
  <c r="AC233" i="1"/>
  <c r="AE256" i="1"/>
  <c r="AG256" i="1"/>
  <c r="AC256" i="1"/>
  <c r="AD256" i="1"/>
  <c r="AB256" i="1"/>
  <c r="AF256" i="1"/>
  <c r="AD248" i="1"/>
  <c r="AB248" i="1"/>
  <c r="AF248" i="1"/>
  <c r="AV242" i="1"/>
  <c r="AD230" i="1"/>
  <c r="AF230" i="1"/>
  <c r="AB230" i="1"/>
  <c r="BC227" i="1"/>
  <c r="AU220" i="1"/>
  <c r="AS189" i="1"/>
  <c r="BC206" i="1"/>
  <c r="AE204" i="1"/>
  <c r="AC204" i="1"/>
  <c r="AG204" i="1"/>
  <c r="AT182" i="1"/>
  <c r="BC185" i="1"/>
  <c r="AT173" i="1"/>
  <c r="AE169" i="1"/>
  <c r="AC169" i="1"/>
  <c r="AG169" i="1"/>
  <c r="AV169" i="1"/>
  <c r="AD163" i="1"/>
  <c r="AF163" i="1"/>
  <c r="AB163" i="1"/>
  <c r="BC149" i="1"/>
  <c r="AV149" i="1"/>
  <c r="AD149" i="1"/>
  <c r="AB149" i="1"/>
  <c r="AF149" i="1"/>
  <c r="AE141" i="1"/>
  <c r="AC141" i="1"/>
  <c r="AG141" i="1"/>
  <c r="AD141" i="1"/>
  <c r="AB141" i="1"/>
  <c r="AF141" i="1"/>
  <c r="AS117" i="1"/>
  <c r="AE133" i="1"/>
  <c r="AG133" i="1"/>
  <c r="AC133" i="1"/>
  <c r="AV133" i="1"/>
  <c r="AT117" i="1"/>
  <c r="AD124" i="1"/>
  <c r="AF124" i="1"/>
  <c r="AB124" i="1"/>
  <c r="AE122" i="1"/>
  <c r="AG122" i="1"/>
  <c r="AC122" i="1"/>
  <c r="J117" i="1"/>
  <c r="AD113" i="1"/>
  <c r="AB113" i="1"/>
  <c r="AF113" i="1"/>
  <c r="AE113" i="1"/>
  <c r="AC113" i="1"/>
  <c r="AG113" i="1"/>
  <c r="BC113" i="1"/>
  <c r="AV113" i="1"/>
  <c r="AT81" i="1"/>
  <c r="BC94" i="1"/>
  <c r="AV94" i="1"/>
  <c r="AC94" i="1"/>
  <c r="AE94" i="1"/>
  <c r="AG94" i="1"/>
  <c r="AS81" i="1"/>
  <c r="J81" i="1"/>
  <c r="K81" i="1"/>
  <c r="AE79" i="1"/>
  <c r="AG79" i="1"/>
  <c r="AC79" i="1"/>
  <c r="AE77" i="1"/>
  <c r="AG77" i="1"/>
  <c r="AC77" i="1"/>
  <c r="AD71" i="1"/>
  <c r="AF71" i="1"/>
  <c r="AB71" i="1"/>
  <c r="J49" i="1"/>
  <c r="AE61" i="1"/>
  <c r="AC61" i="1"/>
  <c r="AG61" i="1"/>
  <c r="BC59" i="1"/>
  <c r="AU49" i="1"/>
  <c r="AE59" i="1"/>
  <c r="AG59" i="1"/>
  <c r="AC59" i="1"/>
  <c r="K49" i="1"/>
  <c r="AD55" i="1"/>
  <c r="AB55" i="1"/>
  <c r="AF55" i="1"/>
  <c r="AE50" i="1"/>
  <c r="AG50" i="1"/>
  <c r="AC50" i="1"/>
  <c r="AS29" i="1"/>
  <c r="AG38" i="1"/>
  <c r="AE38" i="1"/>
  <c r="AC38" i="1"/>
  <c r="AF34" i="1"/>
  <c r="J29" i="1"/>
  <c r="AU18" i="1"/>
  <c r="K18" i="1"/>
  <c r="AD25" i="1"/>
  <c r="AF25" i="1"/>
  <c r="AB25" i="1"/>
  <c r="AS18" i="1"/>
  <c r="AT18" i="1"/>
  <c r="L264" i="1"/>
  <c r="AV19" i="1"/>
  <c r="BC19" i="1"/>
  <c r="BC13" i="1"/>
  <c r="AV13" i="1"/>
  <c r="AT49" i="1"/>
  <c r="AC57" i="1"/>
  <c r="AG57" i="1"/>
  <c r="AE57" i="1"/>
  <c r="BC135" i="1"/>
  <c r="AV135" i="1"/>
  <c r="AV200" i="1"/>
  <c r="BC200" i="1"/>
  <c r="AV75" i="1"/>
  <c r="BC75" i="1"/>
  <c r="AB178" i="1"/>
  <c r="AF178" i="1"/>
  <c r="AD178" i="1"/>
  <c r="AV208" i="1"/>
  <c r="BC208" i="1"/>
  <c r="AV252" i="1"/>
  <c r="BC252" i="1"/>
  <c r="AV143" i="1"/>
  <c r="BC143" i="1"/>
  <c r="AU237" i="1"/>
  <c r="AV230" i="1"/>
  <c r="AF44" i="1"/>
  <c r="AB44" i="1"/>
  <c r="AD44" i="1"/>
  <c r="AC65" i="1"/>
  <c r="AG65" i="1"/>
  <c r="AE65" i="1"/>
  <c r="AD36" i="1"/>
  <c r="AF36" i="1"/>
  <c r="AB36" i="1"/>
  <c r="AV63" i="1"/>
  <c r="BC63" i="1"/>
  <c r="AC135" i="1"/>
  <c r="AG135" i="1"/>
  <c r="AE135" i="1"/>
  <c r="BC118" i="1"/>
  <c r="AV118" i="1"/>
  <c r="AB145" i="1"/>
  <c r="AF145" i="1"/>
  <c r="AD145" i="1"/>
  <c r="BC159" i="1"/>
  <c r="AV159" i="1"/>
  <c r="AV187" i="1"/>
  <c r="BC187" i="1"/>
  <c r="BC88" i="1"/>
  <c r="AV88" i="1"/>
  <c r="AB130" i="1"/>
  <c r="AF130" i="1"/>
  <c r="AD130" i="1"/>
  <c r="AV174" i="1"/>
  <c r="BC174" i="1"/>
  <c r="AT189" i="1"/>
  <c r="AV244" i="1"/>
  <c r="BC244" i="1"/>
  <c r="BC250" i="1"/>
  <c r="AV250" i="1"/>
  <c r="BC171" i="1"/>
  <c r="AV171" i="1"/>
  <c r="AV190" i="1"/>
  <c r="BC190" i="1"/>
  <c r="AB16" i="1"/>
  <c r="AF16" i="1"/>
  <c r="AD16" i="1"/>
  <c r="AV21" i="1"/>
  <c r="BC21" i="1"/>
  <c r="AV30" i="1"/>
  <c r="BC30" i="1"/>
  <c r="AV73" i="1"/>
  <c r="BC73" i="1"/>
  <c r="AC16" i="1"/>
  <c r="AG16" i="1"/>
  <c r="AE16" i="1"/>
  <c r="AV57" i="1"/>
  <c r="BC57" i="1"/>
  <c r="BC36" i="1"/>
  <c r="AV36" i="1"/>
  <c r="BC55" i="1"/>
  <c r="AV55" i="1"/>
  <c r="AV96" i="1"/>
  <c r="BC96" i="1"/>
  <c r="AV115" i="1"/>
  <c r="BC115" i="1"/>
  <c r="AV137" i="1"/>
  <c r="BC137" i="1"/>
  <c r="AC151" i="1"/>
  <c r="AG151" i="1"/>
  <c r="AE151" i="1"/>
  <c r="AV32" i="1"/>
  <c r="BC32" i="1"/>
  <c r="AB65" i="1"/>
  <c r="AF65" i="1"/>
  <c r="AD65" i="1"/>
  <c r="BC67" i="1"/>
  <c r="AV67" i="1"/>
  <c r="AV86" i="1"/>
  <c r="BC86" i="1"/>
  <c r="AV106" i="1"/>
  <c r="BC106" i="1"/>
  <c r="K117" i="1"/>
  <c r="AC32" i="1"/>
  <c r="AG32" i="1"/>
  <c r="AE32" i="1"/>
  <c r="AC104" i="1"/>
  <c r="AG104" i="1"/>
  <c r="AE104" i="1"/>
  <c r="AV145" i="1"/>
  <c r="BC145" i="1"/>
  <c r="AF157" i="1"/>
  <c r="AB157" i="1"/>
  <c r="AD157" i="1"/>
  <c r="AB159" i="1"/>
  <c r="AF159" i="1"/>
  <c r="AD159" i="1"/>
  <c r="AC165" i="1"/>
  <c r="AG165" i="1"/>
  <c r="AE165" i="1"/>
  <c r="AC171" i="1"/>
  <c r="AG171" i="1"/>
  <c r="AE171" i="1"/>
  <c r="BC202" i="1"/>
  <c r="AV202" i="1"/>
  <c r="AB77" i="1"/>
  <c r="AF77" i="1"/>
  <c r="AD77" i="1"/>
  <c r="AB98" i="1"/>
  <c r="AF98" i="1"/>
  <c r="AD98" i="1"/>
  <c r="AB108" i="1"/>
  <c r="AF108" i="1"/>
  <c r="AD108" i="1"/>
  <c r="AC128" i="1"/>
  <c r="AG128" i="1"/>
  <c r="AE128" i="1"/>
  <c r="BC130" i="1"/>
  <c r="AV130" i="1"/>
  <c r="AC145" i="1"/>
  <c r="AG145" i="1"/>
  <c r="AE145" i="1"/>
  <c r="BC147" i="1"/>
  <c r="AV147" i="1"/>
  <c r="AE157" i="1"/>
  <c r="AG157" i="1"/>
  <c r="AC157" i="1"/>
  <c r="K173" i="1"/>
  <c r="BC192" i="1"/>
  <c r="AV192" i="1"/>
  <c r="AC200" i="1"/>
  <c r="AG200" i="1"/>
  <c r="AE200" i="1"/>
  <c r="AC206" i="1"/>
  <c r="AG206" i="1"/>
  <c r="AE206" i="1"/>
  <c r="AV218" i="1"/>
  <c r="BC218" i="1"/>
  <c r="AV221" i="1"/>
  <c r="BC221" i="1"/>
  <c r="AV235" i="1"/>
  <c r="BC235" i="1"/>
  <c r="BC259" i="1"/>
  <c r="AV259" i="1"/>
  <c r="J189" i="1"/>
  <c r="AV216" i="1"/>
  <c r="AC40" i="1"/>
  <c r="AG40" i="1"/>
  <c r="AE40" i="1"/>
  <c r="AE34" i="1"/>
  <c r="AG34" i="1"/>
  <c r="AC34" i="1"/>
  <c r="AV71" i="1"/>
  <c r="BC71" i="1"/>
  <c r="BC27" i="1"/>
  <c r="AV27" i="1"/>
  <c r="AV92" i="1"/>
  <c r="BC92" i="1"/>
  <c r="AC118" i="1"/>
  <c r="AG118" i="1"/>
  <c r="AE118" i="1"/>
  <c r="AB128" i="1"/>
  <c r="AF128" i="1"/>
  <c r="AD128" i="1"/>
  <c r="AC143" i="1"/>
  <c r="AG143" i="1"/>
  <c r="AE143" i="1"/>
  <c r="BC212" i="1"/>
  <c r="AV212" i="1"/>
  <c r="AB88" i="1"/>
  <c r="AF88" i="1"/>
  <c r="AD88" i="1"/>
  <c r="AU189" i="1"/>
  <c r="AB21" i="1"/>
  <c r="AF21" i="1"/>
  <c r="AD21" i="1"/>
  <c r="AS49" i="1"/>
  <c r="AC55" i="1"/>
  <c r="AG55" i="1"/>
  <c r="AE55" i="1"/>
  <c r="AV120" i="1"/>
  <c r="BC120" i="1"/>
  <c r="AB32" i="1"/>
  <c r="AF32" i="1"/>
  <c r="AD32" i="1"/>
  <c r="AB67" i="1"/>
  <c r="AF67" i="1"/>
  <c r="AD67" i="1"/>
  <c r="AB86" i="1"/>
  <c r="AF86" i="1"/>
  <c r="AD86" i="1"/>
  <c r="AC106" i="1"/>
  <c r="AG106" i="1"/>
  <c r="AE106" i="1"/>
  <c r="AV128" i="1"/>
  <c r="BC128" i="1"/>
  <c r="AB147" i="1"/>
  <c r="AF147" i="1"/>
  <c r="AD147" i="1"/>
  <c r="AV16" i="1"/>
  <c r="BC16" i="1"/>
  <c r="K29" i="1"/>
  <c r="AB13" i="1"/>
  <c r="AF13" i="1"/>
  <c r="AD13" i="1"/>
  <c r="AC27" i="1"/>
  <c r="AG27" i="1"/>
  <c r="AE27" i="1"/>
  <c r="AV84" i="1"/>
  <c r="BC84" i="1"/>
  <c r="AC75" i="1"/>
  <c r="AG75" i="1"/>
  <c r="AE75" i="1"/>
  <c r="AC153" i="1"/>
  <c r="AG153" i="1"/>
  <c r="AE153" i="1"/>
  <c r="AV65" i="1"/>
  <c r="BC65" i="1"/>
  <c r="BC151" i="1"/>
  <c r="AV151" i="1"/>
  <c r="BC104" i="1"/>
  <c r="AV104" i="1"/>
  <c r="AC126" i="1"/>
  <c r="AG126" i="1"/>
  <c r="AE126" i="1"/>
  <c r="AC185" i="1"/>
  <c r="AG185" i="1"/>
  <c r="AE185" i="1"/>
  <c r="K189" i="1"/>
  <c r="AB200" i="1"/>
  <c r="AF200" i="1"/>
  <c r="AD200" i="1"/>
  <c r="AB202" i="1"/>
  <c r="AF202" i="1"/>
  <c r="AD202" i="1"/>
  <c r="AC208" i="1"/>
  <c r="AG208" i="1"/>
  <c r="AE208" i="1"/>
  <c r="AT220" i="1"/>
  <c r="BC77" i="1"/>
  <c r="AV77" i="1"/>
  <c r="AV126" i="1"/>
  <c r="BC126" i="1"/>
  <c r="AB75" i="1"/>
  <c r="AF75" i="1"/>
  <c r="AD75" i="1"/>
  <c r="AU117" i="1"/>
  <c r="AV176" i="1"/>
  <c r="BC176" i="1"/>
  <c r="AV98" i="1"/>
  <c r="BC98" i="1"/>
  <c r="BC108" i="1"/>
  <c r="AV108" i="1"/>
  <c r="AV165" i="1"/>
  <c r="BC165" i="1"/>
  <c r="BC178" i="1"/>
  <c r="AV178" i="1"/>
  <c r="AB190" i="1"/>
  <c r="AF190" i="1"/>
  <c r="AD190" i="1"/>
  <c r="AB192" i="1"/>
  <c r="AF192" i="1"/>
  <c r="AD192" i="1"/>
  <c r="AT237" i="1"/>
</calcChain>
</file>

<file path=xl/sharedStrings.xml><?xml version="1.0" encoding="utf-8"?>
<sst xmlns="http://schemas.openxmlformats.org/spreadsheetml/2006/main" count="1566" uniqueCount="488">
  <si>
    <t>Montáž přechodu plechového kruhového do d 200 mm</t>
  </si>
  <si>
    <t>92</t>
  </si>
  <si>
    <t>Doba výstavby:</t>
  </si>
  <si>
    <t>67</t>
  </si>
  <si>
    <t>Obklad vnitřní stěn keramický, do tmele, 15x15 cm</t>
  </si>
  <si>
    <t>346244361R00</t>
  </si>
  <si>
    <t>103</t>
  </si>
  <si>
    <t>14,5</t>
  </si>
  <si>
    <t>726_</t>
  </si>
  <si>
    <t>10,5+8,5</t>
  </si>
  <si>
    <t>735156260R00</t>
  </si>
  <si>
    <t>781419711R00</t>
  </si>
  <si>
    <t>0,0225*(0,15+0,3)+0,15*0,15*6,5+0,05*0,15*1,8</t>
  </si>
  <si>
    <t>725014131R00</t>
  </si>
  <si>
    <t>735151822R00</t>
  </si>
  <si>
    <t>974042534R00</t>
  </si>
  <si>
    <t>733178132R00</t>
  </si>
  <si>
    <t>91</t>
  </si>
  <si>
    <t>2*4+2</t>
  </si>
  <si>
    <t>87</t>
  </si>
  <si>
    <t>Ventil termostatický, přímý, IVAR.VD DN 15</t>
  </si>
  <si>
    <t>20</t>
  </si>
  <si>
    <t>721176135R00</t>
  </si>
  <si>
    <t>PROMASTOP®-U požárně ochranná manžeta 110 mm</t>
  </si>
  <si>
    <t>Dodávka</t>
  </si>
  <si>
    <t>721194105R00</t>
  </si>
  <si>
    <t>Vyvedení odpadních výpustek D 110 x 2,3</t>
  </si>
  <si>
    <t>3_</t>
  </si>
  <si>
    <t>4298150101</t>
  </si>
  <si>
    <t>42981292</t>
  </si>
  <si>
    <t>429104</t>
  </si>
  <si>
    <t>Jabloňová 28</t>
  </si>
  <si>
    <t>72_</t>
  </si>
  <si>
    <t>Ventilátor axiální do koupelny VENTS 125SL</t>
  </si>
  <si>
    <t>726</t>
  </si>
  <si>
    <t>Název stavby:</t>
  </si>
  <si>
    <t>48</t>
  </si>
  <si>
    <t>Dřez nerez nástavný odkap. 780x430 mm hloubka 150 mm</t>
  </si>
  <si>
    <t>29</t>
  </si>
  <si>
    <t>Zaměření a kontrola skutečného stavu potrubních rozvodů</t>
  </si>
  <si>
    <t>Č</t>
  </si>
  <si>
    <t>Poznámka:</t>
  </si>
  <si>
    <t>Lokalita:</t>
  </si>
  <si>
    <t>79</t>
  </si>
  <si>
    <t>71</t>
  </si>
  <si>
    <t>16</t>
  </si>
  <si>
    <t>24</t>
  </si>
  <si>
    <t>Otopná tělesa panelová Radik Klasik 22  600/1200</t>
  </si>
  <si>
    <t>722191111R00</t>
  </si>
  <si>
    <t>733_</t>
  </si>
  <si>
    <t>Celkem</t>
  </si>
  <si>
    <t>Odsekání obkladů vnitřních</t>
  </si>
  <si>
    <t>728212311R00</t>
  </si>
  <si>
    <t>Malý radiální ventilátor, průtok 30/50/80 m3/h</t>
  </si>
  <si>
    <t>42981281</t>
  </si>
  <si>
    <t>Baterie dřezová nástěnná ruční</t>
  </si>
  <si>
    <t>4</t>
  </si>
  <si>
    <t>97</t>
  </si>
  <si>
    <t>121</t>
  </si>
  <si>
    <t>94</t>
  </si>
  <si>
    <t>Izolace návleková tl. stěny 13 mm vnitřní průměr 25 mm</t>
  </si>
  <si>
    <t>60</t>
  </si>
  <si>
    <t>nátěr</t>
  </si>
  <si>
    <t>26</t>
  </si>
  <si>
    <t>Potrubí vícevrstvé IVAR.ALPEX-TURATEC, D 16 x 2 mm</t>
  </si>
  <si>
    <t>Montáž protidešť. žaluzie kruhové do d 300 mm</t>
  </si>
  <si>
    <t>Přechod osový SPIRO d 150/125</t>
  </si>
  <si>
    <t>Ventil rohový s filtrem DN 15 x DN 15</t>
  </si>
  <si>
    <t>122</t>
  </si>
  <si>
    <t>Hadice ohebná Semivac 80/1, délka 1 m</t>
  </si>
  <si>
    <t>Šroubení regulační, přímé, IVAR.DD 301 DN 15</t>
  </si>
  <si>
    <t>721_</t>
  </si>
  <si>
    <t>Sifon umyvadlový chromovaný</t>
  </si>
  <si>
    <t>722202221R00</t>
  </si>
  <si>
    <t>722290234R00</t>
  </si>
  <si>
    <t>6</t>
  </si>
  <si>
    <t>68</t>
  </si>
  <si>
    <t>735158220R00</t>
  </si>
  <si>
    <t>Montáž potrubí plechového kruhového do d 200 mm</t>
  </si>
  <si>
    <t>735890801R00</t>
  </si>
  <si>
    <t>Baterie umyvadlová stoján. ruční, bez otvír.odpadu</t>
  </si>
  <si>
    <t>119</t>
  </si>
  <si>
    <t>Napuštění vody do otopného systému - bez kotle</t>
  </si>
  <si>
    <t>42</t>
  </si>
  <si>
    <t>Vypuštění vody z otopných těles</t>
  </si>
  <si>
    <t>82</t>
  </si>
  <si>
    <t>429822002</t>
  </si>
  <si>
    <t>Montáž</t>
  </si>
  <si>
    <t>734_</t>
  </si>
  <si>
    <t>735191910R00</t>
  </si>
  <si>
    <t>721171803R00</t>
  </si>
  <si>
    <t>TV</t>
  </si>
  <si>
    <t>69</t>
  </si>
  <si>
    <t>6*0,15*0,0225+1*0,45*0,0225</t>
  </si>
  <si>
    <t>Vyklizení ulehlé suti z pl.do 15 m2/ hl. 2 m-ručně</t>
  </si>
  <si>
    <t>33</t>
  </si>
  <si>
    <t>Baterie umyvadlová nástěnná ruční s prodlouženým raménkem</t>
  </si>
  <si>
    <t>78</t>
  </si>
  <si>
    <t>120</t>
  </si>
  <si>
    <t>63</t>
  </si>
  <si>
    <t>725823111RT1</t>
  </si>
  <si>
    <t>974031155R00</t>
  </si>
  <si>
    <t>4298150100</t>
  </si>
  <si>
    <t>783_</t>
  </si>
  <si>
    <t>Stěny a příčky</t>
  </si>
  <si>
    <t>22,5</t>
  </si>
  <si>
    <t>Přechod kruhový osový VP 80/100 KPO</t>
  </si>
  <si>
    <t>8,15</t>
  </si>
  <si>
    <t>Potrubí závitové pozink.v kanálech TV 11343,DN 32</t>
  </si>
  <si>
    <t>721194109R00</t>
  </si>
  <si>
    <t>25</t>
  </si>
  <si>
    <t>kus</t>
  </si>
  <si>
    <t>735151821R00</t>
  </si>
  <si>
    <t>Izolace potrubí Mirelon PRO 110x13 mm šedočerná</t>
  </si>
  <si>
    <t>soustava</t>
  </si>
  <si>
    <t>Trouba Spiro d 125 délka 1000 mm pozinkovaná</t>
  </si>
  <si>
    <t>Ostatní mat.</t>
  </si>
  <si>
    <t>55231361.R01</t>
  </si>
  <si>
    <t>Cenová</t>
  </si>
  <si>
    <t>Mtž ventilátoru radiál.nízkotl.nástěn. do d 100 mm</t>
  </si>
  <si>
    <t>974031164R00</t>
  </si>
  <si>
    <t>Tlakové zkoušky panelových těles 2řadých</t>
  </si>
  <si>
    <t>SV</t>
  </si>
  <si>
    <t>HSV prac</t>
  </si>
  <si>
    <t>90_</t>
  </si>
  <si>
    <t>28375316</t>
  </si>
  <si>
    <t>734223122R00</t>
  </si>
  <si>
    <t>7,2</t>
  </si>
  <si>
    <t>13</t>
  </si>
  <si>
    <t>429101</t>
  </si>
  <si>
    <t>Vybourání otvorů cihly duté  0,0225 m2, tl. 15 cm</t>
  </si>
  <si>
    <t>Klozet závěsný ZTP + sedátko, bílý</t>
  </si>
  <si>
    <t>429823002</t>
  </si>
  <si>
    <t>97_</t>
  </si>
  <si>
    <t>735192923R00</t>
  </si>
  <si>
    <t>Cena/MJ</t>
  </si>
  <si>
    <t>Konec výstavby:</t>
  </si>
  <si>
    <t>Hodinové zúčtovací sazby (HZS)</t>
  </si>
  <si>
    <t>Kód</t>
  </si>
  <si>
    <t>43</t>
  </si>
  <si>
    <t>Příplatek za zhotovení přípojky DN 15</t>
  </si>
  <si>
    <t>728314121R00</t>
  </si>
  <si>
    <t>Vysekání rýh v podlaze betonové, 5x15 cm</t>
  </si>
  <si>
    <t>726211123R00</t>
  </si>
  <si>
    <t>soubor</t>
  </si>
  <si>
    <t>MJ</t>
  </si>
  <si>
    <t>Montáž talířového ventilu kruhového do d 200 mm</t>
  </si>
  <si>
    <t>45</t>
  </si>
  <si>
    <t>40</t>
  </si>
  <si>
    <t>Montáž přechodu plastového kruhového do d 100 mm</t>
  </si>
  <si>
    <t>Montáž požárně ochranné manžety hl. 60 mm, EI 90, D 110-125 mm</t>
  </si>
  <si>
    <t>9_</t>
  </si>
  <si>
    <t>725319101T00</t>
  </si>
  <si>
    <t>PSV prac</t>
  </si>
  <si>
    <t>733113113R00</t>
  </si>
  <si>
    <t>9</t>
  </si>
  <si>
    <t>728112112R00</t>
  </si>
  <si>
    <t>Kohout kulový rozebíratelný PP-R D 25</t>
  </si>
  <si>
    <t>104</t>
  </si>
  <si>
    <t>Zabetonování otvorů plochy do 0,25 m2 ve stropech a klenbách</t>
  </si>
  <si>
    <t>971038241R00</t>
  </si>
  <si>
    <t>15</t>
  </si>
  <si>
    <t>95</t>
  </si>
  <si>
    <t>ISWORK</t>
  </si>
  <si>
    <t>721176103R00</t>
  </si>
  <si>
    <t>722190405R00</t>
  </si>
  <si>
    <t>52</t>
  </si>
  <si>
    <t>118</t>
  </si>
  <si>
    <t>Montáž potrubí ohebného neizol. z AL do d 100 mm</t>
  </si>
  <si>
    <t>283771283</t>
  </si>
  <si>
    <t>26.09.2022</t>
  </si>
  <si>
    <t>51</t>
  </si>
  <si>
    <t>Mont prac</t>
  </si>
  <si>
    <t>Obklady (keramické)</t>
  </si>
  <si>
    <t>44</t>
  </si>
  <si>
    <t>979092111R00</t>
  </si>
  <si>
    <t>721176105R00</t>
  </si>
  <si>
    <t>78_</t>
  </si>
  <si>
    <t>h</t>
  </si>
  <si>
    <t>23</t>
  </si>
  <si>
    <t>Vyvedení a upevnění výpustek DN 50 mm</t>
  </si>
  <si>
    <t>733190106R00</t>
  </si>
  <si>
    <t>972054141R00</t>
  </si>
  <si>
    <t>725_</t>
  </si>
  <si>
    <t>781_</t>
  </si>
  <si>
    <t>722181243RT7</t>
  </si>
  <si>
    <t>59</t>
  </si>
  <si>
    <t>109</t>
  </si>
  <si>
    <t>t</t>
  </si>
  <si>
    <t>Ventil talířový odváděcí plastový bílý 125 mm</t>
  </si>
  <si>
    <t>D 110</t>
  </si>
  <si>
    <t>117</t>
  </si>
  <si>
    <t> </t>
  </si>
  <si>
    <t>728415112R00</t>
  </si>
  <si>
    <t>99</t>
  </si>
  <si>
    <t>Montáž mřížky větrací nebo ventilační do 0,10 m2</t>
  </si>
  <si>
    <t>107</t>
  </si>
  <si>
    <t>429003VD</t>
  </si>
  <si>
    <t>125</t>
  </si>
  <si>
    <t>55137306.A</t>
  </si>
  <si>
    <t>722202213R00</t>
  </si>
  <si>
    <t>JKSO:</t>
  </si>
  <si>
    <t>85</t>
  </si>
  <si>
    <t>64</t>
  </si>
  <si>
    <t>VZT</t>
  </si>
  <si>
    <t>Montáž odbočky plechové kruhové do d 100 mm</t>
  </si>
  <si>
    <t>722202432R00</t>
  </si>
  <si>
    <t>Ovládací tlačítko WC bílé</t>
  </si>
  <si>
    <t>Nástěnka PP-R D 20xR1/2</t>
  </si>
  <si>
    <t>429853228</t>
  </si>
  <si>
    <t>728614612R00</t>
  </si>
  <si>
    <t>77</t>
  </si>
  <si>
    <t>713182008R01</t>
  </si>
  <si>
    <t>728214211R00</t>
  </si>
  <si>
    <t>901      R00</t>
  </si>
  <si>
    <t>UT</t>
  </si>
  <si>
    <t>116</t>
  </si>
  <si>
    <t>GROUPCODE</t>
  </si>
  <si>
    <t>721170909R00</t>
  </si>
  <si>
    <t>Trouba Spiro d 160 délka 1000 mm pozinkovaná</t>
  </si>
  <si>
    <t>36+8</t>
  </si>
  <si>
    <t>5</t>
  </si>
  <si>
    <t>722190401R00</t>
  </si>
  <si>
    <t>725014141R00</t>
  </si>
  <si>
    <t>Druh stavby:</t>
  </si>
  <si>
    <t>725860251R00</t>
  </si>
  <si>
    <t>Penetrace podkladu pod obklady</t>
  </si>
  <si>
    <t>Tlaková zkouška potrubí  DN 32</t>
  </si>
  <si>
    <t>Přesun vybouraných hmot - kanalizace, H 6 - 12 m</t>
  </si>
  <si>
    <t>721290822R00</t>
  </si>
  <si>
    <t>96</t>
  </si>
  <si>
    <t>Modul-výlevka Duofix, h 130 cm</t>
  </si>
  <si>
    <t>Zpracováno dne:</t>
  </si>
  <si>
    <t>971038141R00</t>
  </si>
  <si>
    <t>735_</t>
  </si>
  <si>
    <t>728</t>
  </si>
  <si>
    <t>735000912R00</t>
  </si>
  <si>
    <t>Otopná tělesa panelová Radik Klasik 33  300/ 600</t>
  </si>
  <si>
    <t>783</t>
  </si>
  <si>
    <t>904      R02</t>
  </si>
  <si>
    <t>Izolace návleková tl. stěny 20 mm vnitřní průměr 22 mm</t>
  </si>
  <si>
    <t>Montáž oblouku plechového kruhového do d 100 mm</t>
  </si>
  <si>
    <t>Vysekání rýh ve zdi cihelné 10 x 20 cm</t>
  </si>
  <si>
    <t>735156667R00</t>
  </si>
  <si>
    <t>Potrubí z PPR, D 25x4,2 mm, PN 20, vč. zed. výpom.</t>
  </si>
  <si>
    <t>Zazdívka rýh, potrubí, kapes cihlami tl. 6,5 cm</t>
  </si>
  <si>
    <t>10</t>
  </si>
  <si>
    <t>58</t>
  </si>
  <si>
    <t>725814106R00</t>
  </si>
  <si>
    <t>36</t>
  </si>
  <si>
    <t>Vyvedení odpadních výpustek D 50 x 1,8</t>
  </si>
  <si>
    <t>14</t>
  </si>
  <si>
    <t>31</t>
  </si>
  <si>
    <t>Zařizovací předměty</t>
  </si>
  <si>
    <t>84</t>
  </si>
  <si>
    <t>735158210R00</t>
  </si>
  <si>
    <t>0,25</t>
  </si>
  <si>
    <t>7+5</t>
  </si>
  <si>
    <t>Nátěr syntetický radiátorů deskových 1x + 1x email</t>
  </si>
  <si>
    <t>Množství</t>
  </si>
  <si>
    <t>38</t>
  </si>
  <si>
    <t>595345855</t>
  </si>
  <si>
    <t>Mřížka dveřní plastová oboustranná sada 500 x 140 mm</t>
  </si>
  <si>
    <t>Vnitřní vodovod</t>
  </si>
  <si>
    <t>Typ skupiny</t>
  </si>
  <si>
    <t>73</t>
  </si>
  <si>
    <t>Topná zkouška</t>
  </si>
  <si>
    <t>728611611R00</t>
  </si>
  <si>
    <t>Komplet nástěnný PP-R D 20xR1/2</t>
  </si>
  <si>
    <t>5+2</t>
  </si>
  <si>
    <t>Vybourání otvorů zeď cihel. d=6 cm, tl. 15 cm, MVC</t>
  </si>
  <si>
    <t>12+10</t>
  </si>
  <si>
    <t>Přemístění demont. hmot - otop. těles, H do 6 m</t>
  </si>
  <si>
    <t>56</t>
  </si>
  <si>
    <t>722_</t>
  </si>
  <si>
    <t>19</t>
  </si>
  <si>
    <t>Klozet závěsný + sedátko, bílý</t>
  </si>
  <si>
    <t>Náklady (Kč)</t>
  </si>
  <si>
    <t>721</t>
  </si>
  <si>
    <t>Demontáž a zpět.montáž umyvadla s 1stoj.ventilem</t>
  </si>
  <si>
    <t>39</t>
  </si>
  <si>
    <t>30</t>
  </si>
  <si>
    <t>725210912R00</t>
  </si>
  <si>
    <t>722172332R00</t>
  </si>
  <si>
    <t>728413522R00</t>
  </si>
  <si>
    <t>Hadice ohebná Semivac 100/1, délka 1 m</t>
  </si>
  <si>
    <t>Armatury</t>
  </si>
  <si>
    <t>55</t>
  </si>
  <si>
    <t>Hadice flexibilní k baterii,DN 15 x M10,délka 0,4m</t>
  </si>
  <si>
    <t>Zpracoval:</t>
  </si>
  <si>
    <t>725860201R00</t>
  </si>
  <si>
    <t>Výlevka závěsná MIRA s plastovou mřížkou</t>
  </si>
  <si>
    <t>76</t>
  </si>
  <si>
    <t>722280107R00</t>
  </si>
  <si>
    <t>Demontáž potrubí z PVC do D 75 mm</t>
  </si>
  <si>
    <t>Sifon dřezový HL100, 6/4 ", přípoj myčka, pračka</t>
  </si>
  <si>
    <t>0,0468</t>
  </si>
  <si>
    <t>2</t>
  </si>
  <si>
    <t>Projektant:</t>
  </si>
  <si>
    <t/>
  </si>
  <si>
    <t>Trouba Spiro d 100 délka 1000 mm pozinkovaná</t>
  </si>
  <si>
    <t>17</t>
  </si>
  <si>
    <t>ks</t>
  </si>
  <si>
    <t>98</t>
  </si>
  <si>
    <t>112</t>
  </si>
  <si>
    <t>0,0084</t>
  </si>
  <si>
    <t>411387531T00</t>
  </si>
  <si>
    <t>21</t>
  </si>
  <si>
    <t>6,5</t>
  </si>
  <si>
    <t>34_</t>
  </si>
  <si>
    <t>Kohout kulový rozebíratelný PP-R D 20</t>
  </si>
  <si>
    <t>Montáž tepelné izolace skruží na potrubí přímé, DN 110 mm, samolepicí spoj</t>
  </si>
  <si>
    <t>41_</t>
  </si>
  <si>
    <t>61</t>
  </si>
  <si>
    <t>124</t>
  </si>
  <si>
    <t>Montáž dřezu jednoduchého</t>
  </si>
  <si>
    <t>12</t>
  </si>
  <si>
    <t>734263132R00</t>
  </si>
  <si>
    <t>d 160</t>
  </si>
  <si>
    <t>VOD</t>
  </si>
  <si>
    <t>722181244RT7</t>
  </si>
  <si>
    <t>429102</t>
  </si>
  <si>
    <t>Stropy a stropní konstrukce (pro pozemní stavby)</t>
  </si>
  <si>
    <t>Otopná tělesa</t>
  </si>
  <si>
    <t>735156702R00</t>
  </si>
  <si>
    <t>722181243RT8</t>
  </si>
  <si>
    <t>Potrubí z PPR, D 20x3,4 mm, PN 20, vč. zed. výpom.</t>
  </si>
  <si>
    <t>Potrubí HT svodné (ležaté) zavěšené D 110 x 2,7 mm</t>
  </si>
  <si>
    <t>429148022</t>
  </si>
  <si>
    <t>_</t>
  </si>
  <si>
    <t>Protidešťová žaluzie hliníková d 150 mm</t>
  </si>
  <si>
    <t>Demontáž otopných těles panelových 2řadých,1500 mm</t>
  </si>
  <si>
    <t>728212111R00</t>
  </si>
  <si>
    <t>781101210R00</t>
  </si>
  <si>
    <t>49</t>
  </si>
  <si>
    <t>72</t>
  </si>
  <si>
    <t>713_</t>
  </si>
  <si>
    <t>Přesuny</t>
  </si>
  <si>
    <t>MAT</t>
  </si>
  <si>
    <t>70</t>
  </si>
  <si>
    <t>8</t>
  </si>
  <si>
    <t>Celkem:</t>
  </si>
  <si>
    <t>Vyvedení a upevnění výpustek DN 15</t>
  </si>
  <si>
    <t>Otopná tělesa panelová Radik Klasik 11   600/ 400</t>
  </si>
  <si>
    <t>Nátěry</t>
  </si>
  <si>
    <t>725825111R01</t>
  </si>
  <si>
    <t>783323130R00</t>
  </si>
  <si>
    <t>42981270</t>
  </si>
  <si>
    <t>46</t>
  </si>
  <si>
    <t>781</t>
  </si>
  <si>
    <t>728_</t>
  </si>
  <si>
    <t>713</t>
  </si>
  <si>
    <t>735158230R00</t>
  </si>
  <si>
    <t>Potrubí HT připojovací D 50 x 1,8 mm</t>
  </si>
  <si>
    <t>Tlakové zkoušky panelových těles 1řadých</t>
  </si>
  <si>
    <t>71_</t>
  </si>
  <si>
    <t>Proplach a dezinfekce vodovod.potrubí DN 80</t>
  </si>
  <si>
    <t>100</t>
  </si>
  <si>
    <t>108</t>
  </si>
  <si>
    <t>Zkouška těsnosti kanalizace vodou DN 125</t>
  </si>
  <si>
    <t>4_</t>
  </si>
  <si>
    <t>m</t>
  </si>
  <si>
    <t>1,8</t>
  </si>
  <si>
    <t>Zpětná montáž otop.těles panel.2řadých,1500 mm</t>
  </si>
  <si>
    <t>11</t>
  </si>
  <si>
    <t>RTS II / 2022</t>
  </si>
  <si>
    <t>Montáž potrubí plechového kruhového do d 100 mm</t>
  </si>
  <si>
    <t>32</t>
  </si>
  <si>
    <t>Rozvod potrubí</t>
  </si>
  <si>
    <t>721290111R00</t>
  </si>
  <si>
    <t>Objednatel:</t>
  </si>
  <si>
    <t>971038251R00</t>
  </si>
  <si>
    <t>734</t>
  </si>
  <si>
    <t>722181233RT6</t>
  </si>
  <si>
    <t>PSV mat</t>
  </si>
  <si>
    <t>Izolace tepelné</t>
  </si>
  <si>
    <t>3</t>
  </si>
  <si>
    <t>728212212R00</t>
  </si>
  <si>
    <t>781475112R00</t>
  </si>
  <si>
    <t>Vybourání otv. stropy ŽB pl. 0,0225 m2, tl. 15 cm</t>
  </si>
  <si>
    <t>102</t>
  </si>
  <si>
    <t>Zhotovitel:</t>
  </si>
  <si>
    <t>Jednodřez nerez vestavný 435x320 mm, hloubka 160 mm</t>
  </si>
  <si>
    <t>Oblouk segmentový 90°, d 100 mm Pz plech</t>
  </si>
  <si>
    <t>35</t>
  </si>
  <si>
    <t>Začátek výstavby:</t>
  </si>
  <si>
    <t>429824003VD</t>
  </si>
  <si>
    <t>Mont mat</t>
  </si>
  <si>
    <t>D 50</t>
  </si>
  <si>
    <t>722</t>
  </si>
  <si>
    <t>Slepý stavební rozpočet</t>
  </si>
  <si>
    <t>93</t>
  </si>
  <si>
    <t>73_</t>
  </si>
  <si>
    <t>Izolace návleková tl. stěny 13 mm vnitřní průměr 22 mm</t>
  </si>
  <si>
    <t>Vybourání otvorů příčky deskové 0,0225 m2, tl.10cm</t>
  </si>
  <si>
    <t>4*0,0225*0,1+2*0,003*0,15+22,5*0,1*0,2</t>
  </si>
  <si>
    <t>101</t>
  </si>
  <si>
    <t>429103</t>
  </si>
  <si>
    <t>75</t>
  </si>
  <si>
    <t>54</t>
  </si>
  <si>
    <t xml:space="preserve"> </t>
  </si>
  <si>
    <t>551070151</t>
  </si>
  <si>
    <t>123</t>
  </si>
  <si>
    <t>Příplatek k obkladu stěn za plochu do 10 m2 jedntl</t>
  </si>
  <si>
    <t>728115111R00</t>
  </si>
  <si>
    <t>Oprava-vyregulování ventilů s termost.ovládáním</t>
  </si>
  <si>
    <t>57</t>
  </si>
  <si>
    <t>(Kč)</t>
  </si>
  <si>
    <t>Izolace návleková PET tl. stěny 13 mm vnitřní průměr 18 mm</t>
  </si>
  <si>
    <t>22</t>
  </si>
  <si>
    <t>Instalační prefabrikáty</t>
  </si>
  <si>
    <t>115</t>
  </si>
  <si>
    <t>722202433R00</t>
  </si>
  <si>
    <t>725017153R00</t>
  </si>
  <si>
    <t>m3</t>
  </si>
  <si>
    <t>725</t>
  </si>
  <si>
    <t>722172331R00</t>
  </si>
  <si>
    <t>Modul-WC, předstěnová instalace, h 108 cm</t>
  </si>
  <si>
    <t>Tlakové zkoušky panelových těles 3řadých</t>
  </si>
  <si>
    <t>735494811R00</t>
  </si>
  <si>
    <t>27</t>
  </si>
  <si>
    <t>971033131R00</t>
  </si>
  <si>
    <t>37</t>
  </si>
  <si>
    <t>80</t>
  </si>
  <si>
    <t>m2</t>
  </si>
  <si>
    <t>přesun</t>
  </si>
  <si>
    <t>Demontáž otopných těles panelových 2řadých,2820 mm</t>
  </si>
  <si>
    <t>41</t>
  </si>
  <si>
    <t>735156262R00</t>
  </si>
  <si>
    <t>1</t>
  </si>
  <si>
    <t>Brno</t>
  </si>
  <si>
    <t>55231360</t>
  </si>
  <si>
    <t>7</t>
  </si>
  <si>
    <t>728112111R00</t>
  </si>
  <si>
    <t>Rozměry</t>
  </si>
  <si>
    <t>Potrubí HT připojovací D 110 x 2,7 mm</t>
  </si>
  <si>
    <t>74</t>
  </si>
  <si>
    <t>722130514R00</t>
  </si>
  <si>
    <t>WORK</t>
  </si>
  <si>
    <t>d 125</t>
  </si>
  <si>
    <t>83</t>
  </si>
  <si>
    <t>733</t>
  </si>
  <si>
    <t>47</t>
  </si>
  <si>
    <t>735</t>
  </si>
  <si>
    <t>725019103R00</t>
  </si>
  <si>
    <t>HSV mat</t>
  </si>
  <si>
    <t>66</t>
  </si>
  <si>
    <t>0,003*0,3*3+14,5*0,1*0,2</t>
  </si>
  <si>
    <t>Vzduchotechnika</t>
  </si>
  <si>
    <t>Oprava potrubí PVC odpadní, vsazení odbočky D 110</t>
  </si>
  <si>
    <t>90</t>
  </si>
  <si>
    <t>89</t>
  </si>
  <si>
    <t>Tlaková zkouška vodovodního potrubí DN 40</t>
  </si>
  <si>
    <t>Rozbočka T 90 ° d = 100 mm, d1 =100 mm, Pz plech</t>
  </si>
  <si>
    <t>726211367R00</t>
  </si>
  <si>
    <t>Vybourání otvorů cihly duté  0,0225 m2, tl. 45 cm</t>
  </si>
  <si>
    <t>1+1</t>
  </si>
  <si>
    <t>Umyvadlo invalidní  64 x 55 cm, bílé</t>
  </si>
  <si>
    <t>88</t>
  </si>
  <si>
    <t>Vybourání otvorů cihly duté d = 6 cm, tl. 30 cm</t>
  </si>
  <si>
    <t>Vybourání otvorů cihly duté  0,0225 m2, tl. 30 cm</t>
  </si>
  <si>
    <t>Vysekání rýh ve zdi cihelné 15 x 15 cm</t>
  </si>
  <si>
    <t>Zkrácený popis</t>
  </si>
  <si>
    <t>28</t>
  </si>
  <si>
    <t>111</t>
  </si>
  <si>
    <t>Otopná tělesa panelová Radik Klasik 11   600/ 600</t>
  </si>
  <si>
    <t>Protidešťová žaluzie hliníková d 100 mm</t>
  </si>
  <si>
    <t>971038231R00</t>
  </si>
  <si>
    <t>Mirelon pás B izolační tl. 9 mm šířka 1000 mm</t>
  </si>
  <si>
    <t>CELK</t>
  </si>
  <si>
    <t>113</t>
  </si>
  <si>
    <t>106</t>
  </si>
  <si>
    <t>713571115T00</t>
  </si>
  <si>
    <t>0,2*14,5+0,15*6,5</t>
  </si>
  <si>
    <t>971081221R00</t>
  </si>
  <si>
    <t>Mtž ventilátoru axiál. nízkotl. nástěn.do d 200 mm</t>
  </si>
  <si>
    <t>781900010RA0</t>
  </si>
  <si>
    <t>65</t>
  </si>
  <si>
    <t>Prorážení otvorů a ostatní bourací práce</t>
  </si>
  <si>
    <t>34</t>
  </si>
  <si>
    <t>62</t>
  </si>
  <si>
    <t>725825114RT1</t>
  </si>
  <si>
    <t>KAN</t>
  </si>
  <si>
    <t>6+1</t>
  </si>
  <si>
    <t>8+3</t>
  </si>
  <si>
    <t>11,10</t>
  </si>
  <si>
    <t>Hlavice termostatická Heimeier K standard</t>
  </si>
  <si>
    <t>Vnitřní kanalizace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</si>
</sst>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name val="Arial"/>
      <family val="2"/>
      <charset val="238"/>
    </font>
    <font>
      <sz val="11"/>
      <name val="Calibri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9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C0C0C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72">
    <xf numFmtId="0" fontId="2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4" fontId="5" fillId="3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left" vertical="center"/>
    </xf>
    <xf numFmtId="0" fontId="5" fillId="3" borderId="8" xfId="0" applyNumberFormat="1" applyFont="1" applyFill="1" applyBorder="1" applyAlignment="1" applyProtection="1">
      <alignment horizontal="right" vertical="center"/>
    </xf>
    <xf numFmtId="0" fontId="4" fillId="3" borderId="2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/>
    <xf numFmtId="4" fontId="4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4" fillId="2" borderId="13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Border="1" applyAlignment="1" applyProtection="1">
      <alignment horizontal="right" vertical="center"/>
    </xf>
    <xf numFmtId="0" fontId="5" fillId="3" borderId="0" xfId="0" applyNumberFormat="1" applyFont="1" applyFill="1" applyBorder="1" applyAlignment="1" applyProtection="1">
      <alignment horizontal="left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0" fontId="4" fillId="0" borderId="8" xfId="0" applyNumberFormat="1" applyFont="1" applyFill="1" applyBorder="1" applyAlignment="1" applyProtection="1">
      <alignment horizontal="right" vertical="center"/>
    </xf>
    <xf numFmtId="0" fontId="6" fillId="0" borderId="8" xfId="0" applyNumberFormat="1" applyFont="1" applyFill="1" applyBorder="1" applyAlignment="1" applyProtection="1">
      <alignment horizontal="right" vertical="center"/>
    </xf>
    <xf numFmtId="0" fontId="1" fillId="2" borderId="13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horizontal="center" vertical="center"/>
    </xf>
    <xf numFmtId="4" fontId="6" fillId="2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1" fillId="2" borderId="5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18" xfId="0" applyNumberFormat="1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400050</xdr:colOff>
      <xdr:row>0</xdr:row>
      <xdr:rowOff>666750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1749D38F-3489-18C8-C5DC-26CB3924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V266"/>
  <sheetViews>
    <sheetView tabSelected="1" showOutlineSymbols="0" zoomScaleNormal="100" workbookViewId="0">
      <pane ySplit="11" topLeftCell="A12" activePane="bottomLeft" state="frozenSplit"/>
      <selection activeCell="A286" sqref="A286:M286"/>
      <selection pane="bottomLeft" activeCell="A229" sqref="A229:XFD229"/>
    </sheetView>
  </sheetViews>
  <sheetFormatPr defaultColWidth="14.140625" defaultRowHeight="15" customHeight="1" x14ac:dyDescent="0.3"/>
  <cols>
    <col min="1" max="1" width="4.7109375" customWidth="1"/>
    <col min="2" max="2" width="20.85546875" customWidth="1"/>
    <col min="3" max="3" width="47.42578125" customWidth="1"/>
    <col min="4" max="4" width="27.7109375" customWidth="1"/>
    <col min="7" max="7" width="7.42578125" customWidth="1"/>
    <col min="8" max="8" width="15" customWidth="1"/>
    <col min="9" max="9" width="14" customWidth="1"/>
    <col min="10" max="12" width="18.28515625" customWidth="1"/>
    <col min="13" max="13" width="13.7109375" customWidth="1"/>
    <col min="25" max="74" width="14.140625" hidden="1" customWidth="1"/>
  </cols>
  <sheetData>
    <row r="1" spans="1:64" ht="54.75" customHeight="1" x14ac:dyDescent="0.3">
      <c r="A1" s="67" t="s">
        <v>390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64" ht="15" customHeight="1" x14ac:dyDescent="0.3">
      <c r="A2" s="68" t="s">
        <v>35</v>
      </c>
      <c r="B2" s="60"/>
      <c r="C2" s="65" t="s">
        <v>31</v>
      </c>
      <c r="D2" s="66"/>
      <c r="E2" s="60" t="s">
        <v>2</v>
      </c>
      <c r="F2" s="60"/>
      <c r="G2" s="60" t="s">
        <v>400</v>
      </c>
      <c r="H2" s="60"/>
      <c r="I2" s="71" t="s">
        <v>370</v>
      </c>
      <c r="J2" s="60" t="s">
        <v>192</v>
      </c>
      <c r="K2" s="60"/>
      <c r="L2" s="60"/>
      <c r="M2" s="61"/>
    </row>
    <row r="3" spans="1:64" ht="15" customHeight="1" x14ac:dyDescent="0.3">
      <c r="A3" s="69"/>
      <c r="B3" s="50"/>
      <c r="C3" s="48"/>
      <c r="D3" s="48"/>
      <c r="E3" s="50"/>
      <c r="F3" s="50"/>
      <c r="G3" s="50"/>
      <c r="H3" s="50"/>
      <c r="I3" s="50"/>
      <c r="J3" s="50"/>
      <c r="K3" s="50"/>
      <c r="L3" s="50"/>
      <c r="M3" s="62"/>
    </row>
    <row r="4" spans="1:64" ht="15" customHeight="1" x14ac:dyDescent="0.3">
      <c r="A4" s="70" t="s">
        <v>224</v>
      </c>
      <c r="B4" s="50"/>
      <c r="C4" s="49" t="s">
        <v>400</v>
      </c>
      <c r="D4" s="50"/>
      <c r="E4" s="50" t="s">
        <v>385</v>
      </c>
      <c r="F4" s="50"/>
      <c r="G4" s="50" t="s">
        <v>170</v>
      </c>
      <c r="H4" s="50"/>
      <c r="I4" s="49" t="s">
        <v>298</v>
      </c>
      <c r="J4" s="50" t="s">
        <v>192</v>
      </c>
      <c r="K4" s="50"/>
      <c r="L4" s="50"/>
      <c r="M4" s="62"/>
    </row>
    <row r="5" spans="1:64" ht="15" customHeight="1" x14ac:dyDescent="0.3">
      <c r="A5" s="6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62"/>
    </row>
    <row r="6" spans="1:64" ht="15" customHeight="1" x14ac:dyDescent="0.3">
      <c r="A6" s="70" t="s">
        <v>42</v>
      </c>
      <c r="B6" s="50"/>
      <c r="C6" s="49" t="s">
        <v>430</v>
      </c>
      <c r="D6" s="50"/>
      <c r="E6" s="50" t="s">
        <v>136</v>
      </c>
      <c r="F6" s="50"/>
      <c r="G6" s="50" t="s">
        <v>400</v>
      </c>
      <c r="H6" s="50"/>
      <c r="I6" s="49" t="s">
        <v>381</v>
      </c>
      <c r="J6" s="50" t="s">
        <v>192</v>
      </c>
      <c r="K6" s="50"/>
      <c r="L6" s="50"/>
      <c r="M6" s="62"/>
    </row>
    <row r="7" spans="1:64" ht="15" customHeight="1" x14ac:dyDescent="0.3">
      <c r="A7" s="6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62"/>
    </row>
    <row r="8" spans="1:64" ht="15" customHeight="1" x14ac:dyDescent="0.3">
      <c r="A8" s="70" t="s">
        <v>201</v>
      </c>
      <c r="B8" s="50"/>
      <c r="C8" s="49" t="s">
        <v>400</v>
      </c>
      <c r="D8" s="50"/>
      <c r="E8" s="50" t="s">
        <v>232</v>
      </c>
      <c r="F8" s="50"/>
      <c r="G8" s="50" t="s">
        <v>170</v>
      </c>
      <c r="H8" s="50"/>
      <c r="I8" s="49" t="s">
        <v>289</v>
      </c>
      <c r="J8" s="50" t="s">
        <v>192</v>
      </c>
      <c r="K8" s="50"/>
      <c r="L8" s="50"/>
      <c r="M8" s="62"/>
    </row>
    <row r="9" spans="1:64" ht="15" customHeight="1" x14ac:dyDescent="0.3">
      <c r="A9" s="6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62"/>
    </row>
    <row r="10" spans="1:64" ht="15" customHeight="1" x14ac:dyDescent="0.3">
      <c r="A10" s="14" t="s">
        <v>40</v>
      </c>
      <c r="B10" s="16" t="s">
        <v>138</v>
      </c>
      <c r="C10" s="63" t="s">
        <v>462</v>
      </c>
      <c r="D10" s="63"/>
      <c r="E10" s="63"/>
      <c r="F10" s="64"/>
      <c r="G10" s="16" t="s">
        <v>145</v>
      </c>
      <c r="H10" s="45" t="s">
        <v>259</v>
      </c>
      <c r="I10" s="5" t="s">
        <v>135</v>
      </c>
      <c r="J10" s="57" t="s">
        <v>277</v>
      </c>
      <c r="K10" s="58"/>
      <c r="L10" s="59"/>
      <c r="M10" s="31" t="s">
        <v>118</v>
      </c>
      <c r="BK10" s="33" t="s">
        <v>163</v>
      </c>
      <c r="BL10" s="25" t="s">
        <v>217</v>
      </c>
    </row>
    <row r="11" spans="1:64" ht="15" customHeight="1" x14ac:dyDescent="0.3">
      <c r="A11" s="20" t="s">
        <v>400</v>
      </c>
      <c r="B11" s="26" t="s">
        <v>400</v>
      </c>
      <c r="C11" s="55" t="s">
        <v>434</v>
      </c>
      <c r="D11" s="55"/>
      <c r="E11" s="55"/>
      <c r="F11" s="56"/>
      <c r="G11" s="26" t="s">
        <v>400</v>
      </c>
      <c r="H11" s="26" t="s">
        <v>400</v>
      </c>
      <c r="I11" s="42" t="s">
        <v>407</v>
      </c>
      <c r="J11" s="40" t="s">
        <v>24</v>
      </c>
      <c r="K11" s="30" t="s">
        <v>87</v>
      </c>
      <c r="L11" s="21" t="s">
        <v>50</v>
      </c>
      <c r="M11" s="21" t="s">
        <v>114</v>
      </c>
      <c r="Z11" s="33" t="s">
        <v>337</v>
      </c>
      <c r="AA11" s="33" t="s">
        <v>264</v>
      </c>
      <c r="AB11" s="33" t="s">
        <v>445</v>
      </c>
      <c r="AC11" s="33" t="s">
        <v>123</v>
      </c>
      <c r="AD11" s="33" t="s">
        <v>374</v>
      </c>
      <c r="AE11" s="33" t="s">
        <v>153</v>
      </c>
      <c r="AF11" s="33" t="s">
        <v>387</v>
      </c>
      <c r="AG11" s="33" t="s">
        <v>172</v>
      </c>
      <c r="AH11" s="33" t="s">
        <v>116</v>
      </c>
      <c r="BH11" s="33" t="s">
        <v>338</v>
      </c>
      <c r="BI11" s="33" t="s">
        <v>438</v>
      </c>
      <c r="BJ11" s="33" t="s">
        <v>469</v>
      </c>
    </row>
    <row r="12" spans="1:64" ht="15" customHeight="1" x14ac:dyDescent="0.3">
      <c r="A12" s="19" t="s">
        <v>299</v>
      </c>
      <c r="B12" s="34" t="s">
        <v>479</v>
      </c>
      <c r="C12" s="52" t="s">
        <v>104</v>
      </c>
      <c r="D12" s="52"/>
      <c r="E12" s="52"/>
      <c r="F12" s="52"/>
      <c r="G12" s="12" t="s">
        <v>400</v>
      </c>
      <c r="H12" s="12" t="s">
        <v>400</v>
      </c>
      <c r="I12" s="12" t="s">
        <v>400</v>
      </c>
      <c r="J12" s="15">
        <f>SUM(J13:J13)</f>
        <v>0</v>
      </c>
      <c r="K12" s="15">
        <f>SUM(K13:K13)</f>
        <v>0</v>
      </c>
      <c r="L12" s="15">
        <f>SUM(L13:L13)</f>
        <v>0</v>
      </c>
      <c r="M12" s="18" t="s">
        <v>299</v>
      </c>
      <c r="AI12" s="33" t="s">
        <v>299</v>
      </c>
      <c r="AS12" s="15">
        <f>SUM(AJ13:AJ13)</f>
        <v>0</v>
      </c>
      <c r="AT12" s="15">
        <f>SUM(AK13:AK13)</f>
        <v>0</v>
      </c>
      <c r="AU12" s="15">
        <f>SUM(AL13:AL13)</f>
        <v>0</v>
      </c>
    </row>
    <row r="13" spans="1:64" ht="15" customHeight="1" x14ac:dyDescent="0.3">
      <c r="A13" s="39" t="s">
        <v>429</v>
      </c>
      <c r="B13" s="9" t="s">
        <v>5</v>
      </c>
      <c r="C13" s="50" t="s">
        <v>245</v>
      </c>
      <c r="D13" s="50"/>
      <c r="E13" s="50"/>
      <c r="F13" s="50"/>
      <c r="G13" s="9" t="s">
        <v>424</v>
      </c>
      <c r="H13" s="2">
        <v>3.875</v>
      </c>
      <c r="I13" s="2"/>
      <c r="J13" s="2">
        <f>H13*AO13</f>
        <v>0</v>
      </c>
      <c r="K13" s="2">
        <f>H13*AP13</f>
        <v>0</v>
      </c>
      <c r="L13" s="2">
        <f>H13*I13</f>
        <v>0</v>
      </c>
      <c r="M13" s="36" t="s">
        <v>365</v>
      </c>
      <c r="Z13" s="2">
        <f>IF(AQ13="5",BJ13,0)</f>
        <v>0</v>
      </c>
      <c r="AB13" s="2">
        <f>IF(AQ13="1",BH13,0)</f>
        <v>0</v>
      </c>
      <c r="AC13" s="2">
        <f>IF(AQ13="1",BI13,0)</f>
        <v>0</v>
      </c>
      <c r="AD13" s="2">
        <f>IF(AQ13="7",BH13,0)</f>
        <v>0</v>
      </c>
      <c r="AE13" s="2">
        <f>IF(AQ13="7",BI13,0)</f>
        <v>0</v>
      </c>
      <c r="AF13" s="2">
        <f>IF(AQ13="2",BH13,0)</f>
        <v>0</v>
      </c>
      <c r="AG13" s="2">
        <f>IF(AQ13="2",BI13,0)</f>
        <v>0</v>
      </c>
      <c r="AH13" s="2">
        <f>IF(AQ13="0",BJ13,0)</f>
        <v>0</v>
      </c>
      <c r="AI13" s="33" t="s">
        <v>299</v>
      </c>
      <c r="AJ13" s="2">
        <f>IF(AN13=0,L13,0)</f>
        <v>0</v>
      </c>
      <c r="AK13" s="2">
        <f>IF(AN13=15,L13,0)</f>
        <v>0</v>
      </c>
      <c r="AL13" s="2">
        <f>IF(AN13=21,L13,0)</f>
        <v>0</v>
      </c>
      <c r="AN13" s="2">
        <v>21</v>
      </c>
      <c r="AO13" s="2">
        <f>I13*0.434826242210657</f>
        <v>0</v>
      </c>
      <c r="AP13" s="2">
        <f>I13*(1-0.434826242210657)</f>
        <v>0</v>
      </c>
      <c r="AQ13" s="44" t="s">
        <v>429</v>
      </c>
      <c r="AV13" s="2">
        <f>AW13+AX13</f>
        <v>0</v>
      </c>
      <c r="AW13" s="2">
        <f>H13*AO13</f>
        <v>0</v>
      </c>
      <c r="AX13" s="2">
        <f>H13*AP13</f>
        <v>0</v>
      </c>
      <c r="AY13" s="44" t="s">
        <v>309</v>
      </c>
      <c r="AZ13" s="44" t="s">
        <v>27</v>
      </c>
      <c r="BA13" s="33" t="s">
        <v>329</v>
      </c>
      <c r="BC13" s="2">
        <f>AW13+AX13</f>
        <v>0</v>
      </c>
      <c r="BD13" s="2">
        <f>I13/(100-BE13)*100</f>
        <v>0</v>
      </c>
      <c r="BE13" s="2">
        <v>0</v>
      </c>
      <c r="BF13" s="2">
        <f>13</f>
        <v>13</v>
      </c>
      <c r="BH13" s="2">
        <f>H13*AO13</f>
        <v>0</v>
      </c>
      <c r="BI13" s="2">
        <f>H13*AP13</f>
        <v>0</v>
      </c>
      <c r="BJ13" s="2">
        <f>H13*I13</f>
        <v>0</v>
      </c>
      <c r="BK13" s="2"/>
      <c r="BL13" s="2">
        <v>34</v>
      </c>
    </row>
    <row r="14" spans="1:64" ht="15" customHeight="1" x14ac:dyDescent="0.3">
      <c r="A14" s="6"/>
      <c r="C14" s="29" t="s">
        <v>473</v>
      </c>
      <c r="F14" s="29" t="s">
        <v>299</v>
      </c>
      <c r="H14" s="10">
        <v>3.8750000000000004</v>
      </c>
      <c r="M14" s="41"/>
    </row>
    <row r="15" spans="1:64" ht="15" customHeight="1" x14ac:dyDescent="0.3">
      <c r="A15" s="19" t="s">
        <v>299</v>
      </c>
      <c r="B15" s="34" t="s">
        <v>427</v>
      </c>
      <c r="C15" s="52" t="s">
        <v>322</v>
      </c>
      <c r="D15" s="52"/>
      <c r="E15" s="52"/>
      <c r="F15" s="52"/>
      <c r="G15" s="12" t="s">
        <v>400</v>
      </c>
      <c r="H15" s="12" t="s">
        <v>400</v>
      </c>
      <c r="I15" s="12" t="s">
        <v>400</v>
      </c>
      <c r="J15" s="15">
        <f>SUM(J16:J16)</f>
        <v>0</v>
      </c>
      <c r="K15" s="15">
        <f>SUM(K16:K16)</f>
        <v>0</v>
      </c>
      <c r="L15" s="15">
        <f>SUM(L16:L16)</f>
        <v>0</v>
      </c>
      <c r="M15" s="18" t="s">
        <v>299</v>
      </c>
      <c r="AI15" s="33" t="s">
        <v>299</v>
      </c>
      <c r="AS15" s="15">
        <f>SUM(AJ16:AJ16)</f>
        <v>0</v>
      </c>
      <c r="AT15" s="15">
        <f>SUM(AK16:AK16)</f>
        <v>0</v>
      </c>
      <c r="AU15" s="15">
        <f>SUM(AL16:AL16)</f>
        <v>0</v>
      </c>
    </row>
    <row r="16" spans="1:64" ht="15" customHeight="1" x14ac:dyDescent="0.3">
      <c r="A16" s="39" t="s">
        <v>297</v>
      </c>
      <c r="B16" s="9" t="s">
        <v>306</v>
      </c>
      <c r="C16" s="50" t="s">
        <v>159</v>
      </c>
      <c r="D16" s="50"/>
      <c r="E16" s="50"/>
      <c r="F16" s="50"/>
      <c r="G16" s="9" t="s">
        <v>111</v>
      </c>
      <c r="H16" s="2">
        <v>1</v>
      </c>
      <c r="I16" s="2"/>
      <c r="J16" s="2">
        <f>H16*AO16</f>
        <v>0</v>
      </c>
      <c r="K16" s="2">
        <f>H16*AP16</f>
        <v>0</v>
      </c>
      <c r="L16" s="2">
        <f>H16*I16</f>
        <v>0</v>
      </c>
      <c r="M16" s="36" t="s">
        <v>365</v>
      </c>
      <c r="Z16" s="2">
        <f>IF(AQ16="5",BJ16,0)</f>
        <v>0</v>
      </c>
      <c r="AB16" s="2">
        <f>IF(AQ16="1",BH16,0)</f>
        <v>0</v>
      </c>
      <c r="AC16" s="2">
        <f>IF(AQ16="1",BI16,0)</f>
        <v>0</v>
      </c>
      <c r="AD16" s="2">
        <f>IF(AQ16="7",BH16,0)</f>
        <v>0</v>
      </c>
      <c r="AE16" s="2">
        <f>IF(AQ16="7",BI16,0)</f>
        <v>0</v>
      </c>
      <c r="AF16" s="2">
        <f>IF(AQ16="2",BH16,0)</f>
        <v>0</v>
      </c>
      <c r="AG16" s="2">
        <f>IF(AQ16="2",BI16,0)</f>
        <v>0</v>
      </c>
      <c r="AH16" s="2">
        <f>IF(AQ16="0",BJ16,0)</f>
        <v>0</v>
      </c>
      <c r="AI16" s="33" t="s">
        <v>299</v>
      </c>
      <c r="AJ16" s="2">
        <f>IF(AN16=0,L16,0)</f>
        <v>0</v>
      </c>
      <c r="AK16" s="2">
        <f>IF(AN16=15,L16,0)</f>
        <v>0</v>
      </c>
      <c r="AL16" s="2">
        <f>IF(AN16=21,L16,0)</f>
        <v>0</v>
      </c>
      <c r="AN16" s="2">
        <v>21</v>
      </c>
      <c r="AO16" s="2">
        <f>I16*0.0595864661654135</f>
        <v>0</v>
      </c>
      <c r="AP16" s="2">
        <f>I16*(1-0.0595864661654135)</f>
        <v>0</v>
      </c>
      <c r="AQ16" s="44" t="s">
        <v>429</v>
      </c>
      <c r="AV16" s="2">
        <f>AW16+AX16</f>
        <v>0</v>
      </c>
      <c r="AW16" s="2">
        <f>H16*AO16</f>
        <v>0</v>
      </c>
      <c r="AX16" s="2">
        <f>H16*AP16</f>
        <v>0</v>
      </c>
      <c r="AY16" s="44" t="s">
        <v>312</v>
      </c>
      <c r="AZ16" s="44" t="s">
        <v>360</v>
      </c>
      <c r="BA16" s="33" t="s">
        <v>329</v>
      </c>
      <c r="BC16" s="2">
        <f>AW16+AX16</f>
        <v>0</v>
      </c>
      <c r="BD16" s="2">
        <f>I16/(100-BE16)*100</f>
        <v>0</v>
      </c>
      <c r="BE16" s="2">
        <v>0</v>
      </c>
      <c r="BF16" s="2">
        <f>16</f>
        <v>16</v>
      </c>
      <c r="BH16" s="2">
        <f>H16*AO16</f>
        <v>0</v>
      </c>
      <c r="BI16" s="2">
        <f>H16*AP16</f>
        <v>0</v>
      </c>
      <c r="BJ16" s="2">
        <f>H16*I16</f>
        <v>0</v>
      </c>
      <c r="BK16" s="2"/>
      <c r="BL16" s="2">
        <v>41</v>
      </c>
    </row>
    <row r="17" spans="1:64" ht="15" customHeight="1" x14ac:dyDescent="0.3">
      <c r="A17" s="6"/>
      <c r="C17" s="29" t="s">
        <v>429</v>
      </c>
      <c r="F17" s="29" t="s">
        <v>299</v>
      </c>
      <c r="H17" s="10">
        <v>1</v>
      </c>
      <c r="M17" s="41"/>
    </row>
    <row r="18" spans="1:64" ht="15" customHeight="1" x14ac:dyDescent="0.3">
      <c r="A18" s="19" t="s">
        <v>299</v>
      </c>
      <c r="B18" s="34" t="s">
        <v>351</v>
      </c>
      <c r="C18" s="52" t="s">
        <v>375</v>
      </c>
      <c r="D18" s="52"/>
      <c r="E18" s="52"/>
      <c r="F18" s="52"/>
      <c r="G18" s="12" t="s">
        <v>400</v>
      </c>
      <c r="H18" s="12" t="s">
        <v>400</v>
      </c>
      <c r="I18" s="12" t="s">
        <v>400</v>
      </c>
      <c r="J18" s="15">
        <f>SUM(J19:J28)</f>
        <v>0</v>
      </c>
      <c r="K18" s="15">
        <f>SUM(K19:K28)</f>
        <v>0</v>
      </c>
      <c r="L18" s="15">
        <f>SUM(L19:L28)</f>
        <v>0</v>
      </c>
      <c r="M18" s="18" t="s">
        <v>299</v>
      </c>
      <c r="AI18" s="33" t="s">
        <v>299</v>
      </c>
      <c r="AS18" s="15">
        <f>SUM(AJ19:AJ28)</f>
        <v>0</v>
      </c>
      <c r="AT18" s="15">
        <f>SUM(AK19:AK28)</f>
        <v>0</v>
      </c>
      <c r="AU18" s="15">
        <f>SUM(AL19:AL28)</f>
        <v>0</v>
      </c>
    </row>
    <row r="19" spans="1:64" ht="15" customHeight="1" x14ac:dyDescent="0.3">
      <c r="A19" s="11" t="s">
        <v>376</v>
      </c>
      <c r="B19" s="8" t="s">
        <v>472</v>
      </c>
      <c r="C19" s="51" t="s">
        <v>150</v>
      </c>
      <c r="D19" s="50"/>
      <c r="E19" s="50"/>
      <c r="F19" s="51"/>
      <c r="G19" s="8" t="s">
        <v>111</v>
      </c>
      <c r="H19" s="24">
        <v>1</v>
      </c>
      <c r="I19" s="24"/>
      <c r="J19" s="24">
        <f>H19*AO19</f>
        <v>0</v>
      </c>
      <c r="K19" s="24">
        <f>H19*AP19</f>
        <v>0</v>
      </c>
      <c r="L19" s="24">
        <f>H19*I19</f>
        <v>0</v>
      </c>
      <c r="M19" s="28" t="s">
        <v>365</v>
      </c>
      <c r="Z19" s="2">
        <f>IF(AQ19="5",BJ19,0)</f>
        <v>0</v>
      </c>
      <c r="AB19" s="2">
        <f>IF(AQ19="1",BH19,0)</f>
        <v>0</v>
      </c>
      <c r="AC19" s="2">
        <f>IF(AQ19="1",BI19,0)</f>
        <v>0</v>
      </c>
      <c r="AD19" s="2">
        <f>IF(AQ19="7",BH19,0)</f>
        <v>0</v>
      </c>
      <c r="AE19" s="2">
        <f>IF(AQ19="7",BI19,0)</f>
        <v>0</v>
      </c>
      <c r="AF19" s="2">
        <f>IF(AQ19="2",BH19,0)</f>
        <v>0</v>
      </c>
      <c r="AG19" s="2">
        <f>IF(AQ19="2",BI19,0)</f>
        <v>0</v>
      </c>
      <c r="AH19" s="2">
        <f>IF(AQ19="0",BJ19,0)</f>
        <v>0</v>
      </c>
      <c r="AI19" s="33" t="s">
        <v>299</v>
      </c>
      <c r="AJ19" s="2">
        <f>IF(AN19=0,L19,0)</f>
        <v>0</v>
      </c>
      <c r="AK19" s="2">
        <f>IF(AN19=15,L19,0)</f>
        <v>0</v>
      </c>
      <c r="AL19" s="2">
        <f>IF(AN19=21,L19,0)</f>
        <v>0</v>
      </c>
      <c r="AN19" s="2">
        <v>21</v>
      </c>
      <c r="AO19" s="2">
        <f>I19*0.186689837896356</f>
        <v>0</v>
      </c>
      <c r="AP19" s="2">
        <f>I19*(1-0.186689837896356)</f>
        <v>0</v>
      </c>
      <c r="AQ19" s="44" t="s">
        <v>432</v>
      </c>
      <c r="AV19" s="2">
        <f>AW19+AX19</f>
        <v>0</v>
      </c>
      <c r="AW19" s="2">
        <f>H19*AO19</f>
        <v>0</v>
      </c>
      <c r="AX19" s="2">
        <f>H19*AP19</f>
        <v>0</v>
      </c>
      <c r="AY19" s="44" t="s">
        <v>336</v>
      </c>
      <c r="AZ19" s="44" t="s">
        <v>355</v>
      </c>
      <c r="BA19" s="33" t="s">
        <v>329</v>
      </c>
      <c r="BC19" s="2">
        <f>AW19+AX19</f>
        <v>0</v>
      </c>
      <c r="BD19" s="2">
        <f>I19/(100-BE19)*100</f>
        <v>0</v>
      </c>
      <c r="BE19" s="2">
        <v>0</v>
      </c>
      <c r="BF19" s="2">
        <f>19</f>
        <v>19</v>
      </c>
      <c r="BH19" s="2">
        <f>H19*AO19</f>
        <v>0</v>
      </c>
      <c r="BI19" s="2">
        <f>H19*AP19</f>
        <v>0</v>
      </c>
      <c r="BJ19" s="2">
        <f>H19*I19</f>
        <v>0</v>
      </c>
      <c r="BK19" s="2"/>
      <c r="BL19" s="2">
        <v>713</v>
      </c>
    </row>
    <row r="20" spans="1:64" ht="15" customHeight="1" x14ac:dyDescent="0.3">
      <c r="A20" s="47"/>
      <c r="B20" s="23"/>
      <c r="C20" s="1" t="s">
        <v>429</v>
      </c>
      <c r="F20" s="1" t="s">
        <v>299</v>
      </c>
      <c r="G20" s="23"/>
      <c r="H20" s="4">
        <v>1</v>
      </c>
      <c r="I20" s="23"/>
      <c r="J20" s="23"/>
      <c r="K20" s="23"/>
      <c r="L20" s="23"/>
      <c r="M20" s="38"/>
    </row>
    <row r="21" spans="1:64" ht="15" customHeight="1" x14ac:dyDescent="0.3">
      <c r="A21" s="17" t="s">
        <v>56</v>
      </c>
      <c r="B21" s="13" t="s">
        <v>261</v>
      </c>
      <c r="C21" s="54" t="s">
        <v>23</v>
      </c>
      <c r="D21" s="53"/>
      <c r="E21" s="53"/>
      <c r="F21" s="54"/>
      <c r="G21" s="13" t="s">
        <v>111</v>
      </c>
      <c r="H21" s="43">
        <v>1</v>
      </c>
      <c r="I21" s="43"/>
      <c r="J21" s="43">
        <f>H21*AO21</f>
        <v>0</v>
      </c>
      <c r="K21" s="43">
        <f>H21*AP21</f>
        <v>0</v>
      </c>
      <c r="L21" s="43">
        <f>H21*I21</f>
        <v>0</v>
      </c>
      <c r="M21" s="35" t="s">
        <v>365</v>
      </c>
      <c r="Z21" s="2">
        <f>IF(AQ21="5",BJ21,0)</f>
        <v>0</v>
      </c>
      <c r="AB21" s="2">
        <f>IF(AQ21="1",BH21,0)</f>
        <v>0</v>
      </c>
      <c r="AC21" s="2">
        <f>IF(AQ21="1",BI21,0)</f>
        <v>0</v>
      </c>
      <c r="AD21" s="2">
        <f>IF(AQ21="7",BH21,0)</f>
        <v>0</v>
      </c>
      <c r="AE21" s="2">
        <f>IF(AQ21="7",BI21,0)</f>
        <v>0</v>
      </c>
      <c r="AF21" s="2">
        <f>IF(AQ21="2",BH21,0)</f>
        <v>0</v>
      </c>
      <c r="AG21" s="2">
        <f>IF(AQ21="2",BI21,0)</f>
        <v>0</v>
      </c>
      <c r="AH21" s="2">
        <f>IF(AQ21="0",BJ21,0)</f>
        <v>0</v>
      </c>
      <c r="AI21" s="33" t="s">
        <v>299</v>
      </c>
      <c r="AJ21" s="46">
        <f>IF(AN21=0,L21,0)</f>
        <v>0</v>
      </c>
      <c r="AK21" s="46">
        <f>IF(AN21=15,L21,0)</f>
        <v>0</v>
      </c>
      <c r="AL21" s="46">
        <f>IF(AN21=21,L21,0)</f>
        <v>0</v>
      </c>
      <c r="AN21" s="2">
        <v>21</v>
      </c>
      <c r="AO21" s="2">
        <f>I21*1</f>
        <v>0</v>
      </c>
      <c r="AP21" s="2">
        <f>I21*(1-1)</f>
        <v>0</v>
      </c>
      <c r="AQ21" s="27" t="s">
        <v>432</v>
      </c>
      <c r="AV21" s="2">
        <f>AW21+AX21</f>
        <v>0</v>
      </c>
      <c r="AW21" s="2">
        <f>H21*AO21</f>
        <v>0</v>
      </c>
      <c r="AX21" s="2">
        <f>H21*AP21</f>
        <v>0</v>
      </c>
      <c r="AY21" s="44" t="s">
        <v>336</v>
      </c>
      <c r="AZ21" s="44" t="s">
        <v>355</v>
      </c>
      <c r="BA21" s="33" t="s">
        <v>329</v>
      </c>
      <c r="BC21" s="2">
        <f>AW21+AX21</f>
        <v>0</v>
      </c>
      <c r="BD21" s="2">
        <f>I21/(100-BE21)*100</f>
        <v>0</v>
      </c>
      <c r="BE21" s="2">
        <v>0</v>
      </c>
      <c r="BF21" s="2">
        <f>21</f>
        <v>21</v>
      </c>
      <c r="BH21" s="46">
        <f>H21*AO21</f>
        <v>0</v>
      </c>
      <c r="BI21" s="46">
        <f>H21*AP21</f>
        <v>0</v>
      </c>
      <c r="BJ21" s="46">
        <f>H21*I21</f>
        <v>0</v>
      </c>
      <c r="BK21" s="46"/>
      <c r="BL21" s="2">
        <v>713</v>
      </c>
    </row>
    <row r="22" spans="1:64" ht="15" customHeight="1" x14ac:dyDescent="0.3">
      <c r="A22" s="47"/>
      <c r="B22" s="23"/>
      <c r="C22" s="1" t="s">
        <v>429</v>
      </c>
      <c r="F22" s="1" t="s">
        <v>299</v>
      </c>
      <c r="G22" s="23"/>
      <c r="H22" s="4">
        <v>1</v>
      </c>
      <c r="I22" s="23"/>
      <c r="J22" s="23"/>
      <c r="K22" s="23"/>
      <c r="L22" s="23"/>
      <c r="M22" s="38"/>
    </row>
    <row r="23" spans="1:64" ht="15" customHeight="1" x14ac:dyDescent="0.3">
      <c r="A23" s="11" t="s">
        <v>221</v>
      </c>
      <c r="B23" s="8" t="s">
        <v>212</v>
      </c>
      <c r="C23" s="51" t="s">
        <v>311</v>
      </c>
      <c r="D23" s="50"/>
      <c r="E23" s="50"/>
      <c r="F23" s="51"/>
      <c r="G23" s="8" t="s">
        <v>361</v>
      </c>
      <c r="H23" s="24">
        <v>1</v>
      </c>
      <c r="I23" s="24"/>
      <c r="J23" s="24">
        <f>H23*AO23</f>
        <v>0</v>
      </c>
      <c r="K23" s="24">
        <f>H23*AP23</f>
        <v>0</v>
      </c>
      <c r="L23" s="24">
        <f>H23*I23</f>
        <v>0</v>
      </c>
      <c r="M23" s="28" t="s">
        <v>365</v>
      </c>
      <c r="Z23" s="2">
        <f>IF(AQ23="5",BJ23,0)</f>
        <v>0</v>
      </c>
      <c r="AB23" s="2">
        <f>IF(AQ23="1",BH23,0)</f>
        <v>0</v>
      </c>
      <c r="AC23" s="2">
        <f>IF(AQ23="1",BI23,0)</f>
        <v>0</v>
      </c>
      <c r="AD23" s="2">
        <f>IF(AQ23="7",BH23,0)</f>
        <v>0</v>
      </c>
      <c r="AE23" s="2">
        <f>IF(AQ23="7",BI23,0)</f>
        <v>0</v>
      </c>
      <c r="AF23" s="2">
        <f>IF(AQ23="2",BH23,0)</f>
        <v>0</v>
      </c>
      <c r="AG23" s="2">
        <f>IF(AQ23="2",BI23,0)</f>
        <v>0</v>
      </c>
      <c r="AH23" s="2">
        <f>IF(AQ23="0",BJ23,0)</f>
        <v>0</v>
      </c>
      <c r="AI23" s="33" t="s">
        <v>299</v>
      </c>
      <c r="AJ23" s="2">
        <f>IF(AN23=0,L23,0)</f>
        <v>0</v>
      </c>
      <c r="AK23" s="2">
        <f>IF(AN23=15,L23,0)</f>
        <v>0</v>
      </c>
      <c r="AL23" s="2">
        <f>IF(AN23=21,L23,0)</f>
        <v>0</v>
      </c>
      <c r="AN23" s="2">
        <v>21</v>
      </c>
      <c r="AO23" s="2">
        <f>I23*0</f>
        <v>0</v>
      </c>
      <c r="AP23" s="2">
        <f>I23*(1-0)</f>
        <v>0</v>
      </c>
      <c r="AQ23" s="44" t="s">
        <v>432</v>
      </c>
      <c r="AV23" s="2">
        <f>AW23+AX23</f>
        <v>0</v>
      </c>
      <c r="AW23" s="2">
        <f>H23*AO23</f>
        <v>0</v>
      </c>
      <c r="AX23" s="2">
        <f>H23*AP23</f>
        <v>0</v>
      </c>
      <c r="AY23" s="44" t="s">
        <v>336</v>
      </c>
      <c r="AZ23" s="44" t="s">
        <v>355</v>
      </c>
      <c r="BA23" s="33" t="s">
        <v>329</v>
      </c>
      <c r="BC23" s="2">
        <f>AW23+AX23</f>
        <v>0</v>
      </c>
      <c r="BD23" s="2">
        <f>I23/(100-BE23)*100</f>
        <v>0</v>
      </c>
      <c r="BE23" s="2">
        <v>0</v>
      </c>
      <c r="BF23" s="2">
        <f>23</f>
        <v>23</v>
      </c>
      <c r="BH23" s="2">
        <f>H23*AO23</f>
        <v>0</v>
      </c>
      <c r="BI23" s="2">
        <f>H23*AP23</f>
        <v>0</v>
      </c>
      <c r="BJ23" s="2">
        <f>H23*I23</f>
        <v>0</v>
      </c>
      <c r="BK23" s="2"/>
      <c r="BL23" s="2">
        <v>713</v>
      </c>
    </row>
    <row r="24" spans="1:64" ht="15" customHeight="1" x14ac:dyDescent="0.3">
      <c r="A24" s="47"/>
      <c r="B24" s="23"/>
      <c r="C24" s="1" t="s">
        <v>429</v>
      </c>
      <c r="F24" s="1" t="s">
        <v>299</v>
      </c>
      <c r="G24" s="23"/>
      <c r="H24" s="4">
        <v>1</v>
      </c>
      <c r="I24" s="23"/>
      <c r="J24" s="23"/>
      <c r="K24" s="23"/>
      <c r="L24" s="23"/>
      <c r="M24" s="38"/>
    </row>
    <row r="25" spans="1:64" ht="15" customHeight="1" x14ac:dyDescent="0.3">
      <c r="A25" s="17" t="s">
        <v>75</v>
      </c>
      <c r="B25" s="13" t="s">
        <v>169</v>
      </c>
      <c r="C25" s="54" t="s">
        <v>113</v>
      </c>
      <c r="D25" s="53"/>
      <c r="E25" s="53"/>
      <c r="F25" s="54"/>
      <c r="G25" s="13" t="s">
        <v>361</v>
      </c>
      <c r="H25" s="43">
        <v>1</v>
      </c>
      <c r="I25" s="43"/>
      <c r="J25" s="43">
        <f>H25*AO25</f>
        <v>0</v>
      </c>
      <c r="K25" s="43">
        <f>H25*AP25</f>
        <v>0</v>
      </c>
      <c r="L25" s="43">
        <f>H25*I25</f>
        <v>0</v>
      </c>
      <c r="M25" s="35" t="s">
        <v>365</v>
      </c>
      <c r="Z25" s="2">
        <f>IF(AQ25="5",BJ25,0)</f>
        <v>0</v>
      </c>
      <c r="AB25" s="2">
        <f>IF(AQ25="1",BH25,0)</f>
        <v>0</v>
      </c>
      <c r="AC25" s="2">
        <f>IF(AQ25="1",BI25,0)</f>
        <v>0</v>
      </c>
      <c r="AD25" s="2">
        <f>IF(AQ25="7",BH25,0)</f>
        <v>0</v>
      </c>
      <c r="AE25" s="2">
        <f>IF(AQ25="7",BI25,0)</f>
        <v>0</v>
      </c>
      <c r="AF25" s="2">
        <f>IF(AQ25="2",BH25,0)</f>
        <v>0</v>
      </c>
      <c r="AG25" s="2">
        <f>IF(AQ25="2",BI25,0)</f>
        <v>0</v>
      </c>
      <c r="AH25" s="2">
        <f>IF(AQ25="0",BJ25,0)</f>
        <v>0</v>
      </c>
      <c r="AI25" s="33" t="s">
        <v>299</v>
      </c>
      <c r="AJ25" s="46">
        <f>IF(AN25=0,L25,0)</f>
        <v>0</v>
      </c>
      <c r="AK25" s="46">
        <f>IF(AN25=15,L25,0)</f>
        <v>0</v>
      </c>
      <c r="AL25" s="46">
        <f>IF(AN25=21,L25,0)</f>
        <v>0</v>
      </c>
      <c r="AN25" s="2">
        <v>21</v>
      </c>
      <c r="AO25" s="2">
        <f>I25*1</f>
        <v>0</v>
      </c>
      <c r="AP25" s="2">
        <f>I25*(1-1)</f>
        <v>0</v>
      </c>
      <c r="AQ25" s="27" t="s">
        <v>432</v>
      </c>
      <c r="AV25" s="2">
        <f>AW25+AX25</f>
        <v>0</v>
      </c>
      <c r="AW25" s="2">
        <f>H25*AO25</f>
        <v>0</v>
      </c>
      <c r="AX25" s="2">
        <f>H25*AP25</f>
        <v>0</v>
      </c>
      <c r="AY25" s="44" t="s">
        <v>336</v>
      </c>
      <c r="AZ25" s="44" t="s">
        <v>355</v>
      </c>
      <c r="BA25" s="33" t="s">
        <v>329</v>
      </c>
      <c r="BC25" s="2">
        <f>AW25+AX25</f>
        <v>0</v>
      </c>
      <c r="BD25" s="2">
        <f>I25/(100-BE25)*100</f>
        <v>0</v>
      </c>
      <c r="BE25" s="2">
        <v>0</v>
      </c>
      <c r="BF25" s="2">
        <f>25</f>
        <v>25</v>
      </c>
      <c r="BH25" s="46">
        <f>H25*AO25</f>
        <v>0</v>
      </c>
      <c r="BI25" s="46">
        <f>H25*AP25</f>
        <v>0</v>
      </c>
      <c r="BJ25" s="46">
        <f>H25*I25</f>
        <v>0</v>
      </c>
      <c r="BK25" s="46"/>
      <c r="BL25" s="2">
        <v>713</v>
      </c>
    </row>
    <row r="26" spans="1:64" ht="15" customHeight="1" x14ac:dyDescent="0.3">
      <c r="A26" s="47"/>
      <c r="B26" s="23"/>
      <c r="C26" s="1" t="s">
        <v>429</v>
      </c>
      <c r="F26" s="1" t="s">
        <v>299</v>
      </c>
      <c r="G26" s="23"/>
      <c r="H26" s="4">
        <v>1</v>
      </c>
      <c r="I26" s="23"/>
      <c r="J26" s="23"/>
      <c r="K26" s="23"/>
      <c r="L26" s="23"/>
      <c r="M26" s="38"/>
    </row>
    <row r="27" spans="1:64" ht="15" customHeight="1" x14ac:dyDescent="0.3">
      <c r="A27" s="17" t="s">
        <v>432</v>
      </c>
      <c r="B27" s="13" t="s">
        <v>125</v>
      </c>
      <c r="C27" s="54" t="s">
        <v>468</v>
      </c>
      <c r="D27" s="53"/>
      <c r="E27" s="53"/>
      <c r="F27" s="54"/>
      <c r="G27" s="13" t="s">
        <v>361</v>
      </c>
      <c r="H27" s="43">
        <v>1</v>
      </c>
      <c r="I27" s="43"/>
      <c r="J27" s="43">
        <f>H27*AO27</f>
        <v>0</v>
      </c>
      <c r="K27" s="43">
        <f>H27*AP27</f>
        <v>0</v>
      </c>
      <c r="L27" s="43">
        <f>H27*I27</f>
        <v>0</v>
      </c>
      <c r="M27" s="35" t="s">
        <v>365</v>
      </c>
      <c r="Z27" s="2">
        <f>IF(AQ27="5",BJ27,0)</f>
        <v>0</v>
      </c>
      <c r="AB27" s="2">
        <f>IF(AQ27="1",BH27,0)</f>
        <v>0</v>
      </c>
      <c r="AC27" s="2">
        <f>IF(AQ27="1",BI27,0)</f>
        <v>0</v>
      </c>
      <c r="AD27" s="2">
        <f>IF(AQ27="7",BH27,0)</f>
        <v>0</v>
      </c>
      <c r="AE27" s="2">
        <f>IF(AQ27="7",BI27,0)</f>
        <v>0</v>
      </c>
      <c r="AF27" s="2">
        <f>IF(AQ27="2",BH27,0)</f>
        <v>0</v>
      </c>
      <c r="AG27" s="2">
        <f>IF(AQ27="2",BI27,0)</f>
        <v>0</v>
      </c>
      <c r="AH27" s="2">
        <f>IF(AQ27="0",BJ27,0)</f>
        <v>0</v>
      </c>
      <c r="AI27" s="33" t="s">
        <v>299</v>
      </c>
      <c r="AJ27" s="46">
        <f>IF(AN27=0,L27,0)</f>
        <v>0</v>
      </c>
      <c r="AK27" s="46">
        <f>IF(AN27=15,L27,0)</f>
        <v>0</v>
      </c>
      <c r="AL27" s="46">
        <f>IF(AN27=21,L27,0)</f>
        <v>0</v>
      </c>
      <c r="AN27" s="2">
        <v>21</v>
      </c>
      <c r="AO27" s="2">
        <f>I27*1</f>
        <v>0</v>
      </c>
      <c r="AP27" s="2">
        <f>I27*(1-1)</f>
        <v>0</v>
      </c>
      <c r="AQ27" s="27" t="s">
        <v>432</v>
      </c>
      <c r="AV27" s="2">
        <f>AW27+AX27</f>
        <v>0</v>
      </c>
      <c r="AW27" s="2">
        <f>H27*AO27</f>
        <v>0</v>
      </c>
      <c r="AX27" s="2">
        <f>H27*AP27</f>
        <v>0</v>
      </c>
      <c r="AY27" s="44" t="s">
        <v>336</v>
      </c>
      <c r="AZ27" s="44" t="s">
        <v>355</v>
      </c>
      <c r="BA27" s="33" t="s">
        <v>329</v>
      </c>
      <c r="BC27" s="2">
        <f>AW27+AX27</f>
        <v>0</v>
      </c>
      <c r="BD27" s="2">
        <f>I27/(100-BE27)*100</f>
        <v>0</v>
      </c>
      <c r="BE27" s="2">
        <v>0</v>
      </c>
      <c r="BF27" s="2">
        <f>27</f>
        <v>27</v>
      </c>
      <c r="BH27" s="46">
        <f>H27*AO27</f>
        <v>0</v>
      </c>
      <c r="BI27" s="46">
        <f>H27*AP27</f>
        <v>0</v>
      </c>
      <c r="BJ27" s="46">
        <f>H27*I27</f>
        <v>0</v>
      </c>
      <c r="BK27" s="46"/>
      <c r="BL27" s="2">
        <v>713</v>
      </c>
    </row>
    <row r="28" spans="1:64" ht="15" customHeight="1" x14ac:dyDescent="0.3">
      <c r="A28" s="47"/>
      <c r="B28" s="23"/>
      <c r="C28" s="1" t="s">
        <v>429</v>
      </c>
      <c r="F28" s="1" t="s">
        <v>299</v>
      </c>
      <c r="G28" s="23"/>
      <c r="H28" s="4">
        <v>1</v>
      </c>
      <c r="I28" s="23"/>
      <c r="J28" s="23"/>
      <c r="K28" s="23"/>
      <c r="L28" s="23"/>
      <c r="M28" s="38"/>
    </row>
    <row r="29" spans="1:64" ht="15" customHeight="1" x14ac:dyDescent="0.3">
      <c r="A29" s="19" t="s">
        <v>299</v>
      </c>
      <c r="B29" s="34" t="s">
        <v>278</v>
      </c>
      <c r="C29" s="52" t="s">
        <v>487</v>
      </c>
      <c r="D29" s="52"/>
      <c r="E29" s="52"/>
      <c r="F29" s="52"/>
      <c r="G29" s="12" t="s">
        <v>400</v>
      </c>
      <c r="H29" s="12" t="s">
        <v>400</v>
      </c>
      <c r="I29" s="12" t="s">
        <v>400</v>
      </c>
      <c r="J29" s="15">
        <f>SUM(J30:J48)</f>
        <v>0</v>
      </c>
      <c r="K29" s="15">
        <f>SUM(K30:K48)</f>
        <v>0</v>
      </c>
      <c r="L29" s="15">
        <f>SUM(L30:L48)</f>
        <v>0</v>
      </c>
      <c r="M29" s="18" t="s">
        <v>299</v>
      </c>
      <c r="AI29" s="33" t="s">
        <v>299</v>
      </c>
      <c r="AS29" s="15">
        <f>SUM(AJ30:AJ48)</f>
        <v>0</v>
      </c>
      <c r="AT29" s="15">
        <f>SUM(AK30:AK48)</f>
        <v>0</v>
      </c>
      <c r="AU29" s="15">
        <f>SUM(AL30:AL48)</f>
        <v>0</v>
      </c>
    </row>
    <row r="30" spans="1:64" ht="15" customHeight="1" x14ac:dyDescent="0.3">
      <c r="A30" s="11" t="s">
        <v>155</v>
      </c>
      <c r="B30" s="8" t="s">
        <v>90</v>
      </c>
      <c r="C30" s="51" t="s">
        <v>294</v>
      </c>
      <c r="D30" s="50"/>
      <c r="E30" s="50"/>
      <c r="F30" s="51"/>
      <c r="G30" s="8" t="s">
        <v>361</v>
      </c>
      <c r="H30" s="24">
        <v>4</v>
      </c>
      <c r="I30" s="24"/>
      <c r="J30" s="24">
        <f>H30*AO30</f>
        <v>0</v>
      </c>
      <c r="K30" s="24">
        <f>H30*AP30</f>
        <v>0</v>
      </c>
      <c r="L30" s="24">
        <f>H30*I30</f>
        <v>0</v>
      </c>
      <c r="M30" s="28" t="s">
        <v>365</v>
      </c>
      <c r="Z30" s="2">
        <f>IF(AQ30="5",BJ30,0)</f>
        <v>0</v>
      </c>
      <c r="AB30" s="2">
        <f>IF(AQ30="1",BH30,0)</f>
        <v>0</v>
      </c>
      <c r="AC30" s="2">
        <f>IF(AQ30="1",BI30,0)</f>
        <v>0</v>
      </c>
      <c r="AD30" s="2">
        <f>IF(AQ30="7",BH30,0)</f>
        <v>0</v>
      </c>
      <c r="AE30" s="2">
        <f>IF(AQ30="7",BI30,0)</f>
        <v>0</v>
      </c>
      <c r="AF30" s="2">
        <f>IF(AQ30="2",BH30,0)</f>
        <v>0</v>
      </c>
      <c r="AG30" s="2">
        <f>IF(AQ30="2",BI30,0)</f>
        <v>0</v>
      </c>
      <c r="AH30" s="2">
        <f>IF(AQ30="0",BJ30,0)</f>
        <v>0</v>
      </c>
      <c r="AI30" s="33" t="s">
        <v>299</v>
      </c>
      <c r="AJ30" s="2">
        <f>IF(AN30=0,L30,0)</f>
        <v>0</v>
      </c>
      <c r="AK30" s="2">
        <f>IF(AN30=15,L30,0)</f>
        <v>0</v>
      </c>
      <c r="AL30" s="2">
        <f>IF(AN30=21,L30,0)</f>
        <v>0</v>
      </c>
      <c r="AN30" s="2">
        <v>21</v>
      </c>
      <c r="AO30" s="2">
        <f>I30*0</f>
        <v>0</v>
      </c>
      <c r="AP30" s="2">
        <f>I30*(1-0)</f>
        <v>0</v>
      </c>
      <c r="AQ30" s="44" t="s">
        <v>432</v>
      </c>
      <c r="AV30" s="2">
        <f>AW30+AX30</f>
        <v>0</v>
      </c>
      <c r="AW30" s="2">
        <f>H30*AO30</f>
        <v>0</v>
      </c>
      <c r="AX30" s="2">
        <f>H30*AP30</f>
        <v>0</v>
      </c>
      <c r="AY30" s="44" t="s">
        <v>71</v>
      </c>
      <c r="AZ30" s="44" t="s">
        <v>32</v>
      </c>
      <c r="BA30" s="33" t="s">
        <v>329</v>
      </c>
      <c r="BC30" s="2">
        <f>AW30+AX30</f>
        <v>0</v>
      </c>
      <c r="BD30" s="2">
        <f>I30/(100-BE30)*100</f>
        <v>0</v>
      </c>
      <c r="BE30" s="2">
        <v>0</v>
      </c>
      <c r="BF30" s="2">
        <f>31</f>
        <v>31</v>
      </c>
      <c r="BH30" s="2">
        <f>H30*AO30</f>
        <v>0</v>
      </c>
      <c r="BI30" s="2">
        <f>H30*AP30</f>
        <v>0</v>
      </c>
      <c r="BJ30" s="2">
        <f>H30*I30</f>
        <v>0</v>
      </c>
      <c r="BK30" s="2"/>
      <c r="BL30" s="2">
        <v>721</v>
      </c>
    </row>
    <row r="31" spans="1:64" ht="15" customHeight="1" x14ac:dyDescent="0.3">
      <c r="A31" s="47"/>
      <c r="B31" s="23"/>
      <c r="C31" s="1" t="s">
        <v>56</v>
      </c>
      <c r="F31" s="1" t="s">
        <v>299</v>
      </c>
      <c r="G31" s="23"/>
      <c r="H31" s="4">
        <v>4</v>
      </c>
      <c r="I31" s="23"/>
      <c r="J31" s="23"/>
      <c r="K31" s="23"/>
      <c r="L31" s="23"/>
      <c r="M31" s="38"/>
    </row>
    <row r="32" spans="1:64" ht="15" customHeight="1" x14ac:dyDescent="0.3">
      <c r="A32" s="11" t="s">
        <v>246</v>
      </c>
      <c r="B32" s="8" t="s">
        <v>229</v>
      </c>
      <c r="C32" s="51" t="s">
        <v>228</v>
      </c>
      <c r="D32" s="50"/>
      <c r="E32" s="50"/>
      <c r="F32" s="51"/>
      <c r="G32" s="8" t="s">
        <v>188</v>
      </c>
      <c r="H32" s="24">
        <v>8.3999999999999995E-3</v>
      </c>
      <c r="I32" s="24"/>
      <c r="J32" s="24">
        <f>H32*AO32</f>
        <v>0</v>
      </c>
      <c r="K32" s="24">
        <f>H32*AP32</f>
        <v>0</v>
      </c>
      <c r="L32" s="24">
        <f>H32*I32</f>
        <v>0</v>
      </c>
      <c r="M32" s="28" t="s">
        <v>365</v>
      </c>
      <c r="Z32" s="2">
        <f>IF(AQ32="5",BJ32,0)</f>
        <v>0</v>
      </c>
      <c r="AB32" s="2">
        <f>IF(AQ32="1",BH32,0)</f>
        <v>0</v>
      </c>
      <c r="AC32" s="2">
        <f>IF(AQ32="1",BI32,0)</f>
        <v>0</v>
      </c>
      <c r="AD32" s="2">
        <f>IF(AQ32="7",BH32,0)</f>
        <v>0</v>
      </c>
      <c r="AE32" s="2">
        <f>IF(AQ32="7",BI32,0)</f>
        <v>0</v>
      </c>
      <c r="AF32" s="2">
        <f>IF(AQ32="2",BH32,0)</f>
        <v>0</v>
      </c>
      <c r="AG32" s="2">
        <f>IF(AQ32="2",BI32,0)</f>
        <v>0</v>
      </c>
      <c r="AH32" s="2">
        <f>IF(AQ32="0",BJ32,0)</f>
        <v>0</v>
      </c>
      <c r="AI32" s="33" t="s">
        <v>299</v>
      </c>
      <c r="AJ32" s="2">
        <f>IF(AN32=0,L32,0)</f>
        <v>0</v>
      </c>
      <c r="AK32" s="2">
        <f>IF(AN32=15,L32,0)</f>
        <v>0</v>
      </c>
      <c r="AL32" s="2">
        <f>IF(AN32=21,L32,0)</f>
        <v>0</v>
      </c>
      <c r="AN32" s="2">
        <v>21</v>
      </c>
      <c r="AO32" s="2">
        <f>I32*0</f>
        <v>0</v>
      </c>
      <c r="AP32" s="2">
        <f>I32*(1-0)</f>
        <v>0</v>
      </c>
      <c r="AQ32" s="44" t="s">
        <v>432</v>
      </c>
      <c r="AV32" s="2">
        <f>AW32+AX32</f>
        <v>0</v>
      </c>
      <c r="AW32" s="2">
        <f>H32*AO32</f>
        <v>0</v>
      </c>
      <c r="AX32" s="2">
        <f>H32*AP32</f>
        <v>0</v>
      </c>
      <c r="AY32" s="44" t="s">
        <v>71</v>
      </c>
      <c r="AZ32" s="44" t="s">
        <v>32</v>
      </c>
      <c r="BA32" s="33" t="s">
        <v>329</v>
      </c>
      <c r="BC32" s="2">
        <f>AW32+AX32</f>
        <v>0</v>
      </c>
      <c r="BD32" s="2">
        <f>I32/(100-BE32)*100</f>
        <v>0</v>
      </c>
      <c r="BE32" s="2">
        <v>0</v>
      </c>
      <c r="BF32" s="2">
        <f>33</f>
        <v>33</v>
      </c>
      <c r="BH32" s="2">
        <f>H32*AO32</f>
        <v>0</v>
      </c>
      <c r="BI32" s="2">
        <f>H32*AP32</f>
        <v>0</v>
      </c>
      <c r="BJ32" s="2">
        <f>H32*I32</f>
        <v>0</v>
      </c>
      <c r="BK32" s="2"/>
      <c r="BL32" s="2">
        <v>721</v>
      </c>
    </row>
    <row r="33" spans="1:64" ht="15" customHeight="1" x14ac:dyDescent="0.3">
      <c r="A33" s="47"/>
      <c r="B33" s="23"/>
      <c r="C33" s="1" t="s">
        <v>305</v>
      </c>
      <c r="F33" s="1" t="s">
        <v>388</v>
      </c>
      <c r="G33" s="23"/>
      <c r="H33" s="4">
        <v>8.4000000000000012E-3</v>
      </c>
      <c r="I33" s="23"/>
      <c r="J33" s="23"/>
      <c r="K33" s="23"/>
      <c r="L33" s="23"/>
      <c r="M33" s="38"/>
    </row>
    <row r="34" spans="1:64" ht="15" customHeight="1" x14ac:dyDescent="0.3">
      <c r="A34" s="11" t="s">
        <v>364</v>
      </c>
      <c r="B34" s="8" t="s">
        <v>164</v>
      </c>
      <c r="C34" s="51" t="s">
        <v>353</v>
      </c>
      <c r="D34" s="50"/>
      <c r="E34" s="50"/>
      <c r="F34" s="51"/>
      <c r="G34" s="8" t="s">
        <v>361</v>
      </c>
      <c r="H34" s="24">
        <v>10</v>
      </c>
      <c r="I34" s="24"/>
      <c r="J34" s="24">
        <f>H34*AO34</f>
        <v>0</v>
      </c>
      <c r="K34" s="24">
        <f>H34*AP34</f>
        <v>0</v>
      </c>
      <c r="L34" s="24">
        <f>H34*I34</f>
        <v>0</v>
      </c>
      <c r="M34" s="28" t="s">
        <v>365</v>
      </c>
      <c r="Z34" s="2">
        <f>IF(AQ34="5",BJ34,0)</f>
        <v>0</v>
      </c>
      <c r="AB34" s="2">
        <f>IF(AQ34="1",BH34,0)</f>
        <v>0</v>
      </c>
      <c r="AC34" s="2">
        <f>IF(AQ34="1",BI34,0)</f>
        <v>0</v>
      </c>
      <c r="AD34" s="2">
        <f>IF(AQ34="7",BH34,0)</f>
        <v>0</v>
      </c>
      <c r="AE34" s="2">
        <f>IF(AQ34="7",BI34,0)</f>
        <v>0</v>
      </c>
      <c r="AF34" s="2">
        <f>IF(AQ34="2",BH34,0)</f>
        <v>0</v>
      </c>
      <c r="AG34" s="2">
        <f>IF(AQ34="2",BI34,0)</f>
        <v>0</v>
      </c>
      <c r="AH34" s="2">
        <f>IF(AQ34="0",BJ34,0)</f>
        <v>0</v>
      </c>
      <c r="AI34" s="33" t="s">
        <v>299</v>
      </c>
      <c r="AJ34" s="2">
        <f>IF(AN34=0,L34,0)</f>
        <v>0</v>
      </c>
      <c r="AK34" s="2">
        <f>IF(AN34=15,L34,0)</f>
        <v>0</v>
      </c>
      <c r="AL34" s="2">
        <f>IF(AN34=21,L34,0)</f>
        <v>0</v>
      </c>
      <c r="AN34" s="2">
        <v>21</v>
      </c>
      <c r="AO34" s="2">
        <f>I34*0.4039375</f>
        <v>0</v>
      </c>
      <c r="AP34" s="2">
        <f>I34*(1-0.4039375)</f>
        <v>0</v>
      </c>
      <c r="AQ34" s="44" t="s">
        <v>432</v>
      </c>
      <c r="AV34" s="2">
        <f>AW34+AX34</f>
        <v>0</v>
      </c>
      <c r="AW34" s="2">
        <f>H34*AO34</f>
        <v>0</v>
      </c>
      <c r="AX34" s="2">
        <f>H34*AP34</f>
        <v>0</v>
      </c>
      <c r="AY34" s="44" t="s">
        <v>71</v>
      </c>
      <c r="AZ34" s="44" t="s">
        <v>32</v>
      </c>
      <c r="BA34" s="33" t="s">
        <v>329</v>
      </c>
      <c r="BC34" s="2">
        <f>AW34+AX34</f>
        <v>0</v>
      </c>
      <c r="BD34" s="2">
        <f>I34/(100-BE34)*100</f>
        <v>0</v>
      </c>
      <c r="BE34" s="2">
        <v>0</v>
      </c>
      <c r="BF34" s="2">
        <f>35</f>
        <v>35</v>
      </c>
      <c r="BH34" s="2">
        <f>H34*AO34</f>
        <v>0</v>
      </c>
      <c r="BI34" s="2">
        <f>H34*AP34</f>
        <v>0</v>
      </c>
      <c r="BJ34" s="2">
        <f>H34*I34</f>
        <v>0</v>
      </c>
      <c r="BK34" s="2"/>
      <c r="BL34" s="2">
        <v>721</v>
      </c>
    </row>
    <row r="35" spans="1:64" ht="15" customHeight="1" x14ac:dyDescent="0.3">
      <c r="A35" s="47"/>
      <c r="B35" s="23"/>
      <c r="C35" s="1" t="s">
        <v>246</v>
      </c>
      <c r="F35" s="1" t="s">
        <v>299</v>
      </c>
      <c r="G35" s="23"/>
      <c r="H35" s="4">
        <v>10</v>
      </c>
      <c r="I35" s="23"/>
      <c r="J35" s="23"/>
      <c r="K35" s="23"/>
      <c r="L35" s="23"/>
      <c r="M35" s="38"/>
    </row>
    <row r="36" spans="1:64" ht="15" customHeight="1" x14ac:dyDescent="0.3">
      <c r="A36" s="11" t="s">
        <v>316</v>
      </c>
      <c r="B36" s="8" t="s">
        <v>176</v>
      </c>
      <c r="C36" s="51" t="s">
        <v>435</v>
      </c>
      <c r="D36" s="50"/>
      <c r="E36" s="50"/>
      <c r="F36" s="51"/>
      <c r="G36" s="8" t="s">
        <v>361</v>
      </c>
      <c r="H36" s="24">
        <v>9</v>
      </c>
      <c r="I36" s="24"/>
      <c r="J36" s="24">
        <f>H36*AO36</f>
        <v>0</v>
      </c>
      <c r="K36" s="24">
        <f>H36*AP36</f>
        <v>0</v>
      </c>
      <c r="L36" s="24">
        <f>H36*I36</f>
        <v>0</v>
      </c>
      <c r="M36" s="28" t="s">
        <v>365</v>
      </c>
      <c r="Z36" s="2">
        <f>IF(AQ36="5",BJ36,0)</f>
        <v>0</v>
      </c>
      <c r="AB36" s="2">
        <f>IF(AQ36="1",BH36,0)</f>
        <v>0</v>
      </c>
      <c r="AC36" s="2">
        <f>IF(AQ36="1",BI36,0)</f>
        <v>0</v>
      </c>
      <c r="AD36" s="2">
        <f>IF(AQ36="7",BH36,0)</f>
        <v>0</v>
      </c>
      <c r="AE36" s="2">
        <f>IF(AQ36="7",BI36,0)</f>
        <v>0</v>
      </c>
      <c r="AF36" s="2">
        <f>IF(AQ36="2",BH36,0)</f>
        <v>0</v>
      </c>
      <c r="AG36" s="2">
        <f>IF(AQ36="2",BI36,0)</f>
        <v>0</v>
      </c>
      <c r="AH36" s="2">
        <f>IF(AQ36="0",BJ36,0)</f>
        <v>0</v>
      </c>
      <c r="AI36" s="33" t="s">
        <v>299</v>
      </c>
      <c r="AJ36" s="2">
        <f>IF(AN36=0,L36,0)</f>
        <v>0</v>
      </c>
      <c r="AK36" s="2">
        <f>IF(AN36=15,L36,0)</f>
        <v>0</v>
      </c>
      <c r="AL36" s="2">
        <f>IF(AN36=21,L36,0)</f>
        <v>0</v>
      </c>
      <c r="AN36" s="2">
        <v>21</v>
      </c>
      <c r="AO36" s="2">
        <f>I36*0.386</f>
        <v>0</v>
      </c>
      <c r="AP36" s="2">
        <f>I36*(1-0.386)</f>
        <v>0</v>
      </c>
      <c r="AQ36" s="44" t="s">
        <v>432</v>
      </c>
      <c r="AV36" s="2">
        <f>AW36+AX36</f>
        <v>0</v>
      </c>
      <c r="AW36" s="2">
        <f>H36*AO36</f>
        <v>0</v>
      </c>
      <c r="AX36" s="2">
        <f>H36*AP36</f>
        <v>0</v>
      </c>
      <c r="AY36" s="44" t="s">
        <v>71</v>
      </c>
      <c r="AZ36" s="44" t="s">
        <v>32</v>
      </c>
      <c r="BA36" s="33" t="s">
        <v>329</v>
      </c>
      <c r="BC36" s="2">
        <f>AW36+AX36</f>
        <v>0</v>
      </c>
      <c r="BD36" s="2">
        <f>I36/(100-BE36)*100</f>
        <v>0</v>
      </c>
      <c r="BE36" s="2">
        <v>0</v>
      </c>
      <c r="BF36" s="2">
        <f>37</f>
        <v>37</v>
      </c>
      <c r="BH36" s="2">
        <f>H36*AO36</f>
        <v>0</v>
      </c>
      <c r="BI36" s="2">
        <f>H36*AP36</f>
        <v>0</v>
      </c>
      <c r="BJ36" s="2">
        <f>H36*I36</f>
        <v>0</v>
      </c>
      <c r="BK36" s="2"/>
      <c r="BL36" s="2">
        <v>721</v>
      </c>
    </row>
    <row r="37" spans="1:64" ht="15" customHeight="1" x14ac:dyDescent="0.3">
      <c r="A37" s="47"/>
      <c r="B37" s="23"/>
      <c r="C37" s="1" t="s">
        <v>155</v>
      </c>
      <c r="F37" s="1" t="s">
        <v>299</v>
      </c>
      <c r="G37" s="23"/>
      <c r="H37" s="4">
        <v>9</v>
      </c>
      <c r="I37" s="23"/>
      <c r="J37" s="23"/>
      <c r="K37" s="23"/>
      <c r="L37" s="23"/>
      <c r="M37" s="38"/>
    </row>
    <row r="38" spans="1:64" ht="15" customHeight="1" x14ac:dyDescent="0.3">
      <c r="A38" s="11" t="s">
        <v>128</v>
      </c>
      <c r="B38" s="8" t="s">
        <v>22</v>
      </c>
      <c r="C38" s="51" t="s">
        <v>327</v>
      </c>
      <c r="D38" s="50"/>
      <c r="E38" s="50"/>
      <c r="F38" s="51"/>
      <c r="G38" s="8" t="s">
        <v>361</v>
      </c>
      <c r="H38" s="24">
        <v>4</v>
      </c>
      <c r="I38" s="24"/>
      <c r="J38" s="24">
        <f>H38*AO38</f>
        <v>0</v>
      </c>
      <c r="K38" s="24">
        <f>H38*AP38</f>
        <v>0</v>
      </c>
      <c r="L38" s="24">
        <f>H38*I38</f>
        <v>0</v>
      </c>
      <c r="M38" s="28" t="s">
        <v>365</v>
      </c>
      <c r="Z38" s="2">
        <f>IF(AQ38="5",BJ38,0)</f>
        <v>0</v>
      </c>
      <c r="AB38" s="2">
        <f>IF(AQ38="1",BH38,0)</f>
        <v>0</v>
      </c>
      <c r="AC38" s="2">
        <f>IF(AQ38="1",BI38,0)</f>
        <v>0</v>
      </c>
      <c r="AD38" s="2">
        <f>IF(AQ38="7",BH38,0)</f>
        <v>0</v>
      </c>
      <c r="AE38" s="2">
        <f>IF(AQ38="7",BI38,0)</f>
        <v>0</v>
      </c>
      <c r="AF38" s="2">
        <f>IF(AQ38="2",BH38,0)</f>
        <v>0</v>
      </c>
      <c r="AG38" s="2">
        <f>IF(AQ38="2",BI38,0)</f>
        <v>0</v>
      </c>
      <c r="AH38" s="2">
        <f>IF(AQ38="0",BJ38,0)</f>
        <v>0</v>
      </c>
      <c r="AI38" s="33" t="s">
        <v>299</v>
      </c>
      <c r="AJ38" s="2">
        <f>IF(AN38=0,L38,0)</f>
        <v>0</v>
      </c>
      <c r="AK38" s="2">
        <f>IF(AN38=15,L38,0)</f>
        <v>0</v>
      </c>
      <c r="AL38" s="2">
        <f>IF(AN38=21,L38,0)</f>
        <v>0</v>
      </c>
      <c r="AN38" s="2">
        <v>21</v>
      </c>
      <c r="AO38" s="2">
        <f>I38*0.54203096391155</f>
        <v>0</v>
      </c>
      <c r="AP38" s="2">
        <f>I38*(1-0.54203096391155)</f>
        <v>0</v>
      </c>
      <c r="AQ38" s="44" t="s">
        <v>432</v>
      </c>
      <c r="AV38" s="2">
        <f>AW38+AX38</f>
        <v>0</v>
      </c>
      <c r="AW38" s="2">
        <f>H38*AO38</f>
        <v>0</v>
      </c>
      <c r="AX38" s="2">
        <f>H38*AP38</f>
        <v>0</v>
      </c>
      <c r="AY38" s="44" t="s">
        <v>71</v>
      </c>
      <c r="AZ38" s="44" t="s">
        <v>32</v>
      </c>
      <c r="BA38" s="33" t="s">
        <v>329</v>
      </c>
      <c r="BC38" s="2">
        <f>AW38+AX38</f>
        <v>0</v>
      </c>
      <c r="BD38" s="2">
        <f>I38/(100-BE38)*100</f>
        <v>0</v>
      </c>
      <c r="BE38" s="2">
        <v>0</v>
      </c>
      <c r="BF38" s="2">
        <f>39</f>
        <v>39</v>
      </c>
      <c r="BH38" s="2">
        <f>H38*AO38</f>
        <v>0</v>
      </c>
      <c r="BI38" s="2">
        <f>H38*AP38</f>
        <v>0</v>
      </c>
      <c r="BJ38" s="2">
        <f>H38*I38</f>
        <v>0</v>
      </c>
      <c r="BK38" s="2"/>
      <c r="BL38" s="2">
        <v>721</v>
      </c>
    </row>
    <row r="39" spans="1:64" ht="15" customHeight="1" x14ac:dyDescent="0.3">
      <c r="A39" s="47"/>
      <c r="B39" s="23"/>
      <c r="C39" s="1" t="s">
        <v>56</v>
      </c>
      <c r="F39" s="1" t="s">
        <v>299</v>
      </c>
      <c r="G39" s="23"/>
      <c r="H39" s="4">
        <v>4</v>
      </c>
      <c r="I39" s="23"/>
      <c r="J39" s="23"/>
      <c r="K39" s="23"/>
      <c r="L39" s="23"/>
      <c r="M39" s="38"/>
    </row>
    <row r="40" spans="1:64" ht="15" customHeight="1" x14ac:dyDescent="0.3">
      <c r="A40" s="11" t="s">
        <v>251</v>
      </c>
      <c r="B40" s="8" t="s">
        <v>25</v>
      </c>
      <c r="C40" s="51" t="s">
        <v>250</v>
      </c>
      <c r="D40" s="50"/>
      <c r="E40" s="50"/>
      <c r="F40" s="51"/>
      <c r="G40" s="8" t="s">
        <v>111</v>
      </c>
      <c r="H40" s="24">
        <v>3</v>
      </c>
      <c r="I40" s="24"/>
      <c r="J40" s="24">
        <f>H40*AO40</f>
        <v>0</v>
      </c>
      <c r="K40" s="24">
        <f>H40*AP40</f>
        <v>0</v>
      </c>
      <c r="L40" s="24">
        <f>H40*I40</f>
        <v>0</v>
      </c>
      <c r="M40" s="28" t="s">
        <v>365</v>
      </c>
      <c r="Z40" s="2">
        <f>IF(AQ40="5",BJ40,0)</f>
        <v>0</v>
      </c>
      <c r="AB40" s="2">
        <f>IF(AQ40="1",BH40,0)</f>
        <v>0</v>
      </c>
      <c r="AC40" s="2">
        <f>IF(AQ40="1",BI40,0)</f>
        <v>0</v>
      </c>
      <c r="AD40" s="2">
        <f>IF(AQ40="7",BH40,0)</f>
        <v>0</v>
      </c>
      <c r="AE40" s="2">
        <f>IF(AQ40="7",BI40,0)</f>
        <v>0</v>
      </c>
      <c r="AF40" s="2">
        <f>IF(AQ40="2",BH40,0)</f>
        <v>0</v>
      </c>
      <c r="AG40" s="2">
        <f>IF(AQ40="2",BI40,0)</f>
        <v>0</v>
      </c>
      <c r="AH40" s="2">
        <f>IF(AQ40="0",BJ40,0)</f>
        <v>0</v>
      </c>
      <c r="AI40" s="33" t="s">
        <v>299</v>
      </c>
      <c r="AJ40" s="2">
        <f>IF(AN40=0,L40,0)</f>
        <v>0</v>
      </c>
      <c r="AK40" s="2">
        <f>IF(AN40=15,L40,0)</f>
        <v>0</v>
      </c>
      <c r="AL40" s="2">
        <f>IF(AN40=21,L40,0)</f>
        <v>0</v>
      </c>
      <c r="AN40" s="2">
        <v>21</v>
      </c>
      <c r="AO40" s="2">
        <f>I40*0</f>
        <v>0</v>
      </c>
      <c r="AP40" s="2">
        <f>I40*(1-0)</f>
        <v>0</v>
      </c>
      <c r="AQ40" s="44" t="s">
        <v>432</v>
      </c>
      <c r="AV40" s="2">
        <f>AW40+AX40</f>
        <v>0</v>
      </c>
      <c r="AW40" s="2">
        <f>H40*AO40</f>
        <v>0</v>
      </c>
      <c r="AX40" s="2">
        <f>H40*AP40</f>
        <v>0</v>
      </c>
      <c r="AY40" s="44" t="s">
        <v>71</v>
      </c>
      <c r="AZ40" s="44" t="s">
        <v>32</v>
      </c>
      <c r="BA40" s="33" t="s">
        <v>329</v>
      </c>
      <c r="BC40" s="2">
        <f>AW40+AX40</f>
        <v>0</v>
      </c>
      <c r="BD40" s="2">
        <f>I40/(100-BE40)*100</f>
        <v>0</v>
      </c>
      <c r="BE40" s="2">
        <v>0</v>
      </c>
      <c r="BF40" s="2">
        <f>41</f>
        <v>41</v>
      </c>
      <c r="BH40" s="2">
        <f>H40*AO40</f>
        <v>0</v>
      </c>
      <c r="BI40" s="2">
        <f>H40*AP40</f>
        <v>0</v>
      </c>
      <c r="BJ40" s="2">
        <f>H40*I40</f>
        <v>0</v>
      </c>
      <c r="BK40" s="2"/>
      <c r="BL40" s="2">
        <v>721</v>
      </c>
    </row>
    <row r="41" spans="1:64" ht="15" customHeight="1" x14ac:dyDescent="0.3">
      <c r="A41" s="47"/>
      <c r="B41" s="23"/>
      <c r="C41" s="1" t="s">
        <v>376</v>
      </c>
      <c r="F41" s="1" t="s">
        <v>299</v>
      </c>
      <c r="G41" s="23"/>
      <c r="H41" s="4">
        <v>3.0000000000000004</v>
      </c>
      <c r="I41" s="23"/>
      <c r="J41" s="23"/>
      <c r="K41" s="23"/>
      <c r="L41" s="23"/>
      <c r="M41" s="38"/>
    </row>
    <row r="42" spans="1:64" ht="15" customHeight="1" x14ac:dyDescent="0.3">
      <c r="A42" s="11" t="s">
        <v>161</v>
      </c>
      <c r="B42" s="8" t="s">
        <v>109</v>
      </c>
      <c r="C42" s="51" t="s">
        <v>26</v>
      </c>
      <c r="D42" s="50"/>
      <c r="E42" s="50"/>
      <c r="F42" s="51"/>
      <c r="G42" s="8" t="s">
        <v>111</v>
      </c>
      <c r="H42" s="24">
        <v>3</v>
      </c>
      <c r="I42" s="24"/>
      <c r="J42" s="24">
        <f>H42*AO42</f>
        <v>0</v>
      </c>
      <c r="K42" s="24">
        <f>H42*AP42</f>
        <v>0</v>
      </c>
      <c r="L42" s="24">
        <f>H42*I42</f>
        <v>0</v>
      </c>
      <c r="M42" s="28" t="s">
        <v>365</v>
      </c>
      <c r="Z42" s="2">
        <f>IF(AQ42="5",BJ42,0)</f>
        <v>0</v>
      </c>
      <c r="AB42" s="2">
        <f>IF(AQ42="1",BH42,0)</f>
        <v>0</v>
      </c>
      <c r="AC42" s="2">
        <f>IF(AQ42="1",BI42,0)</f>
        <v>0</v>
      </c>
      <c r="AD42" s="2">
        <f>IF(AQ42="7",BH42,0)</f>
        <v>0</v>
      </c>
      <c r="AE42" s="2">
        <f>IF(AQ42="7",BI42,0)</f>
        <v>0</v>
      </c>
      <c r="AF42" s="2">
        <f>IF(AQ42="2",BH42,0)</f>
        <v>0</v>
      </c>
      <c r="AG42" s="2">
        <f>IF(AQ42="2",BI42,0)</f>
        <v>0</v>
      </c>
      <c r="AH42" s="2">
        <f>IF(AQ42="0",BJ42,0)</f>
        <v>0</v>
      </c>
      <c r="AI42" s="33" t="s">
        <v>299</v>
      </c>
      <c r="AJ42" s="2">
        <f>IF(AN42=0,L42,0)</f>
        <v>0</v>
      </c>
      <c r="AK42" s="2">
        <f>IF(AN42=15,L42,0)</f>
        <v>0</v>
      </c>
      <c r="AL42" s="2">
        <f>IF(AN42=21,L42,0)</f>
        <v>0</v>
      </c>
      <c r="AN42" s="2">
        <v>21</v>
      </c>
      <c r="AO42" s="2">
        <f>I42*0</f>
        <v>0</v>
      </c>
      <c r="AP42" s="2">
        <f>I42*(1-0)</f>
        <v>0</v>
      </c>
      <c r="AQ42" s="44" t="s">
        <v>432</v>
      </c>
      <c r="AV42" s="2">
        <f>AW42+AX42</f>
        <v>0</v>
      </c>
      <c r="AW42" s="2">
        <f>H42*AO42</f>
        <v>0</v>
      </c>
      <c r="AX42" s="2">
        <f>H42*AP42</f>
        <v>0</v>
      </c>
      <c r="AY42" s="44" t="s">
        <v>71</v>
      </c>
      <c r="AZ42" s="44" t="s">
        <v>32</v>
      </c>
      <c r="BA42" s="33" t="s">
        <v>329</v>
      </c>
      <c r="BC42" s="2">
        <f>AW42+AX42</f>
        <v>0</v>
      </c>
      <c r="BD42" s="2">
        <f>I42/(100-BE42)*100</f>
        <v>0</v>
      </c>
      <c r="BE42" s="2">
        <v>0</v>
      </c>
      <c r="BF42" s="2">
        <f>43</f>
        <v>43</v>
      </c>
      <c r="BH42" s="2">
        <f>H42*AO42</f>
        <v>0</v>
      </c>
      <c r="BI42" s="2">
        <f>H42*AP42</f>
        <v>0</v>
      </c>
      <c r="BJ42" s="2">
        <f>H42*I42</f>
        <v>0</v>
      </c>
      <c r="BK42" s="2"/>
      <c r="BL42" s="2">
        <v>721</v>
      </c>
    </row>
    <row r="43" spans="1:64" ht="15" customHeight="1" x14ac:dyDescent="0.3">
      <c r="A43" s="47"/>
      <c r="B43" s="23"/>
      <c r="C43" s="1" t="s">
        <v>376</v>
      </c>
      <c r="F43" s="1" t="s">
        <v>299</v>
      </c>
      <c r="G43" s="23"/>
      <c r="H43" s="4">
        <v>3.0000000000000004</v>
      </c>
      <c r="I43" s="23"/>
      <c r="J43" s="23"/>
      <c r="K43" s="23"/>
      <c r="L43" s="23"/>
      <c r="M43" s="38"/>
    </row>
    <row r="44" spans="1:64" ht="15" customHeight="1" x14ac:dyDescent="0.3">
      <c r="A44" s="11" t="s">
        <v>45</v>
      </c>
      <c r="B44" s="8" t="s">
        <v>218</v>
      </c>
      <c r="C44" s="51" t="s">
        <v>449</v>
      </c>
      <c r="D44" s="50"/>
      <c r="E44" s="50"/>
      <c r="F44" s="51"/>
      <c r="G44" s="8" t="s">
        <v>111</v>
      </c>
      <c r="H44" s="24">
        <v>4</v>
      </c>
      <c r="I44" s="24"/>
      <c r="J44" s="24">
        <f>H44*AO44</f>
        <v>0</v>
      </c>
      <c r="K44" s="24">
        <f>H44*AP44</f>
        <v>0</v>
      </c>
      <c r="L44" s="24">
        <f>H44*I44</f>
        <v>0</v>
      </c>
      <c r="M44" s="28" t="s">
        <v>365</v>
      </c>
      <c r="Z44" s="2">
        <f>IF(AQ44="5",BJ44,0)</f>
        <v>0</v>
      </c>
      <c r="AB44" s="2">
        <f>IF(AQ44="1",BH44,0)</f>
        <v>0</v>
      </c>
      <c r="AC44" s="2">
        <f>IF(AQ44="1",BI44,0)</f>
        <v>0</v>
      </c>
      <c r="AD44" s="2">
        <f>IF(AQ44="7",BH44,0)</f>
        <v>0</v>
      </c>
      <c r="AE44" s="2">
        <f>IF(AQ44="7",BI44,0)</f>
        <v>0</v>
      </c>
      <c r="AF44" s="2">
        <f>IF(AQ44="2",BH44,0)</f>
        <v>0</v>
      </c>
      <c r="AG44" s="2">
        <f>IF(AQ44="2",BI44,0)</f>
        <v>0</v>
      </c>
      <c r="AH44" s="2">
        <f>IF(AQ44="0",BJ44,0)</f>
        <v>0</v>
      </c>
      <c r="AI44" s="33" t="s">
        <v>299</v>
      </c>
      <c r="AJ44" s="2">
        <f>IF(AN44=0,L44,0)</f>
        <v>0</v>
      </c>
      <c r="AK44" s="2">
        <f>IF(AN44=15,L44,0)</f>
        <v>0</v>
      </c>
      <c r="AL44" s="2">
        <f>IF(AN44=21,L44,0)</f>
        <v>0</v>
      </c>
      <c r="AN44" s="2">
        <v>21</v>
      </c>
      <c r="AO44" s="2">
        <f>I44*0.30998595505618</f>
        <v>0</v>
      </c>
      <c r="AP44" s="2">
        <f>I44*(1-0.30998595505618)</f>
        <v>0</v>
      </c>
      <c r="AQ44" s="44" t="s">
        <v>432</v>
      </c>
      <c r="AV44" s="2">
        <f>AW44+AX44</f>
        <v>0</v>
      </c>
      <c r="AW44" s="2">
        <f>H44*AO44</f>
        <v>0</v>
      </c>
      <c r="AX44" s="2">
        <f>H44*AP44</f>
        <v>0</v>
      </c>
      <c r="AY44" s="44" t="s">
        <v>71</v>
      </c>
      <c r="AZ44" s="44" t="s">
        <v>32</v>
      </c>
      <c r="BA44" s="33" t="s">
        <v>329</v>
      </c>
      <c r="BC44" s="2">
        <f>AW44+AX44</f>
        <v>0</v>
      </c>
      <c r="BD44" s="2">
        <f>I44/(100-BE44)*100</f>
        <v>0</v>
      </c>
      <c r="BE44" s="2">
        <v>0</v>
      </c>
      <c r="BF44" s="2">
        <f>45</f>
        <v>45</v>
      </c>
      <c r="BH44" s="2">
        <f>H44*AO44</f>
        <v>0</v>
      </c>
      <c r="BI44" s="2">
        <f>H44*AP44</f>
        <v>0</v>
      </c>
      <c r="BJ44" s="2">
        <f>H44*I44</f>
        <v>0</v>
      </c>
      <c r="BK44" s="2"/>
      <c r="BL44" s="2">
        <v>721</v>
      </c>
    </row>
    <row r="45" spans="1:64" ht="15" customHeight="1" x14ac:dyDescent="0.3">
      <c r="A45" s="47"/>
      <c r="B45" s="23"/>
      <c r="C45" s="1" t="s">
        <v>297</v>
      </c>
      <c r="F45" s="1" t="s">
        <v>190</v>
      </c>
      <c r="G45" s="23"/>
      <c r="H45" s="4">
        <v>2</v>
      </c>
      <c r="I45" s="23"/>
      <c r="J45" s="23"/>
      <c r="K45" s="23"/>
      <c r="L45" s="23"/>
      <c r="M45" s="38"/>
    </row>
    <row r="46" spans="1:64" ht="15" customHeight="1" x14ac:dyDescent="0.3">
      <c r="A46" s="47"/>
      <c r="B46" s="23"/>
      <c r="C46" s="1" t="s">
        <v>297</v>
      </c>
      <c r="F46" s="1" t="s">
        <v>388</v>
      </c>
      <c r="G46" s="23"/>
      <c r="H46" s="4">
        <v>2</v>
      </c>
      <c r="I46" s="23"/>
      <c r="J46" s="23"/>
      <c r="K46" s="23"/>
      <c r="L46" s="23"/>
      <c r="M46" s="38"/>
    </row>
    <row r="47" spans="1:64" ht="15" customHeight="1" x14ac:dyDescent="0.3">
      <c r="A47" s="11" t="s">
        <v>301</v>
      </c>
      <c r="B47" s="8" t="s">
        <v>369</v>
      </c>
      <c r="C47" s="51" t="s">
        <v>359</v>
      </c>
      <c r="D47" s="50"/>
      <c r="E47" s="50"/>
      <c r="F47" s="51"/>
      <c r="G47" s="8" t="s">
        <v>361</v>
      </c>
      <c r="H47" s="24">
        <v>22</v>
      </c>
      <c r="I47" s="24"/>
      <c r="J47" s="24">
        <f>H47*AO47</f>
        <v>0</v>
      </c>
      <c r="K47" s="24">
        <f>H47*AP47</f>
        <v>0</v>
      </c>
      <c r="L47" s="24">
        <f>H47*I47</f>
        <v>0</v>
      </c>
      <c r="M47" s="28" t="s">
        <v>365</v>
      </c>
      <c r="Z47" s="2">
        <f>IF(AQ47="5",BJ47,0)</f>
        <v>0</v>
      </c>
      <c r="AB47" s="2">
        <f>IF(AQ47="1",BH47,0)</f>
        <v>0</v>
      </c>
      <c r="AC47" s="2">
        <f>IF(AQ47="1",BI47,0)</f>
        <v>0</v>
      </c>
      <c r="AD47" s="2">
        <f>IF(AQ47="7",BH47,0)</f>
        <v>0</v>
      </c>
      <c r="AE47" s="2">
        <f>IF(AQ47="7",BI47,0)</f>
        <v>0</v>
      </c>
      <c r="AF47" s="2">
        <f>IF(AQ47="2",BH47,0)</f>
        <v>0</v>
      </c>
      <c r="AG47" s="2">
        <f>IF(AQ47="2",BI47,0)</f>
        <v>0</v>
      </c>
      <c r="AH47" s="2">
        <f>IF(AQ47="0",BJ47,0)</f>
        <v>0</v>
      </c>
      <c r="AI47" s="33" t="s">
        <v>299</v>
      </c>
      <c r="AJ47" s="2">
        <f>IF(AN47=0,L47,0)</f>
        <v>0</v>
      </c>
      <c r="AK47" s="2">
        <f>IF(AN47=15,L47,0)</f>
        <v>0</v>
      </c>
      <c r="AL47" s="2">
        <f>IF(AN47=21,L47,0)</f>
        <v>0</v>
      </c>
      <c r="AN47" s="2">
        <v>21</v>
      </c>
      <c r="AO47" s="2">
        <f>I47*0.0281368821292776</f>
        <v>0</v>
      </c>
      <c r="AP47" s="2">
        <f>I47*(1-0.0281368821292776)</f>
        <v>0</v>
      </c>
      <c r="AQ47" s="44" t="s">
        <v>432</v>
      </c>
      <c r="AV47" s="2">
        <f>AW47+AX47</f>
        <v>0</v>
      </c>
      <c r="AW47" s="2">
        <f>H47*AO47</f>
        <v>0</v>
      </c>
      <c r="AX47" s="2">
        <f>H47*AP47</f>
        <v>0</v>
      </c>
      <c r="AY47" s="44" t="s">
        <v>71</v>
      </c>
      <c r="AZ47" s="44" t="s">
        <v>32</v>
      </c>
      <c r="BA47" s="33" t="s">
        <v>329</v>
      </c>
      <c r="BC47" s="2">
        <f>AW47+AX47</f>
        <v>0</v>
      </c>
      <c r="BD47" s="2">
        <f>I47/(100-BE47)*100</f>
        <v>0</v>
      </c>
      <c r="BE47" s="2">
        <v>0</v>
      </c>
      <c r="BF47" s="2">
        <f>48</f>
        <v>48</v>
      </c>
      <c r="BH47" s="2">
        <f>H47*AO47</f>
        <v>0</v>
      </c>
      <c r="BI47" s="2">
        <f>H47*AP47</f>
        <v>0</v>
      </c>
      <c r="BJ47" s="2">
        <f>H47*I47</f>
        <v>0</v>
      </c>
      <c r="BK47" s="2"/>
      <c r="BL47" s="2">
        <v>721</v>
      </c>
    </row>
    <row r="48" spans="1:64" ht="15" customHeight="1" x14ac:dyDescent="0.3">
      <c r="A48" s="47"/>
      <c r="B48" s="23"/>
      <c r="C48" s="1" t="s">
        <v>409</v>
      </c>
      <c r="F48" s="1" t="s">
        <v>299</v>
      </c>
      <c r="G48" s="23"/>
      <c r="H48" s="4">
        <v>22.000000000000004</v>
      </c>
      <c r="I48" s="23"/>
      <c r="J48" s="23"/>
      <c r="K48" s="23"/>
      <c r="L48" s="23"/>
      <c r="M48" s="38"/>
    </row>
    <row r="49" spans="1:64" ht="15" customHeight="1" x14ac:dyDescent="0.3">
      <c r="A49" s="19" t="s">
        <v>299</v>
      </c>
      <c r="B49" s="34" t="s">
        <v>389</v>
      </c>
      <c r="C49" s="52" t="s">
        <v>263</v>
      </c>
      <c r="D49" s="52"/>
      <c r="E49" s="52"/>
      <c r="F49" s="52"/>
      <c r="G49" s="12" t="s">
        <v>400</v>
      </c>
      <c r="H49" s="12" t="s">
        <v>400</v>
      </c>
      <c r="I49" s="12" t="s">
        <v>400</v>
      </c>
      <c r="J49" s="15">
        <f>SUM(J50:J80)</f>
        <v>0</v>
      </c>
      <c r="K49" s="15">
        <f>SUM(K50:K80)</f>
        <v>0</v>
      </c>
      <c r="L49" s="15">
        <f>SUM(L50:L80)</f>
        <v>0</v>
      </c>
      <c r="M49" s="18" t="s">
        <v>299</v>
      </c>
      <c r="AI49" s="33" t="s">
        <v>299</v>
      </c>
      <c r="AS49" s="15">
        <f>SUM(AJ50:AJ80)</f>
        <v>0</v>
      </c>
      <c r="AT49" s="15">
        <f>SUM(AK50:AK80)</f>
        <v>0</v>
      </c>
      <c r="AU49" s="15">
        <f>SUM(AL50:AL80)</f>
        <v>0</v>
      </c>
    </row>
    <row r="50" spans="1:64" ht="15" customHeight="1" x14ac:dyDescent="0.3">
      <c r="A50" s="11" t="s">
        <v>275</v>
      </c>
      <c r="B50" s="8" t="s">
        <v>437</v>
      </c>
      <c r="C50" s="51" t="s">
        <v>108</v>
      </c>
      <c r="D50" s="50"/>
      <c r="E50" s="50"/>
      <c r="F50" s="51"/>
      <c r="G50" s="8" t="s">
        <v>361</v>
      </c>
      <c r="H50" s="24">
        <v>8</v>
      </c>
      <c r="I50" s="24"/>
      <c r="J50" s="24">
        <f>H50*AO50</f>
        <v>0</v>
      </c>
      <c r="K50" s="24">
        <f>H50*AP50</f>
        <v>0</v>
      </c>
      <c r="L50" s="24">
        <f>H50*I50</f>
        <v>0</v>
      </c>
      <c r="M50" s="28" t="s">
        <v>365</v>
      </c>
      <c r="Z50" s="2">
        <f>IF(AQ50="5",BJ50,0)</f>
        <v>0</v>
      </c>
      <c r="AB50" s="2">
        <f>IF(AQ50="1",BH50,0)</f>
        <v>0</v>
      </c>
      <c r="AC50" s="2">
        <f>IF(AQ50="1",BI50,0)</f>
        <v>0</v>
      </c>
      <c r="AD50" s="2">
        <f>IF(AQ50="7",BH50,0)</f>
        <v>0</v>
      </c>
      <c r="AE50" s="2">
        <f>IF(AQ50="7",BI50,0)</f>
        <v>0</v>
      </c>
      <c r="AF50" s="2">
        <f>IF(AQ50="2",BH50,0)</f>
        <v>0</v>
      </c>
      <c r="AG50" s="2">
        <f>IF(AQ50="2",BI50,0)</f>
        <v>0</v>
      </c>
      <c r="AH50" s="2">
        <f>IF(AQ50="0",BJ50,0)</f>
        <v>0</v>
      </c>
      <c r="AI50" s="33" t="s">
        <v>299</v>
      </c>
      <c r="AJ50" s="2">
        <f>IF(AN50=0,L50,0)</f>
        <v>0</v>
      </c>
      <c r="AK50" s="2">
        <f>IF(AN50=15,L50,0)</f>
        <v>0</v>
      </c>
      <c r="AL50" s="2">
        <f>IF(AN50=21,L50,0)</f>
        <v>0</v>
      </c>
      <c r="AN50" s="2">
        <v>21</v>
      </c>
      <c r="AO50" s="2">
        <f>I50*0.757148027506334</f>
        <v>0</v>
      </c>
      <c r="AP50" s="2">
        <f>I50*(1-0.757148027506334)</f>
        <v>0</v>
      </c>
      <c r="AQ50" s="44" t="s">
        <v>432</v>
      </c>
      <c r="AV50" s="2">
        <f>AW50+AX50</f>
        <v>0</v>
      </c>
      <c r="AW50" s="2">
        <f>H50*AO50</f>
        <v>0</v>
      </c>
      <c r="AX50" s="2">
        <f>H50*AP50</f>
        <v>0</v>
      </c>
      <c r="AY50" s="44" t="s">
        <v>274</v>
      </c>
      <c r="AZ50" s="44" t="s">
        <v>32</v>
      </c>
      <c r="BA50" s="33" t="s">
        <v>329</v>
      </c>
      <c r="BC50" s="2">
        <f>AW50+AX50</f>
        <v>0</v>
      </c>
      <c r="BD50" s="2">
        <f>I50/(100-BE50)*100</f>
        <v>0</v>
      </c>
      <c r="BE50" s="2">
        <v>0</v>
      </c>
      <c r="BF50" s="2">
        <f>52</f>
        <v>52</v>
      </c>
      <c r="BH50" s="2">
        <f>H50*AO50</f>
        <v>0</v>
      </c>
      <c r="BI50" s="2">
        <f>H50*AP50</f>
        <v>0</v>
      </c>
      <c r="BJ50" s="2">
        <f>H50*I50</f>
        <v>0</v>
      </c>
      <c r="BK50" s="2"/>
      <c r="BL50" s="2">
        <v>722</v>
      </c>
    </row>
    <row r="51" spans="1:64" ht="15" customHeight="1" x14ac:dyDescent="0.3">
      <c r="A51" s="47"/>
      <c r="B51" s="23"/>
      <c r="C51" s="1" t="s">
        <v>340</v>
      </c>
      <c r="F51" s="1" t="s">
        <v>299</v>
      </c>
      <c r="G51" s="23"/>
      <c r="H51" s="4">
        <v>8</v>
      </c>
      <c r="I51" s="23"/>
      <c r="J51" s="23"/>
      <c r="K51" s="23"/>
      <c r="L51" s="23"/>
      <c r="M51" s="38"/>
    </row>
    <row r="52" spans="1:64" ht="15" customHeight="1" x14ac:dyDescent="0.3">
      <c r="A52" s="11" t="s">
        <v>21</v>
      </c>
      <c r="B52" s="8" t="s">
        <v>416</v>
      </c>
      <c r="C52" s="51" t="s">
        <v>326</v>
      </c>
      <c r="D52" s="50"/>
      <c r="E52" s="50"/>
      <c r="F52" s="51"/>
      <c r="G52" s="8" t="s">
        <v>361</v>
      </c>
      <c r="H52" s="24">
        <v>28</v>
      </c>
      <c r="I52" s="24"/>
      <c r="J52" s="24">
        <f>H52*AO52</f>
        <v>0</v>
      </c>
      <c r="K52" s="24">
        <f>H52*AP52</f>
        <v>0</v>
      </c>
      <c r="L52" s="24">
        <f>H52*I52</f>
        <v>0</v>
      </c>
      <c r="M52" s="28" t="s">
        <v>365</v>
      </c>
      <c r="Z52" s="2">
        <f>IF(AQ52="5",BJ52,0)</f>
        <v>0</v>
      </c>
      <c r="AB52" s="2">
        <f>IF(AQ52="1",BH52,0)</f>
        <v>0</v>
      </c>
      <c r="AC52" s="2">
        <f>IF(AQ52="1",BI52,0)</f>
        <v>0</v>
      </c>
      <c r="AD52" s="2">
        <f>IF(AQ52="7",BH52,0)</f>
        <v>0</v>
      </c>
      <c r="AE52" s="2">
        <f>IF(AQ52="7",BI52,0)</f>
        <v>0</v>
      </c>
      <c r="AF52" s="2">
        <f>IF(AQ52="2",BH52,0)</f>
        <v>0</v>
      </c>
      <c r="AG52" s="2">
        <f>IF(AQ52="2",BI52,0)</f>
        <v>0</v>
      </c>
      <c r="AH52" s="2">
        <f>IF(AQ52="0",BJ52,0)</f>
        <v>0</v>
      </c>
      <c r="AI52" s="33" t="s">
        <v>299</v>
      </c>
      <c r="AJ52" s="2">
        <f>IF(AN52=0,L52,0)</f>
        <v>0</v>
      </c>
      <c r="AK52" s="2">
        <f>IF(AN52=15,L52,0)</f>
        <v>0</v>
      </c>
      <c r="AL52" s="2">
        <f>IF(AN52=21,L52,0)</f>
        <v>0</v>
      </c>
      <c r="AN52" s="2">
        <v>21</v>
      </c>
      <c r="AO52" s="2">
        <f>I52*0.294644243208279</f>
        <v>0</v>
      </c>
      <c r="AP52" s="2">
        <f>I52*(1-0.294644243208279)</f>
        <v>0</v>
      </c>
      <c r="AQ52" s="44" t="s">
        <v>432</v>
      </c>
      <c r="AV52" s="2">
        <f>AW52+AX52</f>
        <v>0</v>
      </c>
      <c r="AW52" s="2">
        <f>H52*AO52</f>
        <v>0</v>
      </c>
      <c r="AX52" s="2">
        <f>H52*AP52</f>
        <v>0</v>
      </c>
      <c r="AY52" s="44" t="s">
        <v>274</v>
      </c>
      <c r="AZ52" s="44" t="s">
        <v>32</v>
      </c>
      <c r="BA52" s="33" t="s">
        <v>329</v>
      </c>
      <c r="BC52" s="2">
        <f>AW52+AX52</f>
        <v>0</v>
      </c>
      <c r="BD52" s="2">
        <f>I52/(100-BE52)*100</f>
        <v>0</v>
      </c>
      <c r="BE52" s="2">
        <v>0</v>
      </c>
      <c r="BF52" s="2">
        <f>54</f>
        <v>54</v>
      </c>
      <c r="BH52" s="2">
        <f>H52*AO52</f>
        <v>0</v>
      </c>
      <c r="BI52" s="2">
        <f>H52*AP52</f>
        <v>0</v>
      </c>
      <c r="BJ52" s="2">
        <f>H52*I52</f>
        <v>0</v>
      </c>
      <c r="BK52" s="2"/>
      <c r="BL52" s="2">
        <v>722</v>
      </c>
    </row>
    <row r="53" spans="1:64" ht="15" customHeight="1" x14ac:dyDescent="0.3">
      <c r="A53" s="47"/>
      <c r="B53" s="23"/>
      <c r="C53" s="1" t="s">
        <v>316</v>
      </c>
      <c r="F53" s="1" t="s">
        <v>122</v>
      </c>
      <c r="G53" s="23"/>
      <c r="H53" s="4">
        <v>12.000000000000002</v>
      </c>
      <c r="I53" s="23"/>
      <c r="J53" s="23"/>
      <c r="K53" s="23"/>
      <c r="L53" s="23"/>
      <c r="M53" s="38"/>
    </row>
    <row r="54" spans="1:64" ht="15" customHeight="1" x14ac:dyDescent="0.3">
      <c r="A54" s="47"/>
      <c r="B54" s="23"/>
      <c r="C54" s="1" t="s">
        <v>45</v>
      </c>
      <c r="F54" s="1" t="s">
        <v>91</v>
      </c>
      <c r="G54" s="23"/>
      <c r="H54" s="4">
        <v>16</v>
      </c>
      <c r="I54" s="23"/>
      <c r="J54" s="23"/>
      <c r="K54" s="23"/>
      <c r="L54" s="23"/>
      <c r="M54" s="38"/>
    </row>
    <row r="55" spans="1:64" ht="15" customHeight="1" x14ac:dyDescent="0.3">
      <c r="A55" s="11" t="s">
        <v>307</v>
      </c>
      <c r="B55" s="8" t="s">
        <v>283</v>
      </c>
      <c r="C55" s="51" t="s">
        <v>244</v>
      </c>
      <c r="D55" s="50"/>
      <c r="E55" s="50"/>
      <c r="F55" s="51"/>
      <c r="G55" s="8" t="s">
        <v>361</v>
      </c>
      <c r="H55" s="24">
        <v>5</v>
      </c>
      <c r="I55" s="24"/>
      <c r="J55" s="24">
        <f>H55*AO55</f>
        <v>0</v>
      </c>
      <c r="K55" s="24">
        <f>H55*AP55</f>
        <v>0</v>
      </c>
      <c r="L55" s="24">
        <f>H55*I55</f>
        <v>0</v>
      </c>
      <c r="M55" s="28" t="s">
        <v>365</v>
      </c>
      <c r="Z55" s="2">
        <f>IF(AQ55="5",BJ55,0)</f>
        <v>0</v>
      </c>
      <c r="AB55" s="2">
        <f>IF(AQ55="1",BH55,0)</f>
        <v>0</v>
      </c>
      <c r="AC55" s="2">
        <f>IF(AQ55="1",BI55,0)</f>
        <v>0</v>
      </c>
      <c r="AD55" s="2">
        <f>IF(AQ55="7",BH55,0)</f>
        <v>0</v>
      </c>
      <c r="AE55" s="2">
        <f>IF(AQ55="7",BI55,0)</f>
        <v>0</v>
      </c>
      <c r="AF55" s="2">
        <f>IF(AQ55="2",BH55,0)</f>
        <v>0</v>
      </c>
      <c r="AG55" s="2">
        <f>IF(AQ55="2",BI55,0)</f>
        <v>0</v>
      </c>
      <c r="AH55" s="2">
        <f>IF(AQ55="0",BJ55,0)</f>
        <v>0</v>
      </c>
      <c r="AI55" s="33" t="s">
        <v>299</v>
      </c>
      <c r="AJ55" s="2">
        <f>IF(AN55=0,L55,0)</f>
        <v>0</v>
      </c>
      <c r="AK55" s="2">
        <f>IF(AN55=15,L55,0)</f>
        <v>0</v>
      </c>
      <c r="AL55" s="2">
        <f>IF(AN55=21,L55,0)</f>
        <v>0</v>
      </c>
      <c r="AN55" s="2">
        <v>21</v>
      </c>
      <c r="AO55" s="2">
        <f>I55*0.330862180896735</f>
        <v>0</v>
      </c>
      <c r="AP55" s="2">
        <f>I55*(1-0.330862180896735)</f>
        <v>0</v>
      </c>
      <c r="AQ55" s="44" t="s">
        <v>432</v>
      </c>
      <c r="AV55" s="2">
        <f>AW55+AX55</f>
        <v>0</v>
      </c>
      <c r="AW55" s="2">
        <f>H55*AO55</f>
        <v>0</v>
      </c>
      <c r="AX55" s="2">
        <f>H55*AP55</f>
        <v>0</v>
      </c>
      <c r="AY55" s="44" t="s">
        <v>274</v>
      </c>
      <c r="AZ55" s="44" t="s">
        <v>32</v>
      </c>
      <c r="BA55" s="33" t="s">
        <v>329</v>
      </c>
      <c r="BC55" s="2">
        <f>AW55+AX55</f>
        <v>0</v>
      </c>
      <c r="BD55" s="2">
        <f>I55/(100-BE55)*100</f>
        <v>0</v>
      </c>
      <c r="BE55" s="2">
        <v>0</v>
      </c>
      <c r="BF55" s="2">
        <f>57</f>
        <v>57</v>
      </c>
      <c r="BH55" s="2">
        <f>H55*AO55</f>
        <v>0</v>
      </c>
      <c r="BI55" s="2">
        <f>H55*AP55</f>
        <v>0</v>
      </c>
      <c r="BJ55" s="2">
        <f>H55*I55</f>
        <v>0</v>
      </c>
      <c r="BK55" s="2"/>
      <c r="BL55" s="2">
        <v>722</v>
      </c>
    </row>
    <row r="56" spans="1:64" ht="15" customHeight="1" x14ac:dyDescent="0.3">
      <c r="A56" s="47"/>
      <c r="B56" s="23"/>
      <c r="C56" s="1" t="s">
        <v>221</v>
      </c>
      <c r="F56" s="1" t="s">
        <v>122</v>
      </c>
      <c r="G56" s="23"/>
      <c r="H56" s="4">
        <v>5</v>
      </c>
      <c r="I56" s="23"/>
      <c r="J56" s="23"/>
      <c r="K56" s="23"/>
      <c r="L56" s="23"/>
      <c r="M56" s="38"/>
    </row>
    <row r="57" spans="1:64" ht="15" customHeight="1" x14ac:dyDescent="0.3">
      <c r="A57" s="11" t="s">
        <v>409</v>
      </c>
      <c r="B57" s="8" t="s">
        <v>185</v>
      </c>
      <c r="C57" s="51" t="s">
        <v>393</v>
      </c>
      <c r="D57" s="50"/>
      <c r="E57" s="50"/>
      <c r="F57" s="51"/>
      <c r="G57" s="8" t="s">
        <v>361</v>
      </c>
      <c r="H57" s="24">
        <v>12</v>
      </c>
      <c r="I57" s="24"/>
      <c r="J57" s="24">
        <f>H57*AO57</f>
        <v>0</v>
      </c>
      <c r="K57" s="24">
        <f>H57*AP57</f>
        <v>0</v>
      </c>
      <c r="L57" s="24">
        <f>H57*I57</f>
        <v>0</v>
      </c>
      <c r="M57" s="28" t="s">
        <v>365</v>
      </c>
      <c r="Z57" s="2">
        <f>IF(AQ57="5",BJ57,0)</f>
        <v>0</v>
      </c>
      <c r="AB57" s="2">
        <f>IF(AQ57="1",BH57,0)</f>
        <v>0</v>
      </c>
      <c r="AC57" s="2">
        <f>IF(AQ57="1",BI57,0)</f>
        <v>0</v>
      </c>
      <c r="AD57" s="2">
        <f>IF(AQ57="7",BH57,0)</f>
        <v>0</v>
      </c>
      <c r="AE57" s="2">
        <f>IF(AQ57="7",BI57,0)</f>
        <v>0</v>
      </c>
      <c r="AF57" s="2">
        <f>IF(AQ57="2",BH57,0)</f>
        <v>0</v>
      </c>
      <c r="AG57" s="2">
        <f>IF(AQ57="2",BI57,0)</f>
        <v>0</v>
      </c>
      <c r="AH57" s="2">
        <f>IF(AQ57="0",BJ57,0)</f>
        <v>0</v>
      </c>
      <c r="AI57" s="33" t="s">
        <v>299</v>
      </c>
      <c r="AJ57" s="2">
        <f>IF(AN57=0,L57,0)</f>
        <v>0</v>
      </c>
      <c r="AK57" s="2">
        <f>IF(AN57=15,L57,0)</f>
        <v>0</v>
      </c>
      <c r="AL57" s="2">
        <f>IF(AN57=21,L57,0)</f>
        <v>0</v>
      </c>
      <c r="AN57" s="2">
        <v>21</v>
      </c>
      <c r="AO57" s="2">
        <f>I57*0.426027397260274</f>
        <v>0</v>
      </c>
      <c r="AP57" s="2">
        <f>I57*(1-0.426027397260274)</f>
        <v>0</v>
      </c>
      <c r="AQ57" s="44" t="s">
        <v>432</v>
      </c>
      <c r="AV57" s="2">
        <f>AW57+AX57</f>
        <v>0</v>
      </c>
      <c r="AW57" s="2">
        <f>H57*AO57</f>
        <v>0</v>
      </c>
      <c r="AX57" s="2">
        <f>H57*AP57</f>
        <v>0</v>
      </c>
      <c r="AY57" s="44" t="s">
        <v>274</v>
      </c>
      <c r="AZ57" s="44" t="s">
        <v>32</v>
      </c>
      <c r="BA57" s="33" t="s">
        <v>329</v>
      </c>
      <c r="BC57" s="2">
        <f>AW57+AX57</f>
        <v>0</v>
      </c>
      <c r="BD57" s="2">
        <f>I57/(100-BE57)*100</f>
        <v>0</v>
      </c>
      <c r="BE57" s="2">
        <v>0</v>
      </c>
      <c r="BF57" s="2">
        <f>59</f>
        <v>59</v>
      </c>
      <c r="BH57" s="2">
        <f>H57*AO57</f>
        <v>0</v>
      </c>
      <c r="BI57" s="2">
        <f>H57*AP57</f>
        <v>0</v>
      </c>
      <c r="BJ57" s="2">
        <f>H57*I57</f>
        <v>0</v>
      </c>
      <c r="BK57" s="2"/>
      <c r="BL57" s="2">
        <v>722</v>
      </c>
    </row>
    <row r="58" spans="1:64" ht="15" customHeight="1" x14ac:dyDescent="0.3">
      <c r="A58" s="47"/>
      <c r="B58" s="23"/>
      <c r="C58" s="1" t="s">
        <v>316</v>
      </c>
      <c r="F58" s="1" t="s">
        <v>122</v>
      </c>
      <c r="G58" s="23"/>
      <c r="H58" s="4">
        <v>12.000000000000002</v>
      </c>
      <c r="I58" s="23"/>
      <c r="J58" s="23"/>
      <c r="K58" s="23"/>
      <c r="L58" s="23"/>
      <c r="M58" s="38"/>
    </row>
    <row r="59" spans="1:64" ht="15" customHeight="1" x14ac:dyDescent="0.3">
      <c r="A59" s="11" t="s">
        <v>179</v>
      </c>
      <c r="B59" s="8" t="s">
        <v>325</v>
      </c>
      <c r="C59" s="51" t="s">
        <v>60</v>
      </c>
      <c r="D59" s="50"/>
      <c r="E59" s="50"/>
      <c r="F59" s="51"/>
      <c r="G59" s="8" t="s">
        <v>361</v>
      </c>
      <c r="H59" s="24">
        <v>5</v>
      </c>
      <c r="I59" s="24"/>
      <c r="J59" s="24">
        <f>H59*AO59</f>
        <v>0</v>
      </c>
      <c r="K59" s="24">
        <f>H59*AP59</f>
        <v>0</v>
      </c>
      <c r="L59" s="24">
        <f>H59*I59</f>
        <v>0</v>
      </c>
      <c r="M59" s="28" t="s">
        <v>365</v>
      </c>
      <c r="Z59" s="2">
        <f>IF(AQ59="5",BJ59,0)</f>
        <v>0</v>
      </c>
      <c r="AB59" s="2">
        <f>IF(AQ59="1",BH59,0)</f>
        <v>0</v>
      </c>
      <c r="AC59" s="2">
        <f>IF(AQ59="1",BI59,0)</f>
        <v>0</v>
      </c>
      <c r="AD59" s="2">
        <f>IF(AQ59="7",BH59,0)</f>
        <v>0</v>
      </c>
      <c r="AE59" s="2">
        <f>IF(AQ59="7",BI59,0)</f>
        <v>0</v>
      </c>
      <c r="AF59" s="2">
        <f>IF(AQ59="2",BH59,0)</f>
        <v>0</v>
      </c>
      <c r="AG59" s="2">
        <f>IF(AQ59="2",BI59,0)</f>
        <v>0</v>
      </c>
      <c r="AH59" s="2">
        <f>IF(AQ59="0",BJ59,0)</f>
        <v>0</v>
      </c>
      <c r="AI59" s="33" t="s">
        <v>299</v>
      </c>
      <c r="AJ59" s="2">
        <f>IF(AN59=0,L59,0)</f>
        <v>0</v>
      </c>
      <c r="AK59" s="2">
        <f>IF(AN59=15,L59,0)</f>
        <v>0</v>
      </c>
      <c r="AL59" s="2">
        <f>IF(AN59=21,L59,0)</f>
        <v>0</v>
      </c>
      <c r="AN59" s="2">
        <v>21</v>
      </c>
      <c r="AO59" s="2">
        <f>I59*0.451091703056769</f>
        <v>0</v>
      </c>
      <c r="AP59" s="2">
        <f>I59*(1-0.451091703056769)</f>
        <v>0</v>
      </c>
      <c r="AQ59" s="44" t="s">
        <v>432</v>
      </c>
      <c r="AV59" s="2">
        <f>AW59+AX59</f>
        <v>0</v>
      </c>
      <c r="AW59" s="2">
        <f>H59*AO59</f>
        <v>0</v>
      </c>
      <c r="AX59" s="2">
        <f>H59*AP59</f>
        <v>0</v>
      </c>
      <c r="AY59" s="44" t="s">
        <v>274</v>
      </c>
      <c r="AZ59" s="44" t="s">
        <v>32</v>
      </c>
      <c r="BA59" s="33" t="s">
        <v>329</v>
      </c>
      <c r="BC59" s="2">
        <f>AW59+AX59</f>
        <v>0</v>
      </c>
      <c r="BD59" s="2">
        <f>I59/(100-BE59)*100</f>
        <v>0</v>
      </c>
      <c r="BE59" s="2">
        <v>0</v>
      </c>
      <c r="BF59" s="2">
        <f>61</f>
        <v>61</v>
      </c>
      <c r="BH59" s="2">
        <f>H59*AO59</f>
        <v>0</v>
      </c>
      <c r="BI59" s="2">
        <f>H59*AP59</f>
        <v>0</v>
      </c>
      <c r="BJ59" s="2">
        <f>H59*I59</f>
        <v>0</v>
      </c>
      <c r="BK59" s="2"/>
      <c r="BL59" s="2">
        <v>722</v>
      </c>
    </row>
    <row r="60" spans="1:64" ht="15" customHeight="1" x14ac:dyDescent="0.3">
      <c r="A60" s="47"/>
      <c r="B60" s="23"/>
      <c r="C60" s="1" t="s">
        <v>221</v>
      </c>
      <c r="F60" s="1" t="s">
        <v>122</v>
      </c>
      <c r="G60" s="23"/>
      <c r="H60" s="4">
        <v>5</v>
      </c>
      <c r="I60" s="23"/>
      <c r="J60" s="23"/>
      <c r="K60" s="23"/>
      <c r="L60" s="23"/>
      <c r="M60" s="38"/>
    </row>
    <row r="61" spans="1:64" ht="15" customHeight="1" x14ac:dyDescent="0.3">
      <c r="A61" s="11" t="s">
        <v>46</v>
      </c>
      <c r="B61" s="8" t="s">
        <v>320</v>
      </c>
      <c r="C61" s="51" t="s">
        <v>240</v>
      </c>
      <c r="D61" s="50"/>
      <c r="E61" s="50"/>
      <c r="F61" s="51"/>
      <c r="G61" s="8" t="s">
        <v>361</v>
      </c>
      <c r="H61" s="24">
        <v>16</v>
      </c>
      <c r="I61" s="24"/>
      <c r="J61" s="24">
        <f>H61*AO61</f>
        <v>0</v>
      </c>
      <c r="K61" s="24">
        <f>H61*AP61</f>
        <v>0</v>
      </c>
      <c r="L61" s="24">
        <f>H61*I61</f>
        <v>0</v>
      </c>
      <c r="M61" s="28" t="s">
        <v>365</v>
      </c>
      <c r="Z61" s="2">
        <f>IF(AQ61="5",BJ61,0)</f>
        <v>0</v>
      </c>
      <c r="AB61" s="2">
        <f>IF(AQ61="1",BH61,0)</f>
        <v>0</v>
      </c>
      <c r="AC61" s="2">
        <f>IF(AQ61="1",BI61,0)</f>
        <v>0</v>
      </c>
      <c r="AD61" s="2">
        <f>IF(AQ61="7",BH61,0)</f>
        <v>0</v>
      </c>
      <c r="AE61" s="2">
        <f>IF(AQ61="7",BI61,0)</f>
        <v>0</v>
      </c>
      <c r="AF61" s="2">
        <f>IF(AQ61="2",BH61,0)</f>
        <v>0</v>
      </c>
      <c r="AG61" s="2">
        <f>IF(AQ61="2",BI61,0)</f>
        <v>0</v>
      </c>
      <c r="AH61" s="2">
        <f>IF(AQ61="0",BJ61,0)</f>
        <v>0</v>
      </c>
      <c r="AI61" s="33" t="s">
        <v>299</v>
      </c>
      <c r="AJ61" s="2">
        <f>IF(AN61=0,L61,0)</f>
        <v>0</v>
      </c>
      <c r="AK61" s="2">
        <f>IF(AN61=15,L61,0)</f>
        <v>0</v>
      </c>
      <c r="AL61" s="2">
        <f>IF(AN61=21,L61,0)</f>
        <v>0</v>
      </c>
      <c r="AN61" s="2">
        <v>21</v>
      </c>
      <c r="AO61" s="2">
        <f>I61*0.552669039145907</f>
        <v>0</v>
      </c>
      <c r="AP61" s="2">
        <f>I61*(1-0.552669039145907)</f>
        <v>0</v>
      </c>
      <c r="AQ61" s="44" t="s">
        <v>432</v>
      </c>
      <c r="AV61" s="2">
        <f>AW61+AX61</f>
        <v>0</v>
      </c>
      <c r="AW61" s="2">
        <f>H61*AO61</f>
        <v>0</v>
      </c>
      <c r="AX61" s="2">
        <f>H61*AP61</f>
        <v>0</v>
      </c>
      <c r="AY61" s="44" t="s">
        <v>274</v>
      </c>
      <c r="AZ61" s="44" t="s">
        <v>32</v>
      </c>
      <c r="BA61" s="33" t="s">
        <v>329</v>
      </c>
      <c r="BC61" s="2">
        <f>AW61+AX61</f>
        <v>0</v>
      </c>
      <c r="BD61" s="2">
        <f>I61/(100-BE61)*100</f>
        <v>0</v>
      </c>
      <c r="BE61" s="2">
        <v>0</v>
      </c>
      <c r="BF61" s="2">
        <f>63</f>
        <v>63</v>
      </c>
      <c r="BH61" s="2">
        <f>H61*AO61</f>
        <v>0</v>
      </c>
      <c r="BI61" s="2">
        <f>H61*AP61</f>
        <v>0</v>
      </c>
      <c r="BJ61" s="2">
        <f>H61*I61</f>
        <v>0</v>
      </c>
      <c r="BK61" s="2"/>
      <c r="BL61" s="2">
        <v>722</v>
      </c>
    </row>
    <row r="62" spans="1:64" ht="15" customHeight="1" x14ac:dyDescent="0.3">
      <c r="A62" s="47"/>
      <c r="B62" s="23"/>
      <c r="C62" s="1" t="s">
        <v>45</v>
      </c>
      <c r="F62" s="1" t="s">
        <v>91</v>
      </c>
      <c r="G62" s="23"/>
      <c r="H62" s="4">
        <v>16</v>
      </c>
      <c r="I62" s="23"/>
      <c r="J62" s="23"/>
      <c r="K62" s="23"/>
      <c r="L62" s="23"/>
      <c r="M62" s="38"/>
    </row>
    <row r="63" spans="1:64" ht="15" customHeight="1" x14ac:dyDescent="0.3">
      <c r="A63" s="11" t="s">
        <v>110</v>
      </c>
      <c r="B63" s="8" t="s">
        <v>200</v>
      </c>
      <c r="C63" s="51" t="s">
        <v>208</v>
      </c>
      <c r="D63" s="50"/>
      <c r="E63" s="50"/>
      <c r="F63" s="51"/>
      <c r="G63" s="8" t="s">
        <v>111</v>
      </c>
      <c r="H63" s="24">
        <v>4</v>
      </c>
      <c r="I63" s="24"/>
      <c r="J63" s="24">
        <f>H63*AO63</f>
        <v>0</v>
      </c>
      <c r="K63" s="24">
        <f>H63*AP63</f>
        <v>0</v>
      </c>
      <c r="L63" s="24">
        <f>H63*I63</f>
        <v>0</v>
      </c>
      <c r="M63" s="28" t="s">
        <v>365</v>
      </c>
      <c r="Z63" s="2">
        <f>IF(AQ63="5",BJ63,0)</f>
        <v>0</v>
      </c>
      <c r="AB63" s="2">
        <f>IF(AQ63="1",BH63,0)</f>
        <v>0</v>
      </c>
      <c r="AC63" s="2">
        <f>IF(AQ63="1",BI63,0)</f>
        <v>0</v>
      </c>
      <c r="AD63" s="2">
        <f>IF(AQ63="7",BH63,0)</f>
        <v>0</v>
      </c>
      <c r="AE63" s="2">
        <f>IF(AQ63="7",BI63,0)</f>
        <v>0</v>
      </c>
      <c r="AF63" s="2">
        <f>IF(AQ63="2",BH63,0)</f>
        <v>0</v>
      </c>
      <c r="AG63" s="2">
        <f>IF(AQ63="2",BI63,0)</f>
        <v>0</v>
      </c>
      <c r="AH63" s="2">
        <f>IF(AQ63="0",BJ63,0)</f>
        <v>0</v>
      </c>
      <c r="AI63" s="33" t="s">
        <v>299</v>
      </c>
      <c r="AJ63" s="2">
        <f>IF(AN63=0,L63,0)</f>
        <v>0</v>
      </c>
      <c r="AK63" s="2">
        <f>IF(AN63=15,L63,0)</f>
        <v>0</v>
      </c>
      <c r="AL63" s="2">
        <f>IF(AN63=21,L63,0)</f>
        <v>0</v>
      </c>
      <c r="AN63" s="2">
        <v>21</v>
      </c>
      <c r="AO63" s="2">
        <f>I63*0.446916666666667</f>
        <v>0</v>
      </c>
      <c r="AP63" s="2">
        <f>I63*(1-0.446916666666667)</f>
        <v>0</v>
      </c>
      <c r="AQ63" s="44" t="s">
        <v>432</v>
      </c>
      <c r="AV63" s="2">
        <f>AW63+AX63</f>
        <v>0</v>
      </c>
      <c r="AW63" s="2">
        <f>H63*AO63</f>
        <v>0</v>
      </c>
      <c r="AX63" s="2">
        <f>H63*AP63</f>
        <v>0</v>
      </c>
      <c r="AY63" s="44" t="s">
        <v>274</v>
      </c>
      <c r="AZ63" s="44" t="s">
        <v>32</v>
      </c>
      <c r="BA63" s="33" t="s">
        <v>329</v>
      </c>
      <c r="BC63" s="2">
        <f>AW63+AX63</f>
        <v>0</v>
      </c>
      <c r="BD63" s="2">
        <f>I63/(100-BE63)*100</f>
        <v>0</v>
      </c>
      <c r="BE63" s="2">
        <v>0</v>
      </c>
      <c r="BF63" s="2">
        <f>65</f>
        <v>65</v>
      </c>
      <c r="BH63" s="2">
        <f>H63*AO63</f>
        <v>0</v>
      </c>
      <c r="BI63" s="2">
        <f>H63*AP63</f>
        <v>0</v>
      </c>
      <c r="BJ63" s="2">
        <f>H63*I63</f>
        <v>0</v>
      </c>
      <c r="BK63" s="2"/>
      <c r="BL63" s="2">
        <v>722</v>
      </c>
    </row>
    <row r="64" spans="1:64" ht="15" customHeight="1" x14ac:dyDescent="0.3">
      <c r="A64" s="47"/>
      <c r="B64" s="23"/>
      <c r="C64" s="1" t="s">
        <v>56</v>
      </c>
      <c r="F64" s="1" t="s">
        <v>299</v>
      </c>
      <c r="G64" s="23"/>
      <c r="H64" s="4">
        <v>4</v>
      </c>
      <c r="I64" s="23"/>
      <c r="J64" s="23"/>
      <c r="K64" s="23"/>
      <c r="L64" s="23"/>
      <c r="M64" s="38"/>
    </row>
    <row r="65" spans="1:64" ht="15" customHeight="1" x14ac:dyDescent="0.3">
      <c r="A65" s="11" t="s">
        <v>63</v>
      </c>
      <c r="B65" s="8" t="s">
        <v>73</v>
      </c>
      <c r="C65" s="51" t="s">
        <v>268</v>
      </c>
      <c r="D65" s="50"/>
      <c r="E65" s="50"/>
      <c r="F65" s="51"/>
      <c r="G65" s="8" t="s">
        <v>111</v>
      </c>
      <c r="H65" s="24">
        <v>2</v>
      </c>
      <c r="I65" s="24"/>
      <c r="J65" s="24">
        <f>H65*AO65</f>
        <v>0</v>
      </c>
      <c r="K65" s="24">
        <f>H65*AP65</f>
        <v>0</v>
      </c>
      <c r="L65" s="24">
        <f>H65*I65</f>
        <v>0</v>
      </c>
      <c r="M65" s="28" t="s">
        <v>365</v>
      </c>
      <c r="Z65" s="2">
        <f>IF(AQ65="5",BJ65,0)</f>
        <v>0</v>
      </c>
      <c r="AB65" s="2">
        <f>IF(AQ65="1",BH65,0)</f>
        <v>0</v>
      </c>
      <c r="AC65" s="2">
        <f>IF(AQ65="1",BI65,0)</f>
        <v>0</v>
      </c>
      <c r="AD65" s="2">
        <f>IF(AQ65="7",BH65,0)</f>
        <v>0</v>
      </c>
      <c r="AE65" s="2">
        <f>IF(AQ65="7",BI65,0)</f>
        <v>0</v>
      </c>
      <c r="AF65" s="2">
        <f>IF(AQ65="2",BH65,0)</f>
        <v>0</v>
      </c>
      <c r="AG65" s="2">
        <f>IF(AQ65="2",BI65,0)</f>
        <v>0</v>
      </c>
      <c r="AH65" s="2">
        <f>IF(AQ65="0",BJ65,0)</f>
        <v>0</v>
      </c>
      <c r="AI65" s="33" t="s">
        <v>299</v>
      </c>
      <c r="AJ65" s="2">
        <f>IF(AN65=0,L65,0)</f>
        <v>0</v>
      </c>
      <c r="AK65" s="2">
        <f>IF(AN65=15,L65,0)</f>
        <v>0</v>
      </c>
      <c r="AL65" s="2">
        <f>IF(AN65=21,L65,0)</f>
        <v>0</v>
      </c>
      <c r="AN65" s="2">
        <v>21</v>
      </c>
      <c r="AO65" s="2">
        <f>I65*0.587138413685848</f>
        <v>0</v>
      </c>
      <c r="AP65" s="2">
        <f>I65*(1-0.587138413685848)</f>
        <v>0</v>
      </c>
      <c r="AQ65" s="44" t="s">
        <v>432</v>
      </c>
      <c r="AV65" s="2">
        <f>AW65+AX65</f>
        <v>0</v>
      </c>
      <c r="AW65" s="2">
        <f>H65*AO65</f>
        <v>0</v>
      </c>
      <c r="AX65" s="2">
        <f>H65*AP65</f>
        <v>0</v>
      </c>
      <c r="AY65" s="44" t="s">
        <v>274</v>
      </c>
      <c r="AZ65" s="44" t="s">
        <v>32</v>
      </c>
      <c r="BA65" s="33" t="s">
        <v>329</v>
      </c>
      <c r="BC65" s="2">
        <f>AW65+AX65</f>
        <v>0</v>
      </c>
      <c r="BD65" s="2">
        <f>I65/(100-BE65)*100</f>
        <v>0</v>
      </c>
      <c r="BE65" s="2">
        <v>0</v>
      </c>
      <c r="BF65" s="2">
        <f>67</f>
        <v>67</v>
      </c>
      <c r="BH65" s="2">
        <f>H65*AO65</f>
        <v>0</v>
      </c>
      <c r="BI65" s="2">
        <f>H65*AP65</f>
        <v>0</v>
      </c>
      <c r="BJ65" s="2">
        <f>H65*I65</f>
        <v>0</v>
      </c>
      <c r="BK65" s="2"/>
      <c r="BL65" s="2">
        <v>722</v>
      </c>
    </row>
    <row r="66" spans="1:64" ht="15" customHeight="1" x14ac:dyDescent="0.3">
      <c r="A66" s="47"/>
      <c r="B66" s="23"/>
      <c r="C66" s="1" t="s">
        <v>297</v>
      </c>
      <c r="F66" s="1" t="s">
        <v>299</v>
      </c>
      <c r="G66" s="23"/>
      <c r="H66" s="4">
        <v>2</v>
      </c>
      <c r="I66" s="23"/>
      <c r="J66" s="23"/>
      <c r="K66" s="23"/>
      <c r="L66" s="23"/>
      <c r="M66" s="38"/>
    </row>
    <row r="67" spans="1:64" ht="15" customHeight="1" x14ac:dyDescent="0.3">
      <c r="A67" s="11" t="s">
        <v>420</v>
      </c>
      <c r="B67" s="8" t="s">
        <v>206</v>
      </c>
      <c r="C67" s="51" t="s">
        <v>310</v>
      </c>
      <c r="D67" s="50"/>
      <c r="E67" s="50"/>
      <c r="F67" s="51"/>
      <c r="G67" s="8" t="s">
        <v>111</v>
      </c>
      <c r="H67" s="24">
        <v>3</v>
      </c>
      <c r="I67" s="24"/>
      <c r="J67" s="24">
        <f>H67*AO67</f>
        <v>0</v>
      </c>
      <c r="K67" s="24">
        <f>H67*AP67</f>
        <v>0</v>
      </c>
      <c r="L67" s="24">
        <f>H67*I67</f>
        <v>0</v>
      </c>
      <c r="M67" s="28" t="s">
        <v>365</v>
      </c>
      <c r="Z67" s="2">
        <f>IF(AQ67="5",BJ67,0)</f>
        <v>0</v>
      </c>
      <c r="AB67" s="2">
        <f>IF(AQ67="1",BH67,0)</f>
        <v>0</v>
      </c>
      <c r="AC67" s="2">
        <f>IF(AQ67="1",BI67,0)</f>
        <v>0</v>
      </c>
      <c r="AD67" s="2">
        <f>IF(AQ67="7",BH67,0)</f>
        <v>0</v>
      </c>
      <c r="AE67" s="2">
        <f>IF(AQ67="7",BI67,0)</f>
        <v>0</v>
      </c>
      <c r="AF67" s="2">
        <f>IF(AQ67="2",BH67,0)</f>
        <v>0</v>
      </c>
      <c r="AG67" s="2">
        <f>IF(AQ67="2",BI67,0)</f>
        <v>0</v>
      </c>
      <c r="AH67" s="2">
        <f>IF(AQ67="0",BJ67,0)</f>
        <v>0</v>
      </c>
      <c r="AI67" s="33" t="s">
        <v>299</v>
      </c>
      <c r="AJ67" s="2">
        <f>IF(AN67=0,L67,0)</f>
        <v>0</v>
      </c>
      <c r="AK67" s="2">
        <f>IF(AN67=15,L67,0)</f>
        <v>0</v>
      </c>
      <c r="AL67" s="2">
        <f>IF(AN67=21,L67,0)</f>
        <v>0</v>
      </c>
      <c r="AN67" s="2">
        <v>21</v>
      </c>
      <c r="AO67" s="2">
        <f>I67*0.786906187624751</f>
        <v>0</v>
      </c>
      <c r="AP67" s="2">
        <f>I67*(1-0.786906187624751)</f>
        <v>0</v>
      </c>
      <c r="AQ67" s="44" t="s">
        <v>432</v>
      </c>
      <c r="AV67" s="2">
        <f>AW67+AX67</f>
        <v>0</v>
      </c>
      <c r="AW67" s="2">
        <f>H67*AO67</f>
        <v>0</v>
      </c>
      <c r="AX67" s="2">
        <f>H67*AP67</f>
        <v>0</v>
      </c>
      <c r="AY67" s="44" t="s">
        <v>274</v>
      </c>
      <c r="AZ67" s="44" t="s">
        <v>32</v>
      </c>
      <c r="BA67" s="33" t="s">
        <v>329</v>
      </c>
      <c r="BC67" s="2">
        <f>AW67+AX67</f>
        <v>0</v>
      </c>
      <c r="BD67" s="2">
        <f>I67/(100-BE67)*100</f>
        <v>0</v>
      </c>
      <c r="BE67" s="2">
        <v>0</v>
      </c>
      <c r="BF67" s="2">
        <f>69</f>
        <v>69</v>
      </c>
      <c r="BH67" s="2">
        <f>H67*AO67</f>
        <v>0</v>
      </c>
      <c r="BI67" s="2">
        <f>H67*AP67</f>
        <v>0</v>
      </c>
      <c r="BJ67" s="2">
        <f>H67*I67</f>
        <v>0</v>
      </c>
      <c r="BK67" s="2"/>
      <c r="BL67" s="2">
        <v>722</v>
      </c>
    </row>
    <row r="68" spans="1:64" ht="15" customHeight="1" x14ac:dyDescent="0.3">
      <c r="A68" s="47"/>
      <c r="B68" s="23"/>
      <c r="C68" s="1" t="s">
        <v>376</v>
      </c>
      <c r="F68" s="1" t="s">
        <v>299</v>
      </c>
      <c r="G68" s="23"/>
      <c r="H68" s="4">
        <v>3.0000000000000004</v>
      </c>
      <c r="I68" s="23"/>
      <c r="J68" s="23"/>
      <c r="K68" s="23"/>
      <c r="L68" s="23"/>
      <c r="M68" s="38"/>
    </row>
    <row r="69" spans="1:64" ht="15" customHeight="1" x14ac:dyDescent="0.3">
      <c r="A69" s="11" t="s">
        <v>463</v>
      </c>
      <c r="B69" s="8" t="s">
        <v>412</v>
      </c>
      <c r="C69" s="51" t="s">
        <v>157</v>
      </c>
      <c r="D69" s="50"/>
      <c r="E69" s="50"/>
      <c r="F69" s="51"/>
      <c r="G69" s="8" t="s">
        <v>111</v>
      </c>
      <c r="H69" s="24">
        <v>1</v>
      </c>
      <c r="I69" s="24"/>
      <c r="J69" s="24">
        <f>H69*AO69</f>
        <v>0</v>
      </c>
      <c r="K69" s="24">
        <f>H69*AP69</f>
        <v>0</v>
      </c>
      <c r="L69" s="24">
        <f>H69*I69</f>
        <v>0</v>
      </c>
      <c r="M69" s="28" t="s">
        <v>365</v>
      </c>
      <c r="Z69" s="2">
        <f>IF(AQ69="5",BJ69,0)</f>
        <v>0</v>
      </c>
      <c r="AB69" s="2">
        <f>IF(AQ69="1",BH69,0)</f>
        <v>0</v>
      </c>
      <c r="AC69" s="2">
        <f>IF(AQ69="1",BI69,0)</f>
        <v>0</v>
      </c>
      <c r="AD69" s="2">
        <f>IF(AQ69="7",BH69,0)</f>
        <v>0</v>
      </c>
      <c r="AE69" s="2">
        <f>IF(AQ69="7",BI69,0)</f>
        <v>0</v>
      </c>
      <c r="AF69" s="2">
        <f>IF(AQ69="2",BH69,0)</f>
        <v>0</v>
      </c>
      <c r="AG69" s="2">
        <f>IF(AQ69="2",BI69,0)</f>
        <v>0</v>
      </c>
      <c r="AH69" s="2">
        <f>IF(AQ69="0",BJ69,0)</f>
        <v>0</v>
      </c>
      <c r="AI69" s="33" t="s">
        <v>299</v>
      </c>
      <c r="AJ69" s="2">
        <f>IF(AN69=0,L69,0)</f>
        <v>0</v>
      </c>
      <c r="AK69" s="2">
        <f>IF(AN69=15,L69,0)</f>
        <v>0</v>
      </c>
      <c r="AL69" s="2">
        <f>IF(AN69=21,L69,0)</f>
        <v>0</v>
      </c>
      <c r="AN69" s="2">
        <v>21</v>
      </c>
      <c r="AO69" s="2">
        <f>I69*0.816041009463722</f>
        <v>0</v>
      </c>
      <c r="AP69" s="2">
        <f>I69*(1-0.816041009463722)</f>
        <v>0</v>
      </c>
      <c r="AQ69" s="44" t="s">
        <v>432</v>
      </c>
      <c r="AV69" s="2">
        <f>AW69+AX69</f>
        <v>0</v>
      </c>
      <c r="AW69" s="2">
        <f>H69*AO69</f>
        <v>0</v>
      </c>
      <c r="AX69" s="2">
        <f>H69*AP69</f>
        <v>0</v>
      </c>
      <c r="AY69" s="44" t="s">
        <v>274</v>
      </c>
      <c r="AZ69" s="44" t="s">
        <v>32</v>
      </c>
      <c r="BA69" s="33" t="s">
        <v>329</v>
      </c>
      <c r="BC69" s="2">
        <f>AW69+AX69</f>
        <v>0</v>
      </c>
      <c r="BD69" s="2">
        <f>I69/(100-BE69)*100</f>
        <v>0</v>
      </c>
      <c r="BE69" s="2">
        <v>0</v>
      </c>
      <c r="BF69" s="2">
        <f>71</f>
        <v>71</v>
      </c>
      <c r="BH69" s="2">
        <f>H69*AO69</f>
        <v>0</v>
      </c>
      <c r="BI69" s="2">
        <f>H69*AP69</f>
        <v>0</v>
      </c>
      <c r="BJ69" s="2">
        <f>H69*I69</f>
        <v>0</v>
      </c>
      <c r="BK69" s="2"/>
      <c r="BL69" s="2">
        <v>722</v>
      </c>
    </row>
    <row r="70" spans="1:64" ht="15" customHeight="1" x14ac:dyDescent="0.3">
      <c r="A70" s="47"/>
      <c r="B70" s="23"/>
      <c r="C70" s="1" t="s">
        <v>429</v>
      </c>
      <c r="F70" s="1" t="s">
        <v>299</v>
      </c>
      <c r="G70" s="23"/>
      <c r="H70" s="4">
        <v>1</v>
      </c>
      <c r="I70" s="23"/>
      <c r="J70" s="23"/>
      <c r="K70" s="23"/>
      <c r="L70" s="23"/>
      <c r="M70" s="38"/>
    </row>
    <row r="71" spans="1:64" ht="15" customHeight="1" x14ac:dyDescent="0.3">
      <c r="A71" s="11" t="s">
        <v>38</v>
      </c>
      <c r="B71" s="8" t="s">
        <v>48</v>
      </c>
      <c r="C71" s="51" t="s">
        <v>288</v>
      </c>
      <c r="D71" s="50"/>
      <c r="E71" s="50"/>
      <c r="F71" s="51"/>
      <c r="G71" s="8" t="s">
        <v>144</v>
      </c>
      <c r="H71" s="24">
        <v>6</v>
      </c>
      <c r="I71" s="24"/>
      <c r="J71" s="24">
        <f>H71*AO71</f>
        <v>0</v>
      </c>
      <c r="K71" s="24">
        <f>H71*AP71</f>
        <v>0</v>
      </c>
      <c r="L71" s="24">
        <f>H71*I71</f>
        <v>0</v>
      </c>
      <c r="M71" s="28" t="s">
        <v>365</v>
      </c>
      <c r="Z71" s="2">
        <f>IF(AQ71="5",BJ71,0)</f>
        <v>0</v>
      </c>
      <c r="AB71" s="2">
        <f>IF(AQ71="1",BH71,0)</f>
        <v>0</v>
      </c>
      <c r="AC71" s="2">
        <f>IF(AQ71="1",BI71,0)</f>
        <v>0</v>
      </c>
      <c r="AD71" s="2">
        <f>IF(AQ71="7",BH71,0)</f>
        <v>0</v>
      </c>
      <c r="AE71" s="2">
        <f>IF(AQ71="7",BI71,0)</f>
        <v>0</v>
      </c>
      <c r="AF71" s="2">
        <f>IF(AQ71="2",BH71,0)</f>
        <v>0</v>
      </c>
      <c r="AG71" s="2">
        <f>IF(AQ71="2",BI71,0)</f>
        <v>0</v>
      </c>
      <c r="AH71" s="2">
        <f>IF(AQ71="0",BJ71,0)</f>
        <v>0</v>
      </c>
      <c r="AI71" s="33" t="s">
        <v>299</v>
      </c>
      <c r="AJ71" s="2">
        <f>IF(AN71=0,L71,0)</f>
        <v>0</v>
      </c>
      <c r="AK71" s="2">
        <f>IF(AN71=15,L71,0)</f>
        <v>0</v>
      </c>
      <c r="AL71" s="2">
        <f>IF(AN71=21,L71,0)</f>
        <v>0</v>
      </c>
      <c r="AN71" s="2">
        <v>21</v>
      </c>
      <c r="AO71" s="2">
        <f>I71*0.735579885302621</f>
        <v>0</v>
      </c>
      <c r="AP71" s="2">
        <f>I71*(1-0.735579885302621)</f>
        <v>0</v>
      </c>
      <c r="AQ71" s="44" t="s">
        <v>432</v>
      </c>
      <c r="AV71" s="2">
        <f>AW71+AX71</f>
        <v>0</v>
      </c>
      <c r="AW71" s="2">
        <f>H71*AO71</f>
        <v>0</v>
      </c>
      <c r="AX71" s="2">
        <f>H71*AP71</f>
        <v>0</v>
      </c>
      <c r="AY71" s="44" t="s">
        <v>274</v>
      </c>
      <c r="AZ71" s="44" t="s">
        <v>32</v>
      </c>
      <c r="BA71" s="33" t="s">
        <v>329</v>
      </c>
      <c r="BC71" s="2">
        <f>AW71+AX71</f>
        <v>0</v>
      </c>
      <c r="BD71" s="2">
        <f>I71/(100-BE71)*100</f>
        <v>0</v>
      </c>
      <c r="BE71" s="2">
        <v>0</v>
      </c>
      <c r="BF71" s="2">
        <f>73</f>
        <v>73</v>
      </c>
      <c r="BH71" s="2">
        <f>H71*AO71</f>
        <v>0</v>
      </c>
      <c r="BI71" s="2">
        <f>H71*AP71</f>
        <v>0</v>
      </c>
      <c r="BJ71" s="2">
        <f>H71*I71</f>
        <v>0</v>
      </c>
      <c r="BK71" s="2"/>
      <c r="BL71" s="2">
        <v>722</v>
      </c>
    </row>
    <row r="72" spans="1:64" ht="15" customHeight="1" x14ac:dyDescent="0.3">
      <c r="A72" s="47"/>
      <c r="B72" s="23"/>
      <c r="C72" s="1" t="s">
        <v>75</v>
      </c>
      <c r="F72" s="1" t="s">
        <v>299</v>
      </c>
      <c r="G72" s="23"/>
      <c r="H72" s="4">
        <v>6.0000000000000009</v>
      </c>
      <c r="I72" s="23"/>
      <c r="J72" s="23"/>
      <c r="K72" s="23"/>
      <c r="L72" s="23"/>
      <c r="M72" s="38"/>
    </row>
    <row r="73" spans="1:64" ht="15" customHeight="1" x14ac:dyDescent="0.3">
      <c r="A73" s="11" t="s">
        <v>281</v>
      </c>
      <c r="B73" s="8" t="s">
        <v>222</v>
      </c>
      <c r="C73" s="51" t="s">
        <v>342</v>
      </c>
      <c r="D73" s="50"/>
      <c r="E73" s="50"/>
      <c r="F73" s="51"/>
      <c r="G73" s="8" t="s">
        <v>111</v>
      </c>
      <c r="H73" s="24">
        <v>10</v>
      </c>
      <c r="I73" s="24"/>
      <c r="J73" s="24">
        <f>H73*AO73</f>
        <v>0</v>
      </c>
      <c r="K73" s="24">
        <f>H73*AP73</f>
        <v>0</v>
      </c>
      <c r="L73" s="24">
        <f>H73*I73</f>
        <v>0</v>
      </c>
      <c r="M73" s="28" t="s">
        <v>365</v>
      </c>
      <c r="Z73" s="2">
        <f>IF(AQ73="5",BJ73,0)</f>
        <v>0</v>
      </c>
      <c r="AB73" s="2">
        <f>IF(AQ73="1",BH73,0)</f>
        <v>0</v>
      </c>
      <c r="AC73" s="2">
        <f>IF(AQ73="1",BI73,0)</f>
        <v>0</v>
      </c>
      <c r="AD73" s="2">
        <f>IF(AQ73="7",BH73,0)</f>
        <v>0</v>
      </c>
      <c r="AE73" s="2">
        <f>IF(AQ73="7",BI73,0)</f>
        <v>0</v>
      </c>
      <c r="AF73" s="2">
        <f>IF(AQ73="2",BH73,0)</f>
        <v>0</v>
      </c>
      <c r="AG73" s="2">
        <f>IF(AQ73="2",BI73,0)</f>
        <v>0</v>
      </c>
      <c r="AH73" s="2">
        <f>IF(AQ73="0",BJ73,0)</f>
        <v>0</v>
      </c>
      <c r="AI73" s="33" t="s">
        <v>299</v>
      </c>
      <c r="AJ73" s="2">
        <f>IF(AN73=0,L73,0)</f>
        <v>0</v>
      </c>
      <c r="AK73" s="2">
        <f>IF(AN73=15,L73,0)</f>
        <v>0</v>
      </c>
      <c r="AL73" s="2">
        <f>IF(AN73=21,L73,0)</f>
        <v>0</v>
      </c>
      <c r="AN73" s="2">
        <v>21</v>
      </c>
      <c r="AO73" s="2">
        <f>I73*0</f>
        <v>0</v>
      </c>
      <c r="AP73" s="2">
        <f>I73*(1-0)</f>
        <v>0</v>
      </c>
      <c r="AQ73" s="44" t="s">
        <v>432</v>
      </c>
      <c r="AV73" s="2">
        <f>AW73+AX73</f>
        <v>0</v>
      </c>
      <c r="AW73" s="2">
        <f>H73*AO73</f>
        <v>0</v>
      </c>
      <c r="AX73" s="2">
        <f>H73*AP73</f>
        <v>0</v>
      </c>
      <c r="AY73" s="44" t="s">
        <v>274</v>
      </c>
      <c r="AZ73" s="44" t="s">
        <v>32</v>
      </c>
      <c r="BA73" s="33" t="s">
        <v>329</v>
      </c>
      <c r="BC73" s="2">
        <f>AW73+AX73</f>
        <v>0</v>
      </c>
      <c r="BD73" s="2">
        <f>I73/(100-BE73)*100</f>
        <v>0</v>
      </c>
      <c r="BE73" s="2">
        <v>0</v>
      </c>
      <c r="BF73" s="2">
        <f>75</f>
        <v>75</v>
      </c>
      <c r="BH73" s="2">
        <f>H73*AO73</f>
        <v>0</v>
      </c>
      <c r="BI73" s="2">
        <f>H73*AP73</f>
        <v>0</v>
      </c>
      <c r="BJ73" s="2">
        <f>H73*I73</f>
        <v>0</v>
      </c>
      <c r="BK73" s="2"/>
      <c r="BL73" s="2">
        <v>722</v>
      </c>
    </row>
    <row r="74" spans="1:64" ht="15" customHeight="1" x14ac:dyDescent="0.3">
      <c r="A74" s="47"/>
      <c r="B74" s="23"/>
      <c r="C74" s="1" t="s">
        <v>18</v>
      </c>
      <c r="F74" s="1" t="s">
        <v>299</v>
      </c>
      <c r="G74" s="23"/>
      <c r="H74" s="4">
        <v>10</v>
      </c>
      <c r="I74" s="23"/>
      <c r="J74" s="23"/>
      <c r="K74" s="23"/>
      <c r="L74" s="23"/>
      <c r="M74" s="38"/>
    </row>
    <row r="75" spans="1:64" ht="15" customHeight="1" x14ac:dyDescent="0.3">
      <c r="A75" s="11" t="s">
        <v>252</v>
      </c>
      <c r="B75" s="8" t="s">
        <v>165</v>
      </c>
      <c r="C75" s="51" t="s">
        <v>180</v>
      </c>
      <c r="D75" s="50"/>
      <c r="E75" s="50"/>
      <c r="F75" s="51"/>
      <c r="G75" s="8" t="s">
        <v>111</v>
      </c>
      <c r="H75" s="24">
        <v>1</v>
      </c>
      <c r="I75" s="24"/>
      <c r="J75" s="24">
        <f>H75*AO75</f>
        <v>0</v>
      </c>
      <c r="K75" s="24">
        <f>H75*AP75</f>
        <v>0</v>
      </c>
      <c r="L75" s="24">
        <f>H75*I75</f>
        <v>0</v>
      </c>
      <c r="M75" s="28" t="s">
        <v>365</v>
      </c>
      <c r="Z75" s="2">
        <f>IF(AQ75="5",BJ75,0)</f>
        <v>0</v>
      </c>
      <c r="AB75" s="2">
        <f>IF(AQ75="1",BH75,0)</f>
        <v>0</v>
      </c>
      <c r="AC75" s="2">
        <f>IF(AQ75="1",BI75,0)</f>
        <v>0</v>
      </c>
      <c r="AD75" s="2">
        <f>IF(AQ75="7",BH75,0)</f>
        <v>0</v>
      </c>
      <c r="AE75" s="2">
        <f>IF(AQ75="7",BI75,0)</f>
        <v>0</v>
      </c>
      <c r="AF75" s="2">
        <f>IF(AQ75="2",BH75,0)</f>
        <v>0</v>
      </c>
      <c r="AG75" s="2">
        <f>IF(AQ75="2",BI75,0)</f>
        <v>0</v>
      </c>
      <c r="AH75" s="2">
        <f>IF(AQ75="0",BJ75,0)</f>
        <v>0</v>
      </c>
      <c r="AI75" s="33" t="s">
        <v>299</v>
      </c>
      <c r="AJ75" s="2">
        <f>IF(AN75=0,L75,0)</f>
        <v>0</v>
      </c>
      <c r="AK75" s="2">
        <f>IF(AN75=15,L75,0)</f>
        <v>0</v>
      </c>
      <c r="AL75" s="2">
        <f>IF(AN75=21,L75,0)</f>
        <v>0</v>
      </c>
      <c r="AN75" s="2">
        <v>21</v>
      </c>
      <c r="AO75" s="2">
        <f>I75*0</f>
        <v>0</v>
      </c>
      <c r="AP75" s="2">
        <f>I75*(1-0)</f>
        <v>0</v>
      </c>
      <c r="AQ75" s="44" t="s">
        <v>432</v>
      </c>
      <c r="AV75" s="2">
        <f>AW75+AX75</f>
        <v>0</v>
      </c>
      <c r="AW75" s="2">
        <f>H75*AO75</f>
        <v>0</v>
      </c>
      <c r="AX75" s="2">
        <f>H75*AP75</f>
        <v>0</v>
      </c>
      <c r="AY75" s="44" t="s">
        <v>274</v>
      </c>
      <c r="AZ75" s="44" t="s">
        <v>32</v>
      </c>
      <c r="BA75" s="33" t="s">
        <v>329</v>
      </c>
      <c r="BC75" s="2">
        <f>AW75+AX75</f>
        <v>0</v>
      </c>
      <c r="BD75" s="2">
        <f>I75/(100-BE75)*100</f>
        <v>0</v>
      </c>
      <c r="BE75" s="2">
        <v>0</v>
      </c>
      <c r="BF75" s="2">
        <f>77</f>
        <v>77</v>
      </c>
      <c r="BH75" s="2">
        <f>H75*AO75</f>
        <v>0</v>
      </c>
      <c r="BI75" s="2">
        <f>H75*AP75</f>
        <v>0</v>
      </c>
      <c r="BJ75" s="2">
        <f>H75*I75</f>
        <v>0</v>
      </c>
      <c r="BK75" s="2"/>
      <c r="BL75" s="2">
        <v>722</v>
      </c>
    </row>
    <row r="76" spans="1:64" ht="15" customHeight="1" x14ac:dyDescent="0.3">
      <c r="A76" s="47"/>
      <c r="B76" s="23"/>
      <c r="C76" s="1" t="s">
        <v>429</v>
      </c>
      <c r="F76" s="1" t="s">
        <v>299</v>
      </c>
      <c r="G76" s="23"/>
      <c r="H76" s="4">
        <v>1</v>
      </c>
      <c r="I76" s="23"/>
      <c r="J76" s="23"/>
      <c r="K76" s="23"/>
      <c r="L76" s="23"/>
      <c r="M76" s="38"/>
    </row>
    <row r="77" spans="1:64" ht="15" customHeight="1" x14ac:dyDescent="0.3">
      <c r="A77" s="11" t="s">
        <v>367</v>
      </c>
      <c r="B77" s="8" t="s">
        <v>293</v>
      </c>
      <c r="C77" s="51" t="s">
        <v>452</v>
      </c>
      <c r="D77" s="50"/>
      <c r="E77" s="50"/>
      <c r="F77" s="51"/>
      <c r="G77" s="8" t="s">
        <v>361</v>
      </c>
      <c r="H77" s="24">
        <v>44</v>
      </c>
      <c r="I77" s="24"/>
      <c r="J77" s="24">
        <f>H77*AO77</f>
        <v>0</v>
      </c>
      <c r="K77" s="24">
        <f>H77*AP77</f>
        <v>0</v>
      </c>
      <c r="L77" s="24">
        <f>H77*I77</f>
        <v>0</v>
      </c>
      <c r="M77" s="28" t="s">
        <v>365</v>
      </c>
      <c r="Z77" s="2">
        <f>IF(AQ77="5",BJ77,0)</f>
        <v>0</v>
      </c>
      <c r="AB77" s="2">
        <f>IF(AQ77="1",BH77,0)</f>
        <v>0</v>
      </c>
      <c r="AC77" s="2">
        <f>IF(AQ77="1",BI77,0)</f>
        <v>0</v>
      </c>
      <c r="AD77" s="2">
        <f>IF(AQ77="7",BH77,0)</f>
        <v>0</v>
      </c>
      <c r="AE77" s="2">
        <f>IF(AQ77="7",BI77,0)</f>
        <v>0</v>
      </c>
      <c r="AF77" s="2">
        <f>IF(AQ77="2",BH77,0)</f>
        <v>0</v>
      </c>
      <c r="AG77" s="2">
        <f>IF(AQ77="2",BI77,0)</f>
        <v>0</v>
      </c>
      <c r="AH77" s="2">
        <f>IF(AQ77="0",BJ77,0)</f>
        <v>0</v>
      </c>
      <c r="AI77" s="33" t="s">
        <v>299</v>
      </c>
      <c r="AJ77" s="2">
        <f>IF(AN77=0,L77,0)</f>
        <v>0</v>
      </c>
      <c r="AK77" s="2">
        <f>IF(AN77=15,L77,0)</f>
        <v>0</v>
      </c>
      <c r="AL77" s="2">
        <f>IF(AN77=21,L77,0)</f>
        <v>0</v>
      </c>
      <c r="AN77" s="2">
        <v>21</v>
      </c>
      <c r="AO77" s="2">
        <f>I77*0.016656751933373</f>
        <v>0</v>
      </c>
      <c r="AP77" s="2">
        <f>I77*(1-0.016656751933373)</f>
        <v>0</v>
      </c>
      <c r="AQ77" s="44" t="s">
        <v>432</v>
      </c>
      <c r="AV77" s="2">
        <f>AW77+AX77</f>
        <v>0</v>
      </c>
      <c r="AW77" s="2">
        <f>H77*AO77</f>
        <v>0</v>
      </c>
      <c r="AX77" s="2">
        <f>H77*AP77</f>
        <v>0</v>
      </c>
      <c r="AY77" s="44" t="s">
        <v>274</v>
      </c>
      <c r="AZ77" s="44" t="s">
        <v>32</v>
      </c>
      <c r="BA77" s="33" t="s">
        <v>329</v>
      </c>
      <c r="BC77" s="2">
        <f>AW77+AX77</f>
        <v>0</v>
      </c>
      <c r="BD77" s="2">
        <f>I77/(100-BE77)*100</f>
        <v>0</v>
      </c>
      <c r="BE77" s="2">
        <v>0</v>
      </c>
      <c r="BF77" s="2">
        <f>79</f>
        <v>79</v>
      </c>
      <c r="BH77" s="2">
        <f>H77*AO77</f>
        <v>0</v>
      </c>
      <c r="BI77" s="2">
        <f>H77*AP77</f>
        <v>0</v>
      </c>
      <c r="BJ77" s="2">
        <f>H77*I77</f>
        <v>0</v>
      </c>
      <c r="BK77" s="2"/>
      <c r="BL77" s="2">
        <v>722</v>
      </c>
    </row>
    <row r="78" spans="1:64" ht="15" customHeight="1" x14ac:dyDescent="0.3">
      <c r="A78" s="47"/>
      <c r="B78" s="23"/>
      <c r="C78" s="1" t="s">
        <v>220</v>
      </c>
      <c r="F78" s="1" t="s">
        <v>299</v>
      </c>
      <c r="G78" s="23"/>
      <c r="H78" s="4">
        <v>44.000000000000007</v>
      </c>
      <c r="I78" s="23"/>
      <c r="J78" s="23"/>
      <c r="K78" s="23"/>
      <c r="L78" s="23"/>
      <c r="M78" s="38"/>
    </row>
    <row r="79" spans="1:64" ht="15" customHeight="1" x14ac:dyDescent="0.3">
      <c r="A79" s="11" t="s">
        <v>95</v>
      </c>
      <c r="B79" s="8" t="s">
        <v>74</v>
      </c>
      <c r="C79" s="51" t="s">
        <v>356</v>
      </c>
      <c r="D79" s="50"/>
      <c r="E79" s="50"/>
      <c r="F79" s="51"/>
      <c r="G79" s="8" t="s">
        <v>361</v>
      </c>
      <c r="H79" s="24">
        <v>36</v>
      </c>
      <c r="I79" s="24"/>
      <c r="J79" s="24">
        <f>H79*AO79</f>
        <v>0</v>
      </c>
      <c r="K79" s="24">
        <f>H79*AP79</f>
        <v>0</v>
      </c>
      <c r="L79" s="24">
        <f>H79*I79</f>
        <v>0</v>
      </c>
      <c r="M79" s="28" t="s">
        <v>365</v>
      </c>
      <c r="Z79" s="2">
        <f>IF(AQ79="5",BJ79,0)</f>
        <v>0</v>
      </c>
      <c r="AB79" s="2">
        <f>IF(AQ79="1",BH79,0)</f>
        <v>0</v>
      </c>
      <c r="AC79" s="2">
        <f>IF(AQ79="1",BI79,0)</f>
        <v>0</v>
      </c>
      <c r="AD79" s="2">
        <f>IF(AQ79="7",BH79,0)</f>
        <v>0</v>
      </c>
      <c r="AE79" s="2">
        <f>IF(AQ79="7",BI79,0)</f>
        <v>0</v>
      </c>
      <c r="AF79" s="2">
        <f>IF(AQ79="2",BH79,0)</f>
        <v>0</v>
      </c>
      <c r="AG79" s="2">
        <f>IF(AQ79="2",BI79,0)</f>
        <v>0</v>
      </c>
      <c r="AH79" s="2">
        <f>IF(AQ79="0",BJ79,0)</f>
        <v>0</v>
      </c>
      <c r="AI79" s="33" t="s">
        <v>299</v>
      </c>
      <c r="AJ79" s="2">
        <f>IF(AN79=0,L79,0)</f>
        <v>0</v>
      </c>
      <c r="AK79" s="2">
        <f>IF(AN79=15,L79,0)</f>
        <v>0</v>
      </c>
      <c r="AL79" s="2">
        <f>IF(AN79=21,L79,0)</f>
        <v>0</v>
      </c>
      <c r="AN79" s="2">
        <v>21</v>
      </c>
      <c r="AO79" s="2">
        <f>I79*0.0535816618911175</f>
        <v>0</v>
      </c>
      <c r="AP79" s="2">
        <f>I79*(1-0.0535816618911175)</f>
        <v>0</v>
      </c>
      <c r="AQ79" s="44" t="s">
        <v>432</v>
      </c>
      <c r="AV79" s="2">
        <f>AW79+AX79</f>
        <v>0</v>
      </c>
      <c r="AW79" s="2">
        <f>H79*AO79</f>
        <v>0</v>
      </c>
      <c r="AX79" s="2">
        <f>H79*AP79</f>
        <v>0</v>
      </c>
      <c r="AY79" s="44" t="s">
        <v>274</v>
      </c>
      <c r="AZ79" s="44" t="s">
        <v>32</v>
      </c>
      <c r="BA79" s="33" t="s">
        <v>329</v>
      </c>
      <c r="BC79" s="2">
        <f>AW79+AX79</f>
        <v>0</v>
      </c>
      <c r="BD79" s="2">
        <f>I79/(100-BE79)*100</f>
        <v>0</v>
      </c>
      <c r="BE79" s="2">
        <v>0</v>
      </c>
      <c r="BF79" s="2">
        <f>81</f>
        <v>81</v>
      </c>
      <c r="BH79" s="2">
        <f>H79*AO79</f>
        <v>0</v>
      </c>
      <c r="BI79" s="2">
        <f>H79*AP79</f>
        <v>0</v>
      </c>
      <c r="BJ79" s="2">
        <f>H79*I79</f>
        <v>0</v>
      </c>
      <c r="BK79" s="2"/>
      <c r="BL79" s="2">
        <v>722</v>
      </c>
    </row>
    <row r="80" spans="1:64" ht="15" customHeight="1" x14ac:dyDescent="0.3">
      <c r="A80" s="47"/>
      <c r="B80" s="23"/>
      <c r="C80" s="1" t="s">
        <v>249</v>
      </c>
      <c r="F80" s="1" t="s">
        <v>299</v>
      </c>
      <c r="G80" s="23"/>
      <c r="H80" s="4">
        <v>36</v>
      </c>
      <c r="I80" s="23"/>
      <c r="J80" s="23"/>
      <c r="K80" s="23"/>
      <c r="L80" s="23"/>
      <c r="M80" s="38"/>
    </row>
    <row r="81" spans="1:64" ht="15" customHeight="1" x14ac:dyDescent="0.3">
      <c r="A81" s="19" t="s">
        <v>299</v>
      </c>
      <c r="B81" s="34" t="s">
        <v>415</v>
      </c>
      <c r="C81" s="52" t="s">
        <v>253</v>
      </c>
      <c r="D81" s="52"/>
      <c r="E81" s="52"/>
      <c r="F81" s="52"/>
      <c r="G81" s="12" t="s">
        <v>400</v>
      </c>
      <c r="H81" s="12" t="s">
        <v>400</v>
      </c>
      <c r="I81" s="12" t="s">
        <v>400</v>
      </c>
      <c r="J81" s="15">
        <f>SUM(J82:J111)</f>
        <v>0</v>
      </c>
      <c r="K81" s="15">
        <f>SUM(K82:K111)</f>
        <v>0</v>
      </c>
      <c r="L81" s="15">
        <f>SUM(L82:L111)</f>
        <v>0</v>
      </c>
      <c r="M81" s="18" t="s">
        <v>299</v>
      </c>
      <c r="AI81" s="33" t="s">
        <v>299</v>
      </c>
      <c r="AS81" s="15">
        <f>SUM(AJ82:AJ111)</f>
        <v>0</v>
      </c>
      <c r="AT81" s="15">
        <f>SUM(AK82:AK111)</f>
        <v>0</v>
      </c>
      <c r="AU81" s="15">
        <f>SUM(AL82:AL111)</f>
        <v>0</v>
      </c>
    </row>
    <row r="82" spans="1:64" ht="15" customHeight="1" x14ac:dyDescent="0.3">
      <c r="A82" s="11" t="s">
        <v>384</v>
      </c>
      <c r="B82" s="8" t="s">
        <v>282</v>
      </c>
      <c r="C82" s="51" t="s">
        <v>279</v>
      </c>
      <c r="D82" s="50"/>
      <c r="E82" s="50"/>
      <c r="F82" s="51"/>
      <c r="G82" s="8" t="s">
        <v>111</v>
      </c>
      <c r="H82" s="24">
        <v>1</v>
      </c>
      <c r="I82" s="24"/>
      <c r="J82" s="24">
        <f>H82*AO82</f>
        <v>0</v>
      </c>
      <c r="K82" s="24">
        <f>H82*AP82</f>
        <v>0</v>
      </c>
      <c r="L82" s="24">
        <f>H82*I82</f>
        <v>0</v>
      </c>
      <c r="M82" s="28" t="s">
        <v>365</v>
      </c>
      <c r="Z82" s="2">
        <f>IF(AQ82="5",BJ82,0)</f>
        <v>0</v>
      </c>
      <c r="AB82" s="2">
        <f>IF(AQ82="1",BH82,0)</f>
        <v>0</v>
      </c>
      <c r="AC82" s="2">
        <f>IF(AQ82="1",BI82,0)</f>
        <v>0</v>
      </c>
      <c r="AD82" s="2">
        <f>IF(AQ82="7",BH82,0)</f>
        <v>0</v>
      </c>
      <c r="AE82" s="2">
        <f>IF(AQ82="7",BI82,0)</f>
        <v>0</v>
      </c>
      <c r="AF82" s="2">
        <f>IF(AQ82="2",BH82,0)</f>
        <v>0</v>
      </c>
      <c r="AG82" s="2">
        <f>IF(AQ82="2",BI82,0)</f>
        <v>0</v>
      </c>
      <c r="AH82" s="2">
        <f>IF(AQ82="0",BJ82,0)</f>
        <v>0</v>
      </c>
      <c r="AI82" s="33" t="s">
        <v>299</v>
      </c>
      <c r="AJ82" s="2">
        <f>IF(AN82=0,L82,0)</f>
        <v>0</v>
      </c>
      <c r="AK82" s="2">
        <f>IF(AN82=15,L82,0)</f>
        <v>0</v>
      </c>
      <c r="AL82" s="2">
        <f>IF(AN82=21,L82,0)</f>
        <v>0</v>
      </c>
      <c r="AN82" s="2">
        <v>21</v>
      </c>
      <c r="AO82" s="2">
        <f>I82*0.0162430939226519</f>
        <v>0</v>
      </c>
      <c r="AP82" s="2">
        <f>I82*(1-0.0162430939226519)</f>
        <v>0</v>
      </c>
      <c r="AQ82" s="44" t="s">
        <v>432</v>
      </c>
      <c r="AV82" s="2">
        <f>AW82+AX82</f>
        <v>0</v>
      </c>
      <c r="AW82" s="2">
        <f>H82*AO82</f>
        <v>0</v>
      </c>
      <c r="AX82" s="2">
        <f>H82*AP82</f>
        <v>0</v>
      </c>
      <c r="AY82" s="44" t="s">
        <v>183</v>
      </c>
      <c r="AZ82" s="44" t="s">
        <v>32</v>
      </c>
      <c r="BA82" s="33" t="s">
        <v>329</v>
      </c>
      <c r="BC82" s="2">
        <f>AW82+AX82</f>
        <v>0</v>
      </c>
      <c r="BD82" s="2">
        <f>I82/(100-BE82)*100</f>
        <v>0</v>
      </c>
      <c r="BE82" s="2">
        <v>0</v>
      </c>
      <c r="BF82" s="2">
        <f>85</f>
        <v>85</v>
      </c>
      <c r="BH82" s="2">
        <f>H82*AO82</f>
        <v>0</v>
      </c>
      <c r="BI82" s="2">
        <f>H82*AP82</f>
        <v>0</v>
      </c>
      <c r="BJ82" s="2">
        <f>H82*I82</f>
        <v>0</v>
      </c>
      <c r="BK82" s="2"/>
      <c r="BL82" s="2">
        <v>725</v>
      </c>
    </row>
    <row r="83" spans="1:64" ht="15" customHeight="1" x14ac:dyDescent="0.3">
      <c r="A83" s="47"/>
      <c r="B83" s="23"/>
      <c r="C83" s="1" t="s">
        <v>429</v>
      </c>
      <c r="F83" s="1" t="s">
        <v>299</v>
      </c>
      <c r="G83" s="23"/>
      <c r="H83" s="4">
        <v>1</v>
      </c>
      <c r="I83" s="23"/>
      <c r="J83" s="23"/>
      <c r="K83" s="23"/>
      <c r="L83" s="23"/>
      <c r="M83" s="38"/>
    </row>
    <row r="84" spans="1:64" ht="15" customHeight="1" x14ac:dyDescent="0.3">
      <c r="A84" s="11" t="s">
        <v>249</v>
      </c>
      <c r="B84" s="8" t="s">
        <v>13</v>
      </c>
      <c r="C84" s="51" t="s">
        <v>276</v>
      </c>
      <c r="D84" s="50"/>
      <c r="E84" s="50"/>
      <c r="F84" s="51"/>
      <c r="G84" s="8" t="s">
        <v>144</v>
      </c>
      <c r="H84" s="24">
        <v>2</v>
      </c>
      <c r="I84" s="24"/>
      <c r="J84" s="24">
        <f>H84*AO84</f>
        <v>0</v>
      </c>
      <c r="K84" s="24">
        <f>H84*AP84</f>
        <v>0</v>
      </c>
      <c r="L84" s="24">
        <f>H84*I84</f>
        <v>0</v>
      </c>
      <c r="M84" s="28" t="s">
        <v>365</v>
      </c>
      <c r="Z84" s="2">
        <f>IF(AQ84="5",BJ84,0)</f>
        <v>0</v>
      </c>
      <c r="AB84" s="2">
        <f>IF(AQ84="1",BH84,0)</f>
        <v>0</v>
      </c>
      <c r="AC84" s="2">
        <f>IF(AQ84="1",BI84,0)</f>
        <v>0</v>
      </c>
      <c r="AD84" s="2">
        <f>IF(AQ84="7",BH84,0)</f>
        <v>0</v>
      </c>
      <c r="AE84" s="2">
        <f>IF(AQ84="7",BI84,0)</f>
        <v>0</v>
      </c>
      <c r="AF84" s="2">
        <f>IF(AQ84="2",BH84,0)</f>
        <v>0</v>
      </c>
      <c r="AG84" s="2">
        <f>IF(AQ84="2",BI84,0)</f>
        <v>0</v>
      </c>
      <c r="AH84" s="2">
        <f>IF(AQ84="0",BJ84,0)</f>
        <v>0</v>
      </c>
      <c r="AI84" s="33" t="s">
        <v>299</v>
      </c>
      <c r="AJ84" s="2">
        <f>IF(AN84=0,L84,0)</f>
        <v>0</v>
      </c>
      <c r="AK84" s="2">
        <f>IF(AN84=15,L84,0)</f>
        <v>0</v>
      </c>
      <c r="AL84" s="2">
        <f>IF(AN84=21,L84,0)</f>
        <v>0</v>
      </c>
      <c r="AN84" s="2">
        <v>21</v>
      </c>
      <c r="AO84" s="2">
        <f>I84*0.885628192032686</f>
        <v>0</v>
      </c>
      <c r="AP84" s="2">
        <f>I84*(1-0.885628192032686)</f>
        <v>0</v>
      </c>
      <c r="AQ84" s="44" t="s">
        <v>432</v>
      </c>
      <c r="AV84" s="2">
        <f>AW84+AX84</f>
        <v>0</v>
      </c>
      <c r="AW84" s="2">
        <f>H84*AO84</f>
        <v>0</v>
      </c>
      <c r="AX84" s="2">
        <f>H84*AP84</f>
        <v>0</v>
      </c>
      <c r="AY84" s="44" t="s">
        <v>183</v>
      </c>
      <c r="AZ84" s="44" t="s">
        <v>32</v>
      </c>
      <c r="BA84" s="33" t="s">
        <v>329</v>
      </c>
      <c r="BC84" s="2">
        <f>AW84+AX84</f>
        <v>0</v>
      </c>
      <c r="BD84" s="2">
        <f>I84/(100-BE84)*100</f>
        <v>0</v>
      </c>
      <c r="BE84" s="2">
        <v>0</v>
      </c>
      <c r="BF84" s="2">
        <f>87</f>
        <v>87</v>
      </c>
      <c r="BH84" s="2">
        <f>H84*AO84</f>
        <v>0</v>
      </c>
      <c r="BI84" s="2">
        <f>H84*AP84</f>
        <v>0</v>
      </c>
      <c r="BJ84" s="2">
        <f>H84*I84</f>
        <v>0</v>
      </c>
      <c r="BK84" s="2"/>
      <c r="BL84" s="2">
        <v>725</v>
      </c>
    </row>
    <row r="85" spans="1:64" ht="15" customHeight="1" x14ac:dyDescent="0.3">
      <c r="A85" s="47"/>
      <c r="B85" s="23"/>
      <c r="C85" s="1" t="s">
        <v>297</v>
      </c>
      <c r="F85" s="1" t="s">
        <v>299</v>
      </c>
      <c r="G85" s="23"/>
      <c r="H85" s="4">
        <v>2</v>
      </c>
      <c r="I85" s="23"/>
      <c r="J85" s="23"/>
      <c r="K85" s="23"/>
      <c r="L85" s="23"/>
      <c r="M85" s="38"/>
    </row>
    <row r="86" spans="1:64" ht="15" customHeight="1" x14ac:dyDescent="0.3">
      <c r="A86" s="11" t="s">
        <v>422</v>
      </c>
      <c r="B86" s="8" t="s">
        <v>223</v>
      </c>
      <c r="C86" s="51" t="s">
        <v>131</v>
      </c>
      <c r="D86" s="50"/>
      <c r="E86" s="50"/>
      <c r="F86" s="51"/>
      <c r="G86" s="8" t="s">
        <v>144</v>
      </c>
      <c r="H86" s="24">
        <v>1</v>
      </c>
      <c r="I86" s="24"/>
      <c r="J86" s="24">
        <f>H86*AO86</f>
        <v>0</v>
      </c>
      <c r="K86" s="24">
        <f>H86*AP86</f>
        <v>0</v>
      </c>
      <c r="L86" s="24">
        <f>H86*I86</f>
        <v>0</v>
      </c>
      <c r="M86" s="28" t="s">
        <v>365</v>
      </c>
      <c r="Z86" s="2">
        <f>IF(AQ86="5",BJ86,0)</f>
        <v>0</v>
      </c>
      <c r="AB86" s="2">
        <f>IF(AQ86="1",BH86,0)</f>
        <v>0</v>
      </c>
      <c r="AC86" s="2">
        <f>IF(AQ86="1",BI86,0)</f>
        <v>0</v>
      </c>
      <c r="AD86" s="2">
        <f>IF(AQ86="7",BH86,0)</f>
        <v>0</v>
      </c>
      <c r="AE86" s="2">
        <f>IF(AQ86="7",BI86,0)</f>
        <v>0</v>
      </c>
      <c r="AF86" s="2">
        <f>IF(AQ86="2",BH86,0)</f>
        <v>0</v>
      </c>
      <c r="AG86" s="2">
        <f>IF(AQ86="2",BI86,0)</f>
        <v>0</v>
      </c>
      <c r="AH86" s="2">
        <f>IF(AQ86="0",BJ86,0)</f>
        <v>0</v>
      </c>
      <c r="AI86" s="33" t="s">
        <v>299</v>
      </c>
      <c r="AJ86" s="2">
        <f>IF(AN86=0,L86,0)</f>
        <v>0</v>
      </c>
      <c r="AK86" s="2">
        <f>IF(AN86=15,L86,0)</f>
        <v>0</v>
      </c>
      <c r="AL86" s="2">
        <f>IF(AN86=21,L86,0)</f>
        <v>0</v>
      </c>
      <c r="AN86" s="2">
        <v>21</v>
      </c>
      <c r="AO86" s="2">
        <f>I86*0.922080723729993</f>
        <v>0</v>
      </c>
      <c r="AP86" s="2">
        <f>I86*(1-0.922080723729993)</f>
        <v>0</v>
      </c>
      <c r="AQ86" s="44" t="s">
        <v>432</v>
      </c>
      <c r="AV86" s="2">
        <f>AW86+AX86</f>
        <v>0</v>
      </c>
      <c r="AW86" s="2">
        <f>H86*AO86</f>
        <v>0</v>
      </c>
      <c r="AX86" s="2">
        <f>H86*AP86</f>
        <v>0</v>
      </c>
      <c r="AY86" s="44" t="s">
        <v>183</v>
      </c>
      <c r="AZ86" s="44" t="s">
        <v>32</v>
      </c>
      <c r="BA86" s="33" t="s">
        <v>329</v>
      </c>
      <c r="BC86" s="2">
        <f>AW86+AX86</f>
        <v>0</v>
      </c>
      <c r="BD86" s="2">
        <f>I86/(100-BE86)*100</f>
        <v>0</v>
      </c>
      <c r="BE86" s="2">
        <v>0</v>
      </c>
      <c r="BF86" s="2">
        <f>89</f>
        <v>89</v>
      </c>
      <c r="BH86" s="2">
        <f>H86*AO86</f>
        <v>0</v>
      </c>
      <c r="BI86" s="2">
        <f>H86*AP86</f>
        <v>0</v>
      </c>
      <c r="BJ86" s="2">
        <f>H86*I86</f>
        <v>0</v>
      </c>
      <c r="BK86" s="2"/>
      <c r="BL86" s="2">
        <v>725</v>
      </c>
    </row>
    <row r="87" spans="1:64" ht="15" customHeight="1" x14ac:dyDescent="0.3">
      <c r="A87" s="47"/>
      <c r="B87" s="23"/>
      <c r="C87" s="1" t="s">
        <v>429</v>
      </c>
      <c r="F87" s="1" t="s">
        <v>299</v>
      </c>
      <c r="G87" s="23"/>
      <c r="H87" s="4">
        <v>1</v>
      </c>
      <c r="I87" s="23"/>
      <c r="J87" s="23"/>
      <c r="K87" s="23"/>
      <c r="L87" s="23"/>
      <c r="M87" s="38"/>
    </row>
    <row r="88" spans="1:64" ht="15" customHeight="1" x14ac:dyDescent="0.3">
      <c r="A88" s="11" t="s">
        <v>260</v>
      </c>
      <c r="B88" s="8" t="s">
        <v>444</v>
      </c>
      <c r="C88" s="51" t="s">
        <v>291</v>
      </c>
      <c r="D88" s="50"/>
      <c r="E88" s="50"/>
      <c r="F88" s="51"/>
      <c r="G88" s="8" t="s">
        <v>144</v>
      </c>
      <c r="H88" s="24">
        <v>1</v>
      </c>
      <c r="I88" s="24"/>
      <c r="J88" s="24">
        <f>H88*AO88</f>
        <v>0</v>
      </c>
      <c r="K88" s="24">
        <f>H88*AP88</f>
        <v>0</v>
      </c>
      <c r="L88" s="24">
        <f>H88*I88</f>
        <v>0</v>
      </c>
      <c r="M88" s="28" t="s">
        <v>365</v>
      </c>
      <c r="Z88" s="2">
        <f>IF(AQ88="5",BJ88,0)</f>
        <v>0</v>
      </c>
      <c r="AB88" s="2">
        <f>IF(AQ88="1",BH88,0)</f>
        <v>0</v>
      </c>
      <c r="AC88" s="2">
        <f>IF(AQ88="1",BI88,0)</f>
        <v>0</v>
      </c>
      <c r="AD88" s="2">
        <f>IF(AQ88="7",BH88,0)</f>
        <v>0</v>
      </c>
      <c r="AE88" s="2">
        <f>IF(AQ88="7",BI88,0)</f>
        <v>0</v>
      </c>
      <c r="AF88" s="2">
        <f>IF(AQ88="2",BH88,0)</f>
        <v>0</v>
      </c>
      <c r="AG88" s="2">
        <f>IF(AQ88="2",BI88,0)</f>
        <v>0</v>
      </c>
      <c r="AH88" s="2">
        <f>IF(AQ88="0",BJ88,0)</f>
        <v>0</v>
      </c>
      <c r="AI88" s="33" t="s">
        <v>299</v>
      </c>
      <c r="AJ88" s="2">
        <f>IF(AN88=0,L88,0)</f>
        <v>0</v>
      </c>
      <c r="AK88" s="2">
        <f>IF(AN88=15,L88,0)</f>
        <v>0</v>
      </c>
      <c r="AL88" s="2">
        <f>IF(AN88=21,L88,0)</f>
        <v>0</v>
      </c>
      <c r="AN88" s="2">
        <v>21</v>
      </c>
      <c r="AO88" s="2">
        <f>I88*0.881703947368421</f>
        <v>0</v>
      </c>
      <c r="AP88" s="2">
        <f>I88*(1-0.881703947368421)</f>
        <v>0</v>
      </c>
      <c r="AQ88" s="44" t="s">
        <v>432</v>
      </c>
      <c r="AV88" s="2">
        <f>AW88+AX88</f>
        <v>0</v>
      </c>
      <c r="AW88" s="2">
        <f>H88*AO88</f>
        <v>0</v>
      </c>
      <c r="AX88" s="2">
        <f>H88*AP88</f>
        <v>0</v>
      </c>
      <c r="AY88" s="44" t="s">
        <v>183</v>
      </c>
      <c r="AZ88" s="44" t="s">
        <v>32</v>
      </c>
      <c r="BA88" s="33" t="s">
        <v>329</v>
      </c>
      <c r="BC88" s="2">
        <f>AW88+AX88</f>
        <v>0</v>
      </c>
      <c r="BD88" s="2">
        <f>I88/(100-BE88)*100</f>
        <v>0</v>
      </c>
      <c r="BE88" s="2">
        <v>0</v>
      </c>
      <c r="BF88" s="2">
        <f>91</f>
        <v>91</v>
      </c>
      <c r="BH88" s="2">
        <f>H88*AO88</f>
        <v>0</v>
      </c>
      <c r="BI88" s="2">
        <f>H88*AP88</f>
        <v>0</v>
      </c>
      <c r="BJ88" s="2">
        <f>H88*I88</f>
        <v>0</v>
      </c>
      <c r="BK88" s="2"/>
      <c r="BL88" s="2">
        <v>725</v>
      </c>
    </row>
    <row r="89" spans="1:64" ht="15" customHeight="1" x14ac:dyDescent="0.3">
      <c r="A89" s="47"/>
      <c r="B89" s="23"/>
      <c r="C89" s="1" t="s">
        <v>429</v>
      </c>
      <c r="F89" s="1" t="s">
        <v>299</v>
      </c>
      <c r="G89" s="23"/>
      <c r="H89" s="4">
        <v>1</v>
      </c>
      <c r="I89" s="23"/>
      <c r="J89" s="23"/>
      <c r="K89" s="23"/>
      <c r="L89" s="23"/>
      <c r="M89" s="38"/>
    </row>
    <row r="90" spans="1:64" ht="15" customHeight="1" x14ac:dyDescent="0.3">
      <c r="A90" s="17" t="s">
        <v>280</v>
      </c>
      <c r="B90" s="13" t="s">
        <v>401</v>
      </c>
      <c r="C90" s="54" t="s">
        <v>207</v>
      </c>
      <c r="D90" s="53"/>
      <c r="E90" s="53"/>
      <c r="F90" s="54"/>
      <c r="G90" s="13" t="s">
        <v>111</v>
      </c>
      <c r="H90" s="43">
        <v>3</v>
      </c>
      <c r="I90" s="43"/>
      <c r="J90" s="43">
        <f>H90*AO90</f>
        <v>0</v>
      </c>
      <c r="K90" s="43">
        <f>H90*AP90</f>
        <v>0</v>
      </c>
      <c r="L90" s="43">
        <f>H90*I90</f>
        <v>0</v>
      </c>
      <c r="M90" s="35" t="s">
        <v>365</v>
      </c>
      <c r="Z90" s="2">
        <f>IF(AQ90="5",BJ90,0)</f>
        <v>0</v>
      </c>
      <c r="AB90" s="2">
        <f>IF(AQ90="1",BH90,0)</f>
        <v>0</v>
      </c>
      <c r="AC90" s="2">
        <f>IF(AQ90="1",BI90,0)</f>
        <v>0</v>
      </c>
      <c r="AD90" s="2">
        <f>IF(AQ90="7",BH90,0)</f>
        <v>0</v>
      </c>
      <c r="AE90" s="2">
        <f>IF(AQ90="7",BI90,0)</f>
        <v>0</v>
      </c>
      <c r="AF90" s="2">
        <f>IF(AQ90="2",BH90,0)</f>
        <v>0</v>
      </c>
      <c r="AG90" s="2">
        <f>IF(AQ90="2",BI90,0)</f>
        <v>0</v>
      </c>
      <c r="AH90" s="2">
        <f>IF(AQ90="0",BJ90,0)</f>
        <v>0</v>
      </c>
      <c r="AI90" s="33" t="s">
        <v>299</v>
      </c>
      <c r="AJ90" s="46">
        <f>IF(AN90=0,L90,0)</f>
        <v>0</v>
      </c>
      <c r="AK90" s="46">
        <f>IF(AN90=15,L90,0)</f>
        <v>0</v>
      </c>
      <c r="AL90" s="46">
        <f>IF(AN90=21,L90,0)</f>
        <v>0</v>
      </c>
      <c r="AN90" s="2">
        <v>21</v>
      </c>
      <c r="AO90" s="2">
        <f>I90*1</f>
        <v>0</v>
      </c>
      <c r="AP90" s="2">
        <f>I90*(1-1)</f>
        <v>0</v>
      </c>
      <c r="AQ90" s="27" t="s">
        <v>432</v>
      </c>
      <c r="AV90" s="2">
        <f>AW90+AX90</f>
        <v>0</v>
      </c>
      <c r="AW90" s="2">
        <f>H90*AO90</f>
        <v>0</v>
      </c>
      <c r="AX90" s="2">
        <f>H90*AP90</f>
        <v>0</v>
      </c>
      <c r="AY90" s="44" t="s">
        <v>183</v>
      </c>
      <c r="AZ90" s="44" t="s">
        <v>32</v>
      </c>
      <c r="BA90" s="33" t="s">
        <v>329</v>
      </c>
      <c r="BC90" s="2">
        <f>AW90+AX90</f>
        <v>0</v>
      </c>
      <c r="BD90" s="2">
        <f>I90/(100-BE90)*100</f>
        <v>0</v>
      </c>
      <c r="BE90" s="2">
        <v>0</v>
      </c>
      <c r="BF90" s="2">
        <f>93</f>
        <v>93</v>
      </c>
      <c r="BH90" s="46">
        <f>H90*AO90</f>
        <v>0</v>
      </c>
      <c r="BI90" s="46">
        <f>H90*AP90</f>
        <v>0</v>
      </c>
      <c r="BJ90" s="46">
        <f>H90*I90</f>
        <v>0</v>
      </c>
      <c r="BK90" s="46"/>
      <c r="BL90" s="2">
        <v>725</v>
      </c>
    </row>
    <row r="91" spans="1:64" ht="15" customHeight="1" x14ac:dyDescent="0.3">
      <c r="A91" s="47"/>
      <c r="B91" s="23"/>
      <c r="C91" s="1" t="s">
        <v>376</v>
      </c>
      <c r="F91" s="1" t="s">
        <v>299</v>
      </c>
      <c r="G91" s="23"/>
      <c r="H91" s="4">
        <v>3.0000000000000004</v>
      </c>
      <c r="I91" s="23"/>
      <c r="J91" s="23"/>
      <c r="K91" s="23"/>
      <c r="L91" s="23"/>
      <c r="M91" s="38"/>
    </row>
    <row r="92" spans="1:64" ht="15" customHeight="1" x14ac:dyDescent="0.3">
      <c r="A92" s="11" t="s">
        <v>148</v>
      </c>
      <c r="B92" s="8" t="s">
        <v>345</v>
      </c>
      <c r="C92" s="51" t="s">
        <v>96</v>
      </c>
      <c r="D92" s="50"/>
      <c r="E92" s="50"/>
      <c r="F92" s="51"/>
      <c r="G92" s="8" t="s">
        <v>111</v>
      </c>
      <c r="H92" s="24">
        <v>1</v>
      </c>
      <c r="I92" s="24"/>
      <c r="J92" s="24">
        <f>H92*AO92</f>
        <v>0</v>
      </c>
      <c r="K92" s="24">
        <f>H92*AP92</f>
        <v>0</v>
      </c>
      <c r="L92" s="24">
        <f>H92*I92</f>
        <v>0</v>
      </c>
      <c r="M92" s="28" t="s">
        <v>365</v>
      </c>
      <c r="Z92" s="2">
        <f>IF(AQ92="5",BJ92,0)</f>
        <v>0</v>
      </c>
      <c r="AB92" s="2">
        <f>IF(AQ92="1",BH92,0)</f>
        <v>0</v>
      </c>
      <c r="AC92" s="2">
        <f>IF(AQ92="1",BI92,0)</f>
        <v>0</v>
      </c>
      <c r="AD92" s="2">
        <f>IF(AQ92="7",BH92,0)</f>
        <v>0</v>
      </c>
      <c r="AE92" s="2">
        <f>IF(AQ92="7",BI92,0)</f>
        <v>0</v>
      </c>
      <c r="AF92" s="2">
        <f>IF(AQ92="2",BH92,0)</f>
        <v>0</v>
      </c>
      <c r="AG92" s="2">
        <f>IF(AQ92="2",BI92,0)</f>
        <v>0</v>
      </c>
      <c r="AH92" s="2">
        <f>IF(AQ92="0",BJ92,0)</f>
        <v>0</v>
      </c>
      <c r="AI92" s="33" t="s">
        <v>299</v>
      </c>
      <c r="AJ92" s="2">
        <f>IF(AN92=0,L92,0)</f>
        <v>0</v>
      </c>
      <c r="AK92" s="2">
        <f>IF(AN92=15,L92,0)</f>
        <v>0</v>
      </c>
      <c r="AL92" s="2">
        <f>IF(AN92=21,L92,0)</f>
        <v>0</v>
      </c>
      <c r="AN92" s="2">
        <v>21</v>
      </c>
      <c r="AO92" s="2">
        <f>I92*0.906439040817416</f>
        <v>0</v>
      </c>
      <c r="AP92" s="2">
        <f>I92*(1-0.906439040817416)</f>
        <v>0</v>
      </c>
      <c r="AQ92" s="44" t="s">
        <v>432</v>
      </c>
      <c r="AV92" s="2">
        <f>AW92+AX92</f>
        <v>0</v>
      </c>
      <c r="AW92" s="2">
        <f>H92*AO92</f>
        <v>0</v>
      </c>
      <c r="AX92" s="2">
        <f>H92*AP92</f>
        <v>0</v>
      </c>
      <c r="AY92" s="44" t="s">
        <v>183</v>
      </c>
      <c r="AZ92" s="44" t="s">
        <v>32</v>
      </c>
      <c r="BA92" s="33" t="s">
        <v>329</v>
      </c>
      <c r="BC92" s="2">
        <f>AW92+AX92</f>
        <v>0</v>
      </c>
      <c r="BD92" s="2">
        <f>I92/(100-BE92)*100</f>
        <v>0</v>
      </c>
      <c r="BE92" s="2">
        <v>0</v>
      </c>
      <c r="BF92" s="2">
        <f>95</f>
        <v>95</v>
      </c>
      <c r="BH92" s="2">
        <f>H92*AO92</f>
        <v>0</v>
      </c>
      <c r="BI92" s="2">
        <f>H92*AP92</f>
        <v>0</v>
      </c>
      <c r="BJ92" s="2">
        <f>H92*I92</f>
        <v>0</v>
      </c>
      <c r="BK92" s="2"/>
      <c r="BL92" s="2">
        <v>725</v>
      </c>
    </row>
    <row r="93" spans="1:64" ht="15" customHeight="1" x14ac:dyDescent="0.3">
      <c r="A93" s="47"/>
      <c r="B93" s="23"/>
      <c r="C93" s="1" t="s">
        <v>429</v>
      </c>
      <c r="F93" s="1" t="s">
        <v>299</v>
      </c>
      <c r="G93" s="23"/>
      <c r="H93" s="4">
        <v>1</v>
      </c>
      <c r="I93" s="23"/>
      <c r="J93" s="23"/>
      <c r="K93" s="23"/>
      <c r="L93" s="23"/>
      <c r="M93" s="38"/>
    </row>
    <row r="94" spans="1:64" ht="15" customHeight="1" x14ac:dyDescent="0.3">
      <c r="A94" s="11" t="s">
        <v>427</v>
      </c>
      <c r="B94" s="8" t="s">
        <v>413</v>
      </c>
      <c r="C94" s="51" t="s">
        <v>457</v>
      </c>
      <c r="D94" s="50"/>
      <c r="E94" s="50"/>
      <c r="F94" s="51"/>
      <c r="G94" s="8" t="s">
        <v>144</v>
      </c>
      <c r="H94" s="24">
        <v>1</v>
      </c>
      <c r="I94" s="24"/>
      <c r="J94" s="24">
        <f>H94*AO94</f>
        <v>0</v>
      </c>
      <c r="K94" s="24">
        <f>H94*AP94</f>
        <v>0</v>
      </c>
      <c r="L94" s="24">
        <f>H94*I94</f>
        <v>0</v>
      </c>
      <c r="M94" s="28" t="s">
        <v>365</v>
      </c>
      <c r="Z94" s="2">
        <f>IF(AQ94="5",BJ94,0)</f>
        <v>0</v>
      </c>
      <c r="AB94" s="2">
        <f>IF(AQ94="1",BH94,0)</f>
        <v>0</v>
      </c>
      <c r="AC94" s="2">
        <f>IF(AQ94="1",BI94,0)</f>
        <v>0</v>
      </c>
      <c r="AD94" s="2">
        <f>IF(AQ94="7",BH94,0)</f>
        <v>0</v>
      </c>
      <c r="AE94" s="2">
        <f>IF(AQ94="7",BI94,0)</f>
        <v>0</v>
      </c>
      <c r="AF94" s="2">
        <f>IF(AQ94="2",BH94,0)</f>
        <v>0</v>
      </c>
      <c r="AG94" s="2">
        <f>IF(AQ94="2",BI94,0)</f>
        <v>0</v>
      </c>
      <c r="AH94" s="2">
        <f>IF(AQ94="0",BJ94,0)</f>
        <v>0</v>
      </c>
      <c r="AI94" s="33" t="s">
        <v>299</v>
      </c>
      <c r="AJ94" s="2">
        <f>IF(AN94=0,L94,0)</f>
        <v>0</v>
      </c>
      <c r="AK94" s="2">
        <f>IF(AN94=15,L94,0)</f>
        <v>0</v>
      </c>
      <c r="AL94" s="2">
        <f>IF(AN94=21,L94,0)</f>
        <v>0</v>
      </c>
      <c r="AN94" s="2">
        <v>21</v>
      </c>
      <c r="AO94" s="2">
        <f>I94*0.754775510204082</f>
        <v>0</v>
      </c>
      <c r="AP94" s="2">
        <f>I94*(1-0.754775510204082)</f>
        <v>0</v>
      </c>
      <c r="AQ94" s="44" t="s">
        <v>432</v>
      </c>
      <c r="AV94" s="2">
        <f>AW94+AX94</f>
        <v>0</v>
      </c>
      <c r="AW94" s="2">
        <f>H94*AO94</f>
        <v>0</v>
      </c>
      <c r="AX94" s="2">
        <f>H94*AP94</f>
        <v>0</v>
      </c>
      <c r="AY94" s="44" t="s">
        <v>183</v>
      </c>
      <c r="AZ94" s="44" t="s">
        <v>32</v>
      </c>
      <c r="BA94" s="33" t="s">
        <v>329</v>
      </c>
      <c r="BC94" s="2">
        <f>AW94+AX94</f>
        <v>0</v>
      </c>
      <c r="BD94" s="2">
        <f>I94/(100-BE94)*100</f>
        <v>0</v>
      </c>
      <c r="BE94" s="2">
        <v>0</v>
      </c>
      <c r="BF94" s="2">
        <f>97</f>
        <v>97</v>
      </c>
      <c r="BH94" s="2">
        <f>H94*AO94</f>
        <v>0</v>
      </c>
      <c r="BI94" s="2">
        <f>H94*AP94</f>
        <v>0</v>
      </c>
      <c r="BJ94" s="2">
        <f>H94*I94</f>
        <v>0</v>
      </c>
      <c r="BK94" s="2"/>
      <c r="BL94" s="2">
        <v>725</v>
      </c>
    </row>
    <row r="95" spans="1:64" ht="15" customHeight="1" x14ac:dyDescent="0.3">
      <c r="A95" s="47"/>
      <c r="B95" s="23"/>
      <c r="C95" s="1" t="s">
        <v>429</v>
      </c>
      <c r="F95" s="1" t="s">
        <v>299</v>
      </c>
      <c r="G95" s="23"/>
      <c r="H95" s="4">
        <v>1</v>
      </c>
      <c r="I95" s="23"/>
      <c r="J95" s="23"/>
      <c r="K95" s="23"/>
      <c r="L95" s="23"/>
      <c r="M95" s="38"/>
    </row>
    <row r="96" spans="1:64" ht="15" customHeight="1" x14ac:dyDescent="0.3">
      <c r="A96" s="11" t="s">
        <v>83</v>
      </c>
      <c r="B96" s="8" t="s">
        <v>100</v>
      </c>
      <c r="C96" s="51" t="s">
        <v>80</v>
      </c>
      <c r="D96" s="50"/>
      <c r="E96" s="50"/>
      <c r="F96" s="51"/>
      <c r="G96" s="8" t="s">
        <v>111</v>
      </c>
      <c r="H96" s="24">
        <v>1</v>
      </c>
      <c r="I96" s="24"/>
      <c r="J96" s="24">
        <f>H96*AO96</f>
        <v>0</v>
      </c>
      <c r="K96" s="24">
        <f>H96*AP96</f>
        <v>0</v>
      </c>
      <c r="L96" s="24">
        <f>H96*I96</f>
        <v>0</v>
      </c>
      <c r="M96" s="28" t="s">
        <v>365</v>
      </c>
      <c r="Z96" s="2">
        <f>IF(AQ96="5",BJ96,0)</f>
        <v>0</v>
      </c>
      <c r="AB96" s="2">
        <f>IF(AQ96="1",BH96,0)</f>
        <v>0</v>
      </c>
      <c r="AC96" s="2">
        <f>IF(AQ96="1",BI96,0)</f>
        <v>0</v>
      </c>
      <c r="AD96" s="2">
        <f>IF(AQ96="7",BH96,0)</f>
        <v>0</v>
      </c>
      <c r="AE96" s="2">
        <f>IF(AQ96="7",BI96,0)</f>
        <v>0</v>
      </c>
      <c r="AF96" s="2">
        <f>IF(AQ96="2",BH96,0)</f>
        <v>0</v>
      </c>
      <c r="AG96" s="2">
        <f>IF(AQ96="2",BI96,0)</f>
        <v>0</v>
      </c>
      <c r="AH96" s="2">
        <f>IF(AQ96="0",BJ96,0)</f>
        <v>0</v>
      </c>
      <c r="AI96" s="33" t="s">
        <v>299</v>
      </c>
      <c r="AJ96" s="2">
        <f>IF(AN96=0,L96,0)</f>
        <v>0</v>
      </c>
      <c r="AK96" s="2">
        <f>IF(AN96=15,L96,0)</f>
        <v>0</v>
      </c>
      <c r="AL96" s="2">
        <f>IF(AN96=21,L96,0)</f>
        <v>0</v>
      </c>
      <c r="AN96" s="2">
        <v>21</v>
      </c>
      <c r="AO96" s="2">
        <f>I96*0.901688558467532</f>
        <v>0</v>
      </c>
      <c r="AP96" s="2">
        <f>I96*(1-0.901688558467532)</f>
        <v>0</v>
      </c>
      <c r="AQ96" s="44" t="s">
        <v>432</v>
      </c>
      <c r="AV96" s="2">
        <f>AW96+AX96</f>
        <v>0</v>
      </c>
      <c r="AW96" s="2">
        <f>H96*AO96</f>
        <v>0</v>
      </c>
      <c r="AX96" s="2">
        <f>H96*AP96</f>
        <v>0</v>
      </c>
      <c r="AY96" s="44" t="s">
        <v>183</v>
      </c>
      <c r="AZ96" s="44" t="s">
        <v>32</v>
      </c>
      <c r="BA96" s="33" t="s">
        <v>329</v>
      </c>
      <c r="BC96" s="2">
        <f>AW96+AX96</f>
        <v>0</v>
      </c>
      <c r="BD96" s="2">
        <f>I96/(100-BE96)*100</f>
        <v>0</v>
      </c>
      <c r="BE96" s="2">
        <v>0</v>
      </c>
      <c r="BF96" s="2">
        <f>99</f>
        <v>99</v>
      </c>
      <c r="BH96" s="2">
        <f>H96*AO96</f>
        <v>0</v>
      </c>
      <c r="BI96" s="2">
        <f>H96*AP96</f>
        <v>0</v>
      </c>
      <c r="BJ96" s="2">
        <f>H96*I96</f>
        <v>0</v>
      </c>
      <c r="BK96" s="2"/>
      <c r="BL96" s="2">
        <v>725</v>
      </c>
    </row>
    <row r="97" spans="1:64" ht="15" customHeight="1" x14ac:dyDescent="0.3">
      <c r="A97" s="47"/>
      <c r="B97" s="23"/>
      <c r="C97" s="1" t="s">
        <v>429</v>
      </c>
      <c r="F97" s="1" t="s">
        <v>299</v>
      </c>
      <c r="G97" s="23"/>
      <c r="H97" s="4">
        <v>1</v>
      </c>
      <c r="I97" s="23"/>
      <c r="J97" s="23"/>
      <c r="K97" s="23"/>
      <c r="L97" s="23"/>
      <c r="M97" s="38"/>
    </row>
    <row r="98" spans="1:64" ht="15" customHeight="1" x14ac:dyDescent="0.3">
      <c r="A98" s="11" t="s">
        <v>139</v>
      </c>
      <c r="B98" s="8" t="s">
        <v>225</v>
      </c>
      <c r="C98" s="51" t="s">
        <v>72</v>
      </c>
      <c r="D98" s="50"/>
      <c r="E98" s="50"/>
      <c r="F98" s="51"/>
      <c r="G98" s="8" t="s">
        <v>111</v>
      </c>
      <c r="H98" s="24">
        <v>1</v>
      </c>
      <c r="I98" s="24"/>
      <c r="J98" s="24">
        <f>H98*AO98</f>
        <v>0</v>
      </c>
      <c r="K98" s="24">
        <f>H98*AP98</f>
        <v>0</v>
      </c>
      <c r="L98" s="24">
        <f>H98*I98</f>
        <v>0</v>
      </c>
      <c r="M98" s="28" t="s">
        <v>365</v>
      </c>
      <c r="Z98" s="2">
        <f>IF(AQ98="5",BJ98,0)</f>
        <v>0</v>
      </c>
      <c r="AB98" s="2">
        <f>IF(AQ98="1",BH98,0)</f>
        <v>0</v>
      </c>
      <c r="AC98" s="2">
        <f>IF(AQ98="1",BI98,0)</f>
        <v>0</v>
      </c>
      <c r="AD98" s="2">
        <f>IF(AQ98="7",BH98,0)</f>
        <v>0</v>
      </c>
      <c r="AE98" s="2">
        <f>IF(AQ98="7",BI98,0)</f>
        <v>0</v>
      </c>
      <c r="AF98" s="2">
        <f>IF(AQ98="2",BH98,0)</f>
        <v>0</v>
      </c>
      <c r="AG98" s="2">
        <f>IF(AQ98="2",BI98,0)</f>
        <v>0</v>
      </c>
      <c r="AH98" s="2">
        <f>IF(AQ98="0",BJ98,0)</f>
        <v>0</v>
      </c>
      <c r="AI98" s="33" t="s">
        <v>299</v>
      </c>
      <c r="AJ98" s="2">
        <f>IF(AN98=0,L98,0)</f>
        <v>0</v>
      </c>
      <c r="AK98" s="2">
        <f>IF(AN98=15,L98,0)</f>
        <v>0</v>
      </c>
      <c r="AL98" s="2">
        <f>IF(AN98=21,L98,0)</f>
        <v>0</v>
      </c>
      <c r="AN98" s="2">
        <v>21</v>
      </c>
      <c r="AO98" s="2">
        <f>I98*0.880420860018298</f>
        <v>0</v>
      </c>
      <c r="AP98" s="2">
        <f>I98*(1-0.880420860018298)</f>
        <v>0</v>
      </c>
      <c r="AQ98" s="44" t="s">
        <v>432</v>
      </c>
      <c r="AV98" s="2">
        <f>AW98+AX98</f>
        <v>0</v>
      </c>
      <c r="AW98" s="2">
        <f>H98*AO98</f>
        <v>0</v>
      </c>
      <c r="AX98" s="2">
        <f>H98*AP98</f>
        <v>0</v>
      </c>
      <c r="AY98" s="44" t="s">
        <v>183</v>
      </c>
      <c r="AZ98" s="44" t="s">
        <v>32</v>
      </c>
      <c r="BA98" s="33" t="s">
        <v>329</v>
      </c>
      <c r="BC98" s="2">
        <f>AW98+AX98</f>
        <v>0</v>
      </c>
      <c r="BD98" s="2">
        <f>I98/(100-BE98)*100</f>
        <v>0</v>
      </c>
      <c r="BE98" s="2">
        <v>0</v>
      </c>
      <c r="BF98" s="2">
        <f>101</f>
        <v>101</v>
      </c>
      <c r="BH98" s="2">
        <f>H98*AO98</f>
        <v>0</v>
      </c>
      <c r="BI98" s="2">
        <f>H98*AP98</f>
        <v>0</v>
      </c>
      <c r="BJ98" s="2">
        <f>H98*I98</f>
        <v>0</v>
      </c>
      <c r="BK98" s="2"/>
      <c r="BL98" s="2">
        <v>725</v>
      </c>
    </row>
    <row r="99" spans="1:64" ht="15" customHeight="1" x14ac:dyDescent="0.3">
      <c r="A99" s="47"/>
      <c r="B99" s="23"/>
      <c r="C99" s="1" t="s">
        <v>429</v>
      </c>
      <c r="F99" s="1" t="s">
        <v>299</v>
      </c>
      <c r="G99" s="23"/>
      <c r="H99" s="4">
        <v>1</v>
      </c>
      <c r="I99" s="23"/>
      <c r="J99" s="23"/>
      <c r="K99" s="23"/>
      <c r="L99" s="23"/>
      <c r="M99" s="38"/>
    </row>
    <row r="100" spans="1:64" ht="15" customHeight="1" x14ac:dyDescent="0.3">
      <c r="A100" s="11" t="s">
        <v>174</v>
      </c>
      <c r="B100" s="8" t="s">
        <v>152</v>
      </c>
      <c r="C100" s="51" t="s">
        <v>315</v>
      </c>
      <c r="D100" s="50"/>
      <c r="E100" s="50"/>
      <c r="F100" s="51"/>
      <c r="G100" s="8" t="s">
        <v>111</v>
      </c>
      <c r="H100" s="24">
        <v>2</v>
      </c>
      <c r="I100" s="24"/>
      <c r="J100" s="24">
        <f>H100*AO100</f>
        <v>0</v>
      </c>
      <c r="K100" s="24">
        <f>H100*AP100</f>
        <v>0</v>
      </c>
      <c r="L100" s="24">
        <f>H100*I100</f>
        <v>0</v>
      </c>
      <c r="M100" s="28" t="s">
        <v>365</v>
      </c>
      <c r="Z100" s="2">
        <f>IF(AQ100="5",BJ100,0)</f>
        <v>0</v>
      </c>
      <c r="AB100" s="2">
        <f>IF(AQ100="1",BH100,0)</f>
        <v>0</v>
      </c>
      <c r="AC100" s="2">
        <f>IF(AQ100="1",BI100,0)</f>
        <v>0</v>
      </c>
      <c r="AD100" s="2">
        <f>IF(AQ100="7",BH100,0)</f>
        <v>0</v>
      </c>
      <c r="AE100" s="2">
        <f>IF(AQ100="7",BI100,0)</f>
        <v>0</v>
      </c>
      <c r="AF100" s="2">
        <f>IF(AQ100="2",BH100,0)</f>
        <v>0</v>
      </c>
      <c r="AG100" s="2">
        <f>IF(AQ100="2",BI100,0)</f>
        <v>0</v>
      </c>
      <c r="AH100" s="2">
        <f>IF(AQ100="0",BJ100,0)</f>
        <v>0</v>
      </c>
      <c r="AI100" s="33" t="s">
        <v>299</v>
      </c>
      <c r="AJ100" s="2">
        <f>IF(AN100=0,L100,0)</f>
        <v>0</v>
      </c>
      <c r="AK100" s="2">
        <f>IF(AN100=15,L100,0)</f>
        <v>0</v>
      </c>
      <c r="AL100" s="2">
        <f>IF(AN100=21,L100,0)</f>
        <v>0</v>
      </c>
      <c r="AN100" s="2">
        <v>21</v>
      </c>
      <c r="AO100" s="2">
        <f>I100*0.434713341514349</f>
        <v>0</v>
      </c>
      <c r="AP100" s="2">
        <f>I100*(1-0.434713341514349)</f>
        <v>0</v>
      </c>
      <c r="AQ100" s="44" t="s">
        <v>432</v>
      </c>
      <c r="AV100" s="2">
        <f>AW100+AX100</f>
        <v>0</v>
      </c>
      <c r="AW100" s="2">
        <f>H100*AO100</f>
        <v>0</v>
      </c>
      <c r="AX100" s="2">
        <f>H100*AP100</f>
        <v>0</v>
      </c>
      <c r="AY100" s="44" t="s">
        <v>183</v>
      </c>
      <c r="AZ100" s="44" t="s">
        <v>32</v>
      </c>
      <c r="BA100" s="33" t="s">
        <v>329</v>
      </c>
      <c r="BC100" s="2">
        <f>AW100+AX100</f>
        <v>0</v>
      </c>
      <c r="BD100" s="2">
        <f>I100/(100-BE100)*100</f>
        <v>0</v>
      </c>
      <c r="BE100" s="2">
        <v>0</v>
      </c>
      <c r="BF100" s="2">
        <f>103</f>
        <v>103</v>
      </c>
      <c r="BH100" s="2">
        <f>H100*AO100</f>
        <v>0</v>
      </c>
      <c r="BI100" s="2">
        <f>H100*AP100</f>
        <v>0</v>
      </c>
      <c r="BJ100" s="2">
        <f>H100*I100</f>
        <v>0</v>
      </c>
      <c r="BK100" s="2"/>
      <c r="BL100" s="2">
        <v>725</v>
      </c>
    </row>
    <row r="101" spans="1:64" ht="15" customHeight="1" x14ac:dyDescent="0.3">
      <c r="A101" s="47"/>
      <c r="B101" s="23"/>
      <c r="C101" s="1" t="s">
        <v>297</v>
      </c>
      <c r="F101" s="1" t="s">
        <v>299</v>
      </c>
      <c r="G101" s="23"/>
      <c r="H101" s="4">
        <v>2</v>
      </c>
      <c r="I101" s="23"/>
      <c r="J101" s="23"/>
      <c r="K101" s="23"/>
      <c r="L101" s="23"/>
      <c r="M101" s="38"/>
    </row>
    <row r="102" spans="1:64" ht="15" customHeight="1" x14ac:dyDescent="0.3">
      <c r="A102" s="17" t="s">
        <v>147</v>
      </c>
      <c r="B102" s="13" t="s">
        <v>431</v>
      </c>
      <c r="C102" s="54" t="s">
        <v>37</v>
      </c>
      <c r="D102" s="53"/>
      <c r="E102" s="53"/>
      <c r="F102" s="54"/>
      <c r="G102" s="13" t="s">
        <v>111</v>
      </c>
      <c r="H102" s="43">
        <v>1</v>
      </c>
      <c r="I102" s="43"/>
      <c r="J102" s="43">
        <f>H102*AO102</f>
        <v>0</v>
      </c>
      <c r="K102" s="43">
        <f>H102*AP102</f>
        <v>0</v>
      </c>
      <c r="L102" s="43">
        <f>H102*I102</f>
        <v>0</v>
      </c>
      <c r="M102" s="35" t="s">
        <v>365</v>
      </c>
      <c r="Z102" s="2">
        <f>IF(AQ102="5",BJ102,0)</f>
        <v>0</v>
      </c>
      <c r="AB102" s="2">
        <f>IF(AQ102="1",BH102,0)</f>
        <v>0</v>
      </c>
      <c r="AC102" s="2">
        <f>IF(AQ102="1",BI102,0)</f>
        <v>0</v>
      </c>
      <c r="AD102" s="2">
        <f>IF(AQ102="7",BH102,0)</f>
        <v>0</v>
      </c>
      <c r="AE102" s="2">
        <f>IF(AQ102="7",BI102,0)</f>
        <v>0</v>
      </c>
      <c r="AF102" s="2">
        <f>IF(AQ102="2",BH102,0)</f>
        <v>0</v>
      </c>
      <c r="AG102" s="2">
        <f>IF(AQ102="2",BI102,0)</f>
        <v>0</v>
      </c>
      <c r="AH102" s="2">
        <f>IF(AQ102="0",BJ102,0)</f>
        <v>0</v>
      </c>
      <c r="AI102" s="33" t="s">
        <v>299</v>
      </c>
      <c r="AJ102" s="46">
        <f>IF(AN102=0,L102,0)</f>
        <v>0</v>
      </c>
      <c r="AK102" s="46">
        <f>IF(AN102=15,L102,0)</f>
        <v>0</v>
      </c>
      <c r="AL102" s="46">
        <f>IF(AN102=21,L102,0)</f>
        <v>0</v>
      </c>
      <c r="AN102" s="2">
        <v>21</v>
      </c>
      <c r="AO102" s="2">
        <f>I102*1</f>
        <v>0</v>
      </c>
      <c r="AP102" s="2">
        <f>I102*(1-1)</f>
        <v>0</v>
      </c>
      <c r="AQ102" s="27" t="s">
        <v>432</v>
      </c>
      <c r="AV102" s="2">
        <f>AW102+AX102</f>
        <v>0</v>
      </c>
      <c r="AW102" s="2">
        <f>H102*AO102</f>
        <v>0</v>
      </c>
      <c r="AX102" s="2">
        <f>H102*AP102</f>
        <v>0</v>
      </c>
      <c r="AY102" s="44" t="s">
        <v>183</v>
      </c>
      <c r="AZ102" s="44" t="s">
        <v>32</v>
      </c>
      <c r="BA102" s="33" t="s">
        <v>329</v>
      </c>
      <c r="BC102" s="2">
        <f>AW102+AX102</f>
        <v>0</v>
      </c>
      <c r="BD102" s="2">
        <f>I102/(100-BE102)*100</f>
        <v>0</v>
      </c>
      <c r="BE102" s="2">
        <v>0</v>
      </c>
      <c r="BF102" s="2">
        <f>105</f>
        <v>105</v>
      </c>
      <c r="BH102" s="46">
        <f>H102*AO102</f>
        <v>0</v>
      </c>
      <c r="BI102" s="46">
        <f>H102*AP102</f>
        <v>0</v>
      </c>
      <c r="BJ102" s="46">
        <f>H102*I102</f>
        <v>0</v>
      </c>
      <c r="BK102" s="46"/>
      <c r="BL102" s="2">
        <v>725</v>
      </c>
    </row>
    <row r="103" spans="1:64" ht="15" customHeight="1" x14ac:dyDescent="0.3">
      <c r="A103" s="47"/>
      <c r="B103" s="23"/>
      <c r="C103" s="1" t="s">
        <v>429</v>
      </c>
      <c r="F103" s="1" t="s">
        <v>299</v>
      </c>
      <c r="G103" s="23"/>
      <c r="H103" s="4">
        <v>1</v>
      </c>
      <c r="I103" s="23"/>
      <c r="J103" s="23"/>
      <c r="K103" s="23"/>
      <c r="L103" s="23"/>
      <c r="M103" s="38"/>
    </row>
    <row r="104" spans="1:64" ht="15" customHeight="1" x14ac:dyDescent="0.3">
      <c r="A104" s="17" t="s">
        <v>348</v>
      </c>
      <c r="B104" s="13" t="s">
        <v>117</v>
      </c>
      <c r="C104" s="54" t="s">
        <v>382</v>
      </c>
      <c r="D104" s="53"/>
      <c r="E104" s="53"/>
      <c r="F104" s="54"/>
      <c r="G104" s="13" t="s">
        <v>111</v>
      </c>
      <c r="H104" s="43">
        <v>1</v>
      </c>
      <c r="I104" s="43"/>
      <c r="J104" s="43">
        <f>H104*AO104</f>
        <v>0</v>
      </c>
      <c r="K104" s="43">
        <f>H104*AP104</f>
        <v>0</v>
      </c>
      <c r="L104" s="43">
        <f>H104*I104</f>
        <v>0</v>
      </c>
      <c r="M104" s="35" t="s">
        <v>365</v>
      </c>
      <c r="Z104" s="2">
        <f>IF(AQ104="5",BJ104,0)</f>
        <v>0</v>
      </c>
      <c r="AB104" s="2">
        <f>IF(AQ104="1",BH104,0)</f>
        <v>0</v>
      </c>
      <c r="AC104" s="2">
        <f>IF(AQ104="1",BI104,0)</f>
        <v>0</v>
      </c>
      <c r="AD104" s="2">
        <f>IF(AQ104="7",BH104,0)</f>
        <v>0</v>
      </c>
      <c r="AE104" s="2">
        <f>IF(AQ104="7",BI104,0)</f>
        <v>0</v>
      </c>
      <c r="AF104" s="2">
        <f>IF(AQ104="2",BH104,0)</f>
        <v>0</v>
      </c>
      <c r="AG104" s="2">
        <f>IF(AQ104="2",BI104,0)</f>
        <v>0</v>
      </c>
      <c r="AH104" s="2">
        <f>IF(AQ104="0",BJ104,0)</f>
        <v>0</v>
      </c>
      <c r="AI104" s="33" t="s">
        <v>299</v>
      </c>
      <c r="AJ104" s="46">
        <f>IF(AN104=0,L104,0)</f>
        <v>0</v>
      </c>
      <c r="AK104" s="46">
        <f>IF(AN104=15,L104,0)</f>
        <v>0</v>
      </c>
      <c r="AL104" s="46">
        <f>IF(AN104=21,L104,0)</f>
        <v>0</v>
      </c>
      <c r="AN104" s="2">
        <v>21</v>
      </c>
      <c r="AO104" s="2">
        <f>I104*1</f>
        <v>0</v>
      </c>
      <c r="AP104" s="2">
        <f>I104*(1-1)</f>
        <v>0</v>
      </c>
      <c r="AQ104" s="27" t="s">
        <v>432</v>
      </c>
      <c r="AV104" s="2">
        <f>AW104+AX104</f>
        <v>0</v>
      </c>
      <c r="AW104" s="2">
        <f>H104*AO104</f>
        <v>0</v>
      </c>
      <c r="AX104" s="2">
        <f>H104*AP104</f>
        <v>0</v>
      </c>
      <c r="AY104" s="44" t="s">
        <v>183</v>
      </c>
      <c r="AZ104" s="44" t="s">
        <v>32</v>
      </c>
      <c r="BA104" s="33" t="s">
        <v>329</v>
      </c>
      <c r="BC104" s="2">
        <f>AW104+AX104</f>
        <v>0</v>
      </c>
      <c r="BD104" s="2">
        <f>I104/(100-BE104)*100</f>
        <v>0</v>
      </c>
      <c r="BE104" s="2">
        <v>0</v>
      </c>
      <c r="BF104" s="2">
        <f>107</f>
        <v>107</v>
      </c>
      <c r="BH104" s="46">
        <f>H104*AO104</f>
        <v>0</v>
      </c>
      <c r="BI104" s="46">
        <f>H104*AP104</f>
        <v>0</v>
      </c>
      <c r="BJ104" s="46">
        <f>H104*I104</f>
        <v>0</v>
      </c>
      <c r="BK104" s="46"/>
      <c r="BL104" s="2">
        <v>725</v>
      </c>
    </row>
    <row r="105" spans="1:64" ht="15" customHeight="1" x14ac:dyDescent="0.3">
      <c r="A105" s="47"/>
      <c r="B105" s="23"/>
      <c r="C105" s="1" t="s">
        <v>429</v>
      </c>
      <c r="F105" s="1" t="s">
        <v>299</v>
      </c>
      <c r="G105" s="23"/>
      <c r="H105" s="4">
        <v>1</v>
      </c>
      <c r="I105" s="23"/>
      <c r="J105" s="23"/>
      <c r="K105" s="23"/>
      <c r="L105" s="23"/>
      <c r="M105" s="38"/>
    </row>
    <row r="106" spans="1:64" ht="15" customHeight="1" x14ac:dyDescent="0.3">
      <c r="A106" s="11" t="s">
        <v>442</v>
      </c>
      <c r="B106" s="8" t="s">
        <v>481</v>
      </c>
      <c r="C106" s="51" t="s">
        <v>55</v>
      </c>
      <c r="D106" s="50"/>
      <c r="E106" s="50"/>
      <c r="F106" s="51"/>
      <c r="G106" s="8" t="s">
        <v>111</v>
      </c>
      <c r="H106" s="24">
        <v>1</v>
      </c>
      <c r="I106" s="24"/>
      <c r="J106" s="24">
        <f>H106*AO106</f>
        <v>0</v>
      </c>
      <c r="K106" s="24">
        <f>H106*AP106</f>
        <v>0</v>
      </c>
      <c r="L106" s="24">
        <f>H106*I106</f>
        <v>0</v>
      </c>
      <c r="M106" s="28" t="s">
        <v>365</v>
      </c>
      <c r="Z106" s="2">
        <f>IF(AQ106="5",BJ106,0)</f>
        <v>0</v>
      </c>
      <c r="AB106" s="2">
        <f>IF(AQ106="1",BH106,0)</f>
        <v>0</v>
      </c>
      <c r="AC106" s="2">
        <f>IF(AQ106="1",BI106,0)</f>
        <v>0</v>
      </c>
      <c r="AD106" s="2">
        <f>IF(AQ106="7",BH106,0)</f>
        <v>0</v>
      </c>
      <c r="AE106" s="2">
        <f>IF(AQ106="7",BI106,0)</f>
        <v>0</v>
      </c>
      <c r="AF106" s="2">
        <f>IF(AQ106="2",BH106,0)</f>
        <v>0</v>
      </c>
      <c r="AG106" s="2">
        <f>IF(AQ106="2",BI106,0)</f>
        <v>0</v>
      </c>
      <c r="AH106" s="2">
        <f>IF(AQ106="0",BJ106,0)</f>
        <v>0</v>
      </c>
      <c r="AI106" s="33" t="s">
        <v>299</v>
      </c>
      <c r="AJ106" s="2">
        <f>IF(AN106=0,L106,0)</f>
        <v>0</v>
      </c>
      <c r="AK106" s="2">
        <f>IF(AN106=15,L106,0)</f>
        <v>0</v>
      </c>
      <c r="AL106" s="2">
        <f>IF(AN106=21,L106,0)</f>
        <v>0</v>
      </c>
      <c r="AN106" s="2">
        <v>21</v>
      </c>
      <c r="AO106" s="2">
        <f>I106*0.902917466410749</f>
        <v>0</v>
      </c>
      <c r="AP106" s="2">
        <f>I106*(1-0.902917466410749)</f>
        <v>0</v>
      </c>
      <c r="AQ106" s="44" t="s">
        <v>432</v>
      </c>
      <c r="AV106" s="2">
        <f>AW106+AX106</f>
        <v>0</v>
      </c>
      <c r="AW106" s="2">
        <f>H106*AO106</f>
        <v>0</v>
      </c>
      <c r="AX106" s="2">
        <f>H106*AP106</f>
        <v>0</v>
      </c>
      <c r="AY106" s="44" t="s">
        <v>183</v>
      </c>
      <c r="AZ106" s="44" t="s">
        <v>32</v>
      </c>
      <c r="BA106" s="33" t="s">
        <v>329</v>
      </c>
      <c r="BC106" s="2">
        <f>AW106+AX106</f>
        <v>0</v>
      </c>
      <c r="BD106" s="2">
        <f>I106/(100-BE106)*100</f>
        <v>0</v>
      </c>
      <c r="BE106" s="2">
        <v>0</v>
      </c>
      <c r="BF106" s="2">
        <f>109</f>
        <v>109</v>
      </c>
      <c r="BH106" s="2">
        <f>H106*AO106</f>
        <v>0</v>
      </c>
      <c r="BI106" s="2">
        <f>H106*AP106</f>
        <v>0</v>
      </c>
      <c r="BJ106" s="2">
        <f>H106*I106</f>
        <v>0</v>
      </c>
      <c r="BK106" s="2"/>
      <c r="BL106" s="2">
        <v>725</v>
      </c>
    </row>
    <row r="107" spans="1:64" ht="15" customHeight="1" x14ac:dyDescent="0.3">
      <c r="A107" s="47"/>
      <c r="B107" s="23"/>
      <c r="C107" s="1" t="s">
        <v>429</v>
      </c>
      <c r="F107" s="1" t="s">
        <v>299</v>
      </c>
      <c r="G107" s="23"/>
      <c r="H107" s="4">
        <v>1</v>
      </c>
      <c r="I107" s="23"/>
      <c r="J107" s="23"/>
      <c r="K107" s="23"/>
      <c r="L107" s="23"/>
      <c r="M107" s="38"/>
    </row>
    <row r="108" spans="1:64" ht="15" customHeight="1" x14ac:dyDescent="0.3">
      <c r="A108" s="11" t="s">
        <v>36</v>
      </c>
      <c r="B108" s="8" t="s">
        <v>290</v>
      </c>
      <c r="C108" s="51" t="s">
        <v>295</v>
      </c>
      <c r="D108" s="50"/>
      <c r="E108" s="50"/>
      <c r="F108" s="51"/>
      <c r="G108" s="8" t="s">
        <v>111</v>
      </c>
      <c r="H108" s="24">
        <v>1</v>
      </c>
      <c r="I108" s="24"/>
      <c r="J108" s="24">
        <f>H108*AO108</f>
        <v>0</v>
      </c>
      <c r="K108" s="24">
        <f>H108*AP108</f>
        <v>0</v>
      </c>
      <c r="L108" s="24">
        <f>H108*I108</f>
        <v>0</v>
      </c>
      <c r="M108" s="28" t="s">
        <v>365</v>
      </c>
      <c r="Z108" s="2">
        <f>IF(AQ108="5",BJ108,0)</f>
        <v>0</v>
      </c>
      <c r="AB108" s="2">
        <f>IF(AQ108="1",BH108,0)</f>
        <v>0</v>
      </c>
      <c r="AC108" s="2">
        <f>IF(AQ108="1",BI108,0)</f>
        <v>0</v>
      </c>
      <c r="AD108" s="2">
        <f>IF(AQ108="7",BH108,0)</f>
        <v>0</v>
      </c>
      <c r="AE108" s="2">
        <f>IF(AQ108="7",BI108,0)</f>
        <v>0</v>
      </c>
      <c r="AF108" s="2">
        <f>IF(AQ108="2",BH108,0)</f>
        <v>0</v>
      </c>
      <c r="AG108" s="2">
        <f>IF(AQ108="2",BI108,0)</f>
        <v>0</v>
      </c>
      <c r="AH108" s="2">
        <f>IF(AQ108="0",BJ108,0)</f>
        <v>0</v>
      </c>
      <c r="AI108" s="33" t="s">
        <v>299</v>
      </c>
      <c r="AJ108" s="2">
        <f>IF(AN108=0,L108,0)</f>
        <v>0</v>
      </c>
      <c r="AK108" s="2">
        <f>IF(AN108=15,L108,0)</f>
        <v>0</v>
      </c>
      <c r="AL108" s="2">
        <f>IF(AN108=21,L108,0)</f>
        <v>0</v>
      </c>
      <c r="AN108" s="2">
        <v>21</v>
      </c>
      <c r="AO108" s="2">
        <f>I108*0.748169556840077</f>
        <v>0</v>
      </c>
      <c r="AP108" s="2">
        <f>I108*(1-0.748169556840077)</f>
        <v>0</v>
      </c>
      <c r="AQ108" s="44" t="s">
        <v>432</v>
      </c>
      <c r="AV108" s="2">
        <f>AW108+AX108</f>
        <v>0</v>
      </c>
      <c r="AW108" s="2">
        <f>H108*AO108</f>
        <v>0</v>
      </c>
      <c r="AX108" s="2">
        <f>H108*AP108</f>
        <v>0</v>
      </c>
      <c r="AY108" s="44" t="s">
        <v>183</v>
      </c>
      <c r="AZ108" s="44" t="s">
        <v>32</v>
      </c>
      <c r="BA108" s="33" t="s">
        <v>329</v>
      </c>
      <c r="BC108" s="2">
        <f>AW108+AX108</f>
        <v>0</v>
      </c>
      <c r="BD108" s="2">
        <f>I108/(100-BE108)*100</f>
        <v>0</v>
      </c>
      <c r="BE108" s="2">
        <v>0</v>
      </c>
      <c r="BF108" s="2">
        <f>111</f>
        <v>111</v>
      </c>
      <c r="BH108" s="2">
        <f>H108*AO108</f>
        <v>0</v>
      </c>
      <c r="BI108" s="2">
        <f>H108*AP108</f>
        <v>0</v>
      </c>
      <c r="BJ108" s="2">
        <f>H108*I108</f>
        <v>0</v>
      </c>
      <c r="BK108" s="2"/>
      <c r="BL108" s="2">
        <v>725</v>
      </c>
    </row>
    <row r="109" spans="1:64" ht="15" customHeight="1" x14ac:dyDescent="0.3">
      <c r="A109" s="47"/>
      <c r="B109" s="23"/>
      <c r="C109" s="1" t="s">
        <v>429</v>
      </c>
      <c r="F109" s="1" t="s">
        <v>299</v>
      </c>
      <c r="G109" s="23"/>
      <c r="H109" s="4">
        <v>1</v>
      </c>
      <c r="I109" s="23"/>
      <c r="J109" s="23"/>
      <c r="K109" s="23"/>
      <c r="L109" s="23"/>
      <c r="M109" s="38"/>
    </row>
    <row r="110" spans="1:64" ht="15" customHeight="1" x14ac:dyDescent="0.3">
      <c r="A110" s="11" t="s">
        <v>334</v>
      </c>
      <c r="B110" s="8" t="s">
        <v>248</v>
      </c>
      <c r="C110" s="51" t="s">
        <v>67</v>
      </c>
      <c r="D110" s="50"/>
      <c r="E110" s="50"/>
      <c r="F110" s="51"/>
      <c r="G110" s="8" t="s">
        <v>111</v>
      </c>
      <c r="H110" s="24">
        <v>11</v>
      </c>
      <c r="I110" s="24"/>
      <c r="J110" s="24">
        <f>H110*AO110</f>
        <v>0</v>
      </c>
      <c r="K110" s="24">
        <f>H110*AP110</f>
        <v>0</v>
      </c>
      <c r="L110" s="24">
        <f>H110*I110</f>
        <v>0</v>
      </c>
      <c r="M110" s="28" t="s">
        <v>365</v>
      </c>
      <c r="Z110" s="2">
        <f>IF(AQ110="5",BJ110,0)</f>
        <v>0</v>
      </c>
      <c r="AB110" s="2">
        <f>IF(AQ110="1",BH110,0)</f>
        <v>0</v>
      </c>
      <c r="AC110" s="2">
        <f>IF(AQ110="1",BI110,0)</f>
        <v>0</v>
      </c>
      <c r="AD110" s="2">
        <f>IF(AQ110="7",BH110,0)</f>
        <v>0</v>
      </c>
      <c r="AE110" s="2">
        <f>IF(AQ110="7",BI110,0)</f>
        <v>0</v>
      </c>
      <c r="AF110" s="2">
        <f>IF(AQ110="2",BH110,0)</f>
        <v>0</v>
      </c>
      <c r="AG110" s="2">
        <f>IF(AQ110="2",BI110,0)</f>
        <v>0</v>
      </c>
      <c r="AH110" s="2">
        <f>IF(AQ110="0",BJ110,0)</f>
        <v>0</v>
      </c>
      <c r="AI110" s="33" t="s">
        <v>299</v>
      </c>
      <c r="AJ110" s="2">
        <f>IF(AN110=0,L110,0)</f>
        <v>0</v>
      </c>
      <c r="AK110" s="2">
        <f>IF(AN110=15,L110,0)</f>
        <v>0</v>
      </c>
      <c r="AL110" s="2">
        <f>IF(AN110=21,L110,0)</f>
        <v>0</v>
      </c>
      <c r="AN110" s="2">
        <v>21</v>
      </c>
      <c r="AO110" s="2">
        <f>I110*0.829568682242749</f>
        <v>0</v>
      </c>
      <c r="AP110" s="2">
        <f>I110*(1-0.829568682242749)</f>
        <v>0</v>
      </c>
      <c r="AQ110" s="44" t="s">
        <v>432</v>
      </c>
      <c r="AV110" s="2">
        <f>AW110+AX110</f>
        <v>0</v>
      </c>
      <c r="AW110" s="2">
        <f>H110*AO110</f>
        <v>0</v>
      </c>
      <c r="AX110" s="2">
        <f>H110*AP110</f>
        <v>0</v>
      </c>
      <c r="AY110" s="44" t="s">
        <v>183</v>
      </c>
      <c r="AZ110" s="44" t="s">
        <v>32</v>
      </c>
      <c r="BA110" s="33" t="s">
        <v>329</v>
      </c>
      <c r="BC110" s="2">
        <f>AW110+AX110</f>
        <v>0</v>
      </c>
      <c r="BD110" s="2">
        <f>I110/(100-BE110)*100</f>
        <v>0</v>
      </c>
      <c r="BE110" s="2">
        <v>0</v>
      </c>
      <c r="BF110" s="2">
        <f>113</f>
        <v>113</v>
      </c>
      <c r="BH110" s="2">
        <f>H110*AO110</f>
        <v>0</v>
      </c>
      <c r="BI110" s="2">
        <f>H110*AP110</f>
        <v>0</v>
      </c>
      <c r="BJ110" s="2">
        <f>H110*I110</f>
        <v>0</v>
      </c>
      <c r="BK110" s="2"/>
      <c r="BL110" s="2">
        <v>725</v>
      </c>
    </row>
    <row r="111" spans="1:64" ht="15" customHeight="1" x14ac:dyDescent="0.3">
      <c r="A111" s="47"/>
      <c r="B111" s="23"/>
      <c r="C111" s="1" t="s">
        <v>484</v>
      </c>
      <c r="F111" s="1" t="s">
        <v>299</v>
      </c>
      <c r="G111" s="23"/>
      <c r="H111" s="4">
        <v>11.000000000000002</v>
      </c>
      <c r="I111" s="23"/>
      <c r="J111" s="23"/>
      <c r="K111" s="23"/>
      <c r="L111" s="23"/>
      <c r="M111" s="38"/>
    </row>
    <row r="112" spans="1:64" ht="15" customHeight="1" x14ac:dyDescent="0.3">
      <c r="A112" s="19" t="s">
        <v>299</v>
      </c>
      <c r="B112" s="34" t="s">
        <v>34</v>
      </c>
      <c r="C112" s="52" t="s">
        <v>410</v>
      </c>
      <c r="D112" s="52"/>
      <c r="E112" s="52"/>
      <c r="F112" s="52"/>
      <c r="G112" s="12" t="s">
        <v>400</v>
      </c>
      <c r="H112" s="12" t="s">
        <v>400</v>
      </c>
      <c r="I112" s="12" t="s">
        <v>400</v>
      </c>
      <c r="J112" s="15">
        <f>SUM(J113:J116)</f>
        <v>0</v>
      </c>
      <c r="K112" s="15">
        <f>SUM(K113:K116)</f>
        <v>0</v>
      </c>
      <c r="L112" s="15">
        <f>SUM(L113:L116)</f>
        <v>0</v>
      </c>
      <c r="M112" s="18" t="s">
        <v>299</v>
      </c>
      <c r="AI112" s="33" t="s">
        <v>299</v>
      </c>
      <c r="AS112" s="15">
        <f>SUM(AJ113:AJ116)</f>
        <v>0</v>
      </c>
      <c r="AT112" s="15">
        <f>SUM(AK113:AK116)</f>
        <v>0</v>
      </c>
      <c r="AU112" s="15">
        <f>SUM(AL113:AL116)</f>
        <v>0</v>
      </c>
    </row>
    <row r="113" spans="1:64" ht="15" customHeight="1" x14ac:dyDescent="0.3">
      <c r="A113" s="39" t="s">
        <v>171</v>
      </c>
      <c r="B113" s="9" t="s">
        <v>143</v>
      </c>
      <c r="C113" s="50" t="s">
        <v>417</v>
      </c>
      <c r="D113" s="50"/>
      <c r="E113" s="50"/>
      <c r="F113" s="50"/>
      <c r="G113" s="9" t="s">
        <v>111</v>
      </c>
      <c r="H113" s="2">
        <v>3</v>
      </c>
      <c r="I113" s="2"/>
      <c r="J113" s="2">
        <f>H113*AO113</f>
        <v>0</v>
      </c>
      <c r="K113" s="2">
        <f>H113*AP113</f>
        <v>0</v>
      </c>
      <c r="L113" s="2">
        <f>H113*I113</f>
        <v>0</v>
      </c>
      <c r="M113" s="36" t="s">
        <v>365</v>
      </c>
      <c r="Z113" s="2">
        <f>IF(AQ113="5",BJ113,0)</f>
        <v>0</v>
      </c>
      <c r="AB113" s="2">
        <f>IF(AQ113="1",BH113,0)</f>
        <v>0</v>
      </c>
      <c r="AC113" s="2">
        <f>IF(AQ113="1",BI113,0)</f>
        <v>0</v>
      </c>
      <c r="AD113" s="2">
        <f>IF(AQ113="7",BH113,0)</f>
        <v>0</v>
      </c>
      <c r="AE113" s="2">
        <f>IF(AQ113="7",BI113,0)</f>
        <v>0</v>
      </c>
      <c r="AF113" s="2">
        <f>IF(AQ113="2",BH113,0)</f>
        <v>0</v>
      </c>
      <c r="AG113" s="2">
        <f>IF(AQ113="2",BI113,0)</f>
        <v>0</v>
      </c>
      <c r="AH113" s="2">
        <f>IF(AQ113="0",BJ113,0)</f>
        <v>0</v>
      </c>
      <c r="AI113" s="33" t="s">
        <v>299</v>
      </c>
      <c r="AJ113" s="2">
        <f>IF(AN113=0,L113,0)</f>
        <v>0</v>
      </c>
      <c r="AK113" s="2">
        <f>IF(AN113=15,L113,0)</f>
        <v>0</v>
      </c>
      <c r="AL113" s="2">
        <f>IF(AN113=21,L113,0)</f>
        <v>0</v>
      </c>
      <c r="AN113" s="2">
        <v>21</v>
      </c>
      <c r="AO113" s="2">
        <f>I113*0.881369831100757</f>
        <v>0</v>
      </c>
      <c r="AP113" s="2">
        <f>I113*(1-0.881369831100757)</f>
        <v>0</v>
      </c>
      <c r="AQ113" s="44" t="s">
        <v>432</v>
      </c>
      <c r="AV113" s="2">
        <f>AW113+AX113</f>
        <v>0</v>
      </c>
      <c r="AW113" s="2">
        <f>H113*AO113</f>
        <v>0</v>
      </c>
      <c r="AX113" s="2">
        <f>H113*AP113</f>
        <v>0</v>
      </c>
      <c r="AY113" s="44" t="s">
        <v>8</v>
      </c>
      <c r="AZ113" s="44" t="s">
        <v>32</v>
      </c>
      <c r="BA113" s="33" t="s">
        <v>329</v>
      </c>
      <c r="BC113" s="2">
        <f>AW113+AX113</f>
        <v>0</v>
      </c>
      <c r="BD113" s="2">
        <f>I113/(100-BE113)*100</f>
        <v>0</v>
      </c>
      <c r="BE113" s="2">
        <v>0</v>
      </c>
      <c r="BF113" s="2">
        <f>117</f>
        <v>117</v>
      </c>
      <c r="BH113" s="2">
        <f>H113*AO113</f>
        <v>0</v>
      </c>
      <c r="BI113" s="2">
        <f>H113*AP113</f>
        <v>0</v>
      </c>
      <c r="BJ113" s="2">
        <f>H113*I113</f>
        <v>0</v>
      </c>
      <c r="BK113" s="2"/>
      <c r="BL113" s="2">
        <v>726</v>
      </c>
    </row>
    <row r="114" spans="1:64" ht="15" customHeight="1" x14ac:dyDescent="0.3">
      <c r="A114" s="6"/>
      <c r="C114" s="29" t="s">
        <v>376</v>
      </c>
      <c r="F114" s="29" t="s">
        <v>299</v>
      </c>
      <c r="H114" s="10">
        <v>3.0000000000000004</v>
      </c>
      <c r="M114" s="41"/>
    </row>
    <row r="115" spans="1:64" ht="15" customHeight="1" x14ac:dyDescent="0.3">
      <c r="A115" s="39" t="s">
        <v>166</v>
      </c>
      <c r="B115" s="9" t="s">
        <v>454</v>
      </c>
      <c r="C115" s="50" t="s">
        <v>231</v>
      </c>
      <c r="D115" s="50"/>
      <c r="E115" s="50"/>
      <c r="F115" s="50"/>
      <c r="G115" s="9" t="s">
        <v>144</v>
      </c>
      <c r="H115" s="2">
        <v>1</v>
      </c>
      <c r="I115" s="2"/>
      <c r="J115" s="2">
        <f>H115*AO115</f>
        <v>0</v>
      </c>
      <c r="K115" s="2">
        <f>H115*AP115</f>
        <v>0</v>
      </c>
      <c r="L115" s="2">
        <f>H115*I115</f>
        <v>0</v>
      </c>
      <c r="M115" s="36" t="s">
        <v>365</v>
      </c>
      <c r="Z115" s="2">
        <f>IF(AQ115="5",BJ115,0)</f>
        <v>0</v>
      </c>
      <c r="AB115" s="2">
        <f>IF(AQ115="1",BH115,0)</f>
        <v>0</v>
      </c>
      <c r="AC115" s="2">
        <f>IF(AQ115="1",BI115,0)</f>
        <v>0</v>
      </c>
      <c r="AD115" s="2">
        <f>IF(AQ115="7",BH115,0)</f>
        <v>0</v>
      </c>
      <c r="AE115" s="2">
        <f>IF(AQ115="7",BI115,0)</f>
        <v>0</v>
      </c>
      <c r="AF115" s="2">
        <f>IF(AQ115="2",BH115,0)</f>
        <v>0</v>
      </c>
      <c r="AG115" s="2">
        <f>IF(AQ115="2",BI115,0)</f>
        <v>0</v>
      </c>
      <c r="AH115" s="2">
        <f>IF(AQ115="0",BJ115,0)</f>
        <v>0</v>
      </c>
      <c r="AI115" s="33" t="s">
        <v>299</v>
      </c>
      <c r="AJ115" s="2">
        <f>IF(AN115=0,L115,0)</f>
        <v>0</v>
      </c>
      <c r="AK115" s="2">
        <f>IF(AN115=15,L115,0)</f>
        <v>0</v>
      </c>
      <c r="AL115" s="2">
        <f>IF(AN115=21,L115,0)</f>
        <v>0</v>
      </c>
      <c r="AN115" s="2">
        <v>21</v>
      </c>
      <c r="AO115" s="2">
        <f>I115*0.885683443708609</f>
        <v>0</v>
      </c>
      <c r="AP115" s="2">
        <f>I115*(1-0.885683443708609)</f>
        <v>0</v>
      </c>
      <c r="AQ115" s="44" t="s">
        <v>432</v>
      </c>
      <c r="AV115" s="2">
        <f>AW115+AX115</f>
        <v>0</v>
      </c>
      <c r="AW115" s="2">
        <f>H115*AO115</f>
        <v>0</v>
      </c>
      <c r="AX115" s="2">
        <f>H115*AP115</f>
        <v>0</v>
      </c>
      <c r="AY115" s="44" t="s">
        <v>8</v>
      </c>
      <c r="AZ115" s="44" t="s">
        <v>32</v>
      </c>
      <c r="BA115" s="33" t="s">
        <v>329</v>
      </c>
      <c r="BC115" s="2">
        <f>AW115+AX115</f>
        <v>0</v>
      </c>
      <c r="BD115" s="2">
        <f>I115/(100-BE115)*100</f>
        <v>0</v>
      </c>
      <c r="BE115" s="2">
        <v>0</v>
      </c>
      <c r="BF115" s="2">
        <f>119</f>
        <v>119</v>
      </c>
      <c r="BH115" s="2">
        <f>H115*AO115</f>
        <v>0</v>
      </c>
      <c r="BI115" s="2">
        <f>H115*AP115</f>
        <v>0</v>
      </c>
      <c r="BJ115" s="2">
        <f>H115*I115</f>
        <v>0</v>
      </c>
      <c r="BK115" s="2"/>
      <c r="BL115" s="2">
        <v>726</v>
      </c>
    </row>
    <row r="116" spans="1:64" ht="15" customHeight="1" x14ac:dyDescent="0.3">
      <c r="A116" s="6"/>
      <c r="C116" s="29" t="s">
        <v>429</v>
      </c>
      <c r="F116" s="29" t="s">
        <v>299</v>
      </c>
      <c r="H116" s="10">
        <v>1</v>
      </c>
      <c r="M116" s="41"/>
    </row>
    <row r="117" spans="1:64" ht="15" customHeight="1" x14ac:dyDescent="0.3">
      <c r="A117" s="19" t="s">
        <v>299</v>
      </c>
      <c r="B117" s="34" t="s">
        <v>235</v>
      </c>
      <c r="C117" s="52" t="s">
        <v>448</v>
      </c>
      <c r="D117" s="52"/>
      <c r="E117" s="52"/>
      <c r="F117" s="52"/>
      <c r="G117" s="12" t="s">
        <v>400</v>
      </c>
      <c r="H117" s="12" t="s">
        <v>400</v>
      </c>
      <c r="I117" s="12" t="s">
        <v>400</v>
      </c>
      <c r="J117" s="15">
        <f>SUM(J118:J172)</f>
        <v>0</v>
      </c>
      <c r="K117" s="15">
        <f>SUM(K118:K172)</f>
        <v>0</v>
      </c>
      <c r="L117" s="15">
        <f>SUM(L118:L172)</f>
        <v>0</v>
      </c>
      <c r="M117" s="18" t="s">
        <v>299</v>
      </c>
      <c r="AI117" s="33" t="s">
        <v>299</v>
      </c>
      <c r="AS117" s="15">
        <f>SUM(AJ118:AJ172)</f>
        <v>0</v>
      </c>
      <c r="AT117" s="15">
        <f>SUM(AK118:AK172)</f>
        <v>0</v>
      </c>
      <c r="AU117" s="15">
        <f>SUM(AL118:AL172)</f>
        <v>0</v>
      </c>
    </row>
    <row r="118" spans="1:64" ht="15" customHeight="1" x14ac:dyDescent="0.3">
      <c r="A118" s="11" t="s">
        <v>399</v>
      </c>
      <c r="B118" s="8" t="s">
        <v>267</v>
      </c>
      <c r="C118" s="51" t="s">
        <v>119</v>
      </c>
      <c r="D118" s="50"/>
      <c r="E118" s="50"/>
      <c r="F118" s="51"/>
      <c r="G118" s="8" t="s">
        <v>111</v>
      </c>
      <c r="H118" s="24">
        <v>7</v>
      </c>
      <c r="I118" s="24"/>
      <c r="J118" s="24">
        <f>H118*AO118</f>
        <v>0</v>
      </c>
      <c r="K118" s="24">
        <f>H118*AP118</f>
        <v>0</v>
      </c>
      <c r="L118" s="24">
        <f>H118*I118</f>
        <v>0</v>
      </c>
      <c r="M118" s="28" t="s">
        <v>365</v>
      </c>
      <c r="Z118" s="2">
        <f>IF(AQ118="5",BJ118,0)</f>
        <v>0</v>
      </c>
      <c r="AB118" s="2">
        <f>IF(AQ118="1",BH118,0)</f>
        <v>0</v>
      </c>
      <c r="AC118" s="2">
        <f>IF(AQ118="1",BI118,0)</f>
        <v>0</v>
      </c>
      <c r="AD118" s="2">
        <f>IF(AQ118="7",BH118,0)</f>
        <v>0</v>
      </c>
      <c r="AE118" s="2">
        <f>IF(AQ118="7",BI118,0)</f>
        <v>0</v>
      </c>
      <c r="AF118" s="2">
        <f>IF(AQ118="2",BH118,0)</f>
        <v>0</v>
      </c>
      <c r="AG118" s="2">
        <f>IF(AQ118="2",BI118,0)</f>
        <v>0</v>
      </c>
      <c r="AH118" s="2">
        <f>IF(AQ118="0",BJ118,0)</f>
        <v>0</v>
      </c>
      <c r="AI118" s="33" t="s">
        <v>299</v>
      </c>
      <c r="AJ118" s="2">
        <f>IF(AN118=0,L118,0)</f>
        <v>0</v>
      </c>
      <c r="AK118" s="2">
        <f>IF(AN118=15,L118,0)</f>
        <v>0</v>
      </c>
      <c r="AL118" s="2">
        <f>IF(AN118=21,L118,0)</f>
        <v>0</v>
      </c>
      <c r="AN118" s="2">
        <v>21</v>
      </c>
      <c r="AO118" s="2">
        <f>I118*0</f>
        <v>0</v>
      </c>
      <c r="AP118" s="2">
        <f>I118*(1-0)</f>
        <v>0</v>
      </c>
      <c r="AQ118" s="44" t="s">
        <v>432</v>
      </c>
      <c r="AV118" s="2">
        <f>AW118+AX118</f>
        <v>0</v>
      </c>
      <c r="AW118" s="2">
        <f>H118*AO118</f>
        <v>0</v>
      </c>
      <c r="AX118" s="2">
        <f>H118*AP118</f>
        <v>0</v>
      </c>
      <c r="AY118" s="44" t="s">
        <v>350</v>
      </c>
      <c r="AZ118" s="44" t="s">
        <v>32</v>
      </c>
      <c r="BA118" s="33" t="s">
        <v>329</v>
      </c>
      <c r="BC118" s="2">
        <f>AW118+AX118</f>
        <v>0</v>
      </c>
      <c r="BD118" s="2">
        <f>I118/(100-BE118)*100</f>
        <v>0</v>
      </c>
      <c r="BE118" s="2">
        <v>0</v>
      </c>
      <c r="BF118" s="2">
        <f>123</f>
        <v>123</v>
      </c>
      <c r="BH118" s="2">
        <f>H118*AO118</f>
        <v>0</v>
      </c>
      <c r="BI118" s="2">
        <f>H118*AP118</f>
        <v>0</v>
      </c>
      <c r="BJ118" s="2">
        <f>H118*I118</f>
        <v>0</v>
      </c>
      <c r="BK118" s="2"/>
      <c r="BL118" s="2">
        <v>728</v>
      </c>
    </row>
    <row r="119" spans="1:64" ht="15" customHeight="1" x14ac:dyDescent="0.3">
      <c r="A119" s="47"/>
      <c r="B119" s="23"/>
      <c r="C119" s="1" t="s">
        <v>483</v>
      </c>
      <c r="F119" s="1" t="s">
        <v>299</v>
      </c>
      <c r="G119" s="23"/>
      <c r="H119" s="4">
        <v>7.0000000000000009</v>
      </c>
      <c r="I119" s="23"/>
      <c r="J119" s="23"/>
      <c r="K119" s="23"/>
      <c r="L119" s="23"/>
      <c r="M119" s="38"/>
    </row>
    <row r="120" spans="1:64" ht="15" customHeight="1" x14ac:dyDescent="0.3">
      <c r="A120" s="17" t="s">
        <v>287</v>
      </c>
      <c r="B120" s="13" t="s">
        <v>129</v>
      </c>
      <c r="C120" s="54" t="s">
        <v>53</v>
      </c>
      <c r="D120" s="53"/>
      <c r="E120" s="53"/>
      <c r="F120" s="54"/>
      <c r="G120" s="13" t="s">
        <v>111</v>
      </c>
      <c r="H120" s="43">
        <v>7</v>
      </c>
      <c r="I120" s="43"/>
      <c r="J120" s="43">
        <f>H120*AO120</f>
        <v>0</v>
      </c>
      <c r="K120" s="43">
        <f>H120*AP120</f>
        <v>0</v>
      </c>
      <c r="L120" s="43">
        <f>H120*I120</f>
        <v>0</v>
      </c>
      <c r="M120" s="35" t="s">
        <v>365</v>
      </c>
      <c r="Z120" s="2">
        <f>IF(AQ120="5",BJ120,0)</f>
        <v>0</v>
      </c>
      <c r="AB120" s="2">
        <f>IF(AQ120="1",BH120,0)</f>
        <v>0</v>
      </c>
      <c r="AC120" s="2">
        <f>IF(AQ120="1",BI120,0)</f>
        <v>0</v>
      </c>
      <c r="AD120" s="2">
        <f>IF(AQ120="7",BH120,0)</f>
        <v>0</v>
      </c>
      <c r="AE120" s="2">
        <f>IF(AQ120="7",BI120,0)</f>
        <v>0</v>
      </c>
      <c r="AF120" s="2">
        <f>IF(AQ120="2",BH120,0)</f>
        <v>0</v>
      </c>
      <c r="AG120" s="2">
        <f>IF(AQ120="2",BI120,0)</f>
        <v>0</v>
      </c>
      <c r="AH120" s="2">
        <f>IF(AQ120="0",BJ120,0)</f>
        <v>0</v>
      </c>
      <c r="AI120" s="33" t="s">
        <v>299</v>
      </c>
      <c r="AJ120" s="46">
        <f>IF(AN120=0,L120,0)</f>
        <v>0</v>
      </c>
      <c r="AK120" s="46">
        <f>IF(AN120=15,L120,0)</f>
        <v>0</v>
      </c>
      <c r="AL120" s="46">
        <f>IF(AN120=21,L120,0)</f>
        <v>0</v>
      </c>
      <c r="AN120" s="2">
        <v>21</v>
      </c>
      <c r="AO120" s="2">
        <f>I120*1</f>
        <v>0</v>
      </c>
      <c r="AP120" s="2">
        <f>I120*(1-1)</f>
        <v>0</v>
      </c>
      <c r="AQ120" s="27" t="s">
        <v>432</v>
      </c>
      <c r="AV120" s="2">
        <f>AW120+AX120</f>
        <v>0</v>
      </c>
      <c r="AW120" s="2">
        <f>H120*AO120</f>
        <v>0</v>
      </c>
      <c r="AX120" s="2">
        <f>H120*AP120</f>
        <v>0</v>
      </c>
      <c r="AY120" s="44" t="s">
        <v>350</v>
      </c>
      <c r="AZ120" s="44" t="s">
        <v>32</v>
      </c>
      <c r="BA120" s="33" t="s">
        <v>329</v>
      </c>
      <c r="BC120" s="2">
        <f>AW120+AX120</f>
        <v>0</v>
      </c>
      <c r="BD120" s="2">
        <f>I120/(100-BE120)*100</f>
        <v>0</v>
      </c>
      <c r="BE120" s="2">
        <v>0</v>
      </c>
      <c r="BF120" s="2">
        <f>125</f>
        <v>125</v>
      </c>
      <c r="BH120" s="46">
        <f>H120*AO120</f>
        <v>0</v>
      </c>
      <c r="BI120" s="46">
        <f>H120*AP120</f>
        <v>0</v>
      </c>
      <c r="BJ120" s="46">
        <f>H120*I120</f>
        <v>0</v>
      </c>
      <c r="BK120" s="46"/>
      <c r="BL120" s="2">
        <v>728</v>
      </c>
    </row>
    <row r="121" spans="1:64" ht="15" customHeight="1" x14ac:dyDescent="0.3">
      <c r="A121" s="47"/>
      <c r="B121" s="23"/>
      <c r="C121" s="1" t="s">
        <v>483</v>
      </c>
      <c r="F121" s="1" t="s">
        <v>299</v>
      </c>
      <c r="G121" s="23"/>
      <c r="H121" s="4">
        <v>7.0000000000000009</v>
      </c>
      <c r="I121" s="23"/>
      <c r="J121" s="23"/>
      <c r="K121" s="23"/>
      <c r="L121" s="23"/>
      <c r="M121" s="38"/>
    </row>
    <row r="122" spans="1:64" ht="15" customHeight="1" x14ac:dyDescent="0.3">
      <c r="A122" s="11" t="s">
        <v>273</v>
      </c>
      <c r="B122" s="8" t="s">
        <v>210</v>
      </c>
      <c r="C122" s="51" t="s">
        <v>475</v>
      </c>
      <c r="D122" s="50"/>
      <c r="E122" s="50"/>
      <c r="F122" s="51"/>
      <c r="G122" s="8" t="s">
        <v>111</v>
      </c>
      <c r="H122" s="24">
        <v>1</v>
      </c>
      <c r="I122" s="24"/>
      <c r="J122" s="24">
        <f>H122*AO122</f>
        <v>0</v>
      </c>
      <c r="K122" s="24">
        <f>H122*AP122</f>
        <v>0</v>
      </c>
      <c r="L122" s="24">
        <f>H122*I122</f>
        <v>0</v>
      </c>
      <c r="M122" s="28" t="s">
        <v>365</v>
      </c>
      <c r="Z122" s="2">
        <f>IF(AQ122="5",BJ122,0)</f>
        <v>0</v>
      </c>
      <c r="AB122" s="2">
        <f>IF(AQ122="1",BH122,0)</f>
        <v>0</v>
      </c>
      <c r="AC122" s="2">
        <f>IF(AQ122="1",BI122,0)</f>
        <v>0</v>
      </c>
      <c r="AD122" s="2">
        <f>IF(AQ122="7",BH122,0)</f>
        <v>0</v>
      </c>
      <c r="AE122" s="2">
        <f>IF(AQ122="7",BI122,0)</f>
        <v>0</v>
      </c>
      <c r="AF122" s="2">
        <f>IF(AQ122="2",BH122,0)</f>
        <v>0</v>
      </c>
      <c r="AG122" s="2">
        <f>IF(AQ122="2",BI122,0)</f>
        <v>0</v>
      </c>
      <c r="AH122" s="2">
        <f>IF(AQ122="0",BJ122,0)</f>
        <v>0</v>
      </c>
      <c r="AI122" s="33" t="s">
        <v>299</v>
      </c>
      <c r="AJ122" s="2">
        <f>IF(AN122=0,L122,0)</f>
        <v>0</v>
      </c>
      <c r="AK122" s="2">
        <f>IF(AN122=15,L122,0)</f>
        <v>0</v>
      </c>
      <c r="AL122" s="2">
        <f>IF(AN122=21,L122,0)</f>
        <v>0</v>
      </c>
      <c r="AN122" s="2">
        <v>21</v>
      </c>
      <c r="AO122" s="2">
        <f>I122*0</f>
        <v>0</v>
      </c>
      <c r="AP122" s="2">
        <f>I122*(1-0)</f>
        <v>0</v>
      </c>
      <c r="AQ122" s="44" t="s">
        <v>432</v>
      </c>
      <c r="AV122" s="2">
        <f>AW122+AX122</f>
        <v>0</v>
      </c>
      <c r="AW122" s="2">
        <f>H122*AO122</f>
        <v>0</v>
      </c>
      <c r="AX122" s="2">
        <f>H122*AP122</f>
        <v>0</v>
      </c>
      <c r="AY122" s="44" t="s">
        <v>350</v>
      </c>
      <c r="AZ122" s="44" t="s">
        <v>32</v>
      </c>
      <c r="BA122" s="33" t="s">
        <v>329</v>
      </c>
      <c r="BC122" s="2">
        <f>AW122+AX122</f>
        <v>0</v>
      </c>
      <c r="BD122" s="2">
        <f>I122/(100-BE122)*100</f>
        <v>0</v>
      </c>
      <c r="BE122" s="2">
        <v>0</v>
      </c>
      <c r="BF122" s="2">
        <f>127</f>
        <v>127</v>
      </c>
      <c r="BH122" s="2">
        <f>H122*AO122</f>
        <v>0</v>
      </c>
      <c r="BI122" s="2">
        <f>H122*AP122</f>
        <v>0</v>
      </c>
      <c r="BJ122" s="2">
        <f>H122*I122</f>
        <v>0</v>
      </c>
      <c r="BK122" s="2"/>
      <c r="BL122" s="2">
        <v>728</v>
      </c>
    </row>
    <row r="123" spans="1:64" ht="15" customHeight="1" x14ac:dyDescent="0.3">
      <c r="A123" s="47"/>
      <c r="B123" s="23"/>
      <c r="C123" s="1" t="s">
        <v>429</v>
      </c>
      <c r="F123" s="1" t="s">
        <v>299</v>
      </c>
      <c r="G123" s="23"/>
      <c r="H123" s="4">
        <v>1</v>
      </c>
      <c r="I123" s="23"/>
      <c r="J123" s="23"/>
      <c r="K123" s="23"/>
      <c r="L123" s="23"/>
      <c r="M123" s="38"/>
    </row>
    <row r="124" spans="1:64" ht="15" customHeight="1" x14ac:dyDescent="0.3">
      <c r="A124" s="17" t="s">
        <v>406</v>
      </c>
      <c r="B124" s="13" t="s">
        <v>328</v>
      </c>
      <c r="C124" s="54" t="s">
        <v>33</v>
      </c>
      <c r="D124" s="53"/>
      <c r="E124" s="53"/>
      <c r="F124" s="54"/>
      <c r="G124" s="13" t="s">
        <v>111</v>
      </c>
      <c r="H124" s="43">
        <v>1</v>
      </c>
      <c r="I124" s="43"/>
      <c r="J124" s="43">
        <f>H124*AO124</f>
        <v>0</v>
      </c>
      <c r="K124" s="43">
        <f>H124*AP124</f>
        <v>0</v>
      </c>
      <c r="L124" s="43">
        <f>H124*I124</f>
        <v>0</v>
      </c>
      <c r="M124" s="35" t="s">
        <v>365</v>
      </c>
      <c r="Z124" s="2">
        <f>IF(AQ124="5",BJ124,0)</f>
        <v>0</v>
      </c>
      <c r="AB124" s="2">
        <f>IF(AQ124="1",BH124,0)</f>
        <v>0</v>
      </c>
      <c r="AC124" s="2">
        <f>IF(AQ124="1",BI124,0)</f>
        <v>0</v>
      </c>
      <c r="AD124" s="2">
        <f>IF(AQ124="7",BH124,0)</f>
        <v>0</v>
      </c>
      <c r="AE124" s="2">
        <f>IF(AQ124="7",BI124,0)</f>
        <v>0</v>
      </c>
      <c r="AF124" s="2">
        <f>IF(AQ124="2",BH124,0)</f>
        <v>0</v>
      </c>
      <c r="AG124" s="2">
        <f>IF(AQ124="2",BI124,0)</f>
        <v>0</v>
      </c>
      <c r="AH124" s="2">
        <f>IF(AQ124="0",BJ124,0)</f>
        <v>0</v>
      </c>
      <c r="AI124" s="33" t="s">
        <v>299</v>
      </c>
      <c r="AJ124" s="46">
        <f>IF(AN124=0,L124,0)</f>
        <v>0</v>
      </c>
      <c r="AK124" s="46">
        <f>IF(AN124=15,L124,0)</f>
        <v>0</v>
      </c>
      <c r="AL124" s="46">
        <f>IF(AN124=21,L124,0)</f>
        <v>0</v>
      </c>
      <c r="AN124" s="2">
        <v>21</v>
      </c>
      <c r="AO124" s="2">
        <f>I124*1</f>
        <v>0</v>
      </c>
      <c r="AP124" s="2">
        <f>I124*(1-1)</f>
        <v>0</v>
      </c>
      <c r="AQ124" s="27" t="s">
        <v>432</v>
      </c>
      <c r="AV124" s="2">
        <f>AW124+AX124</f>
        <v>0</v>
      </c>
      <c r="AW124" s="2">
        <f>H124*AO124</f>
        <v>0</v>
      </c>
      <c r="AX124" s="2">
        <f>H124*AP124</f>
        <v>0</v>
      </c>
      <c r="AY124" s="44" t="s">
        <v>350</v>
      </c>
      <c r="AZ124" s="44" t="s">
        <v>32</v>
      </c>
      <c r="BA124" s="33" t="s">
        <v>329</v>
      </c>
      <c r="BC124" s="2">
        <f>AW124+AX124</f>
        <v>0</v>
      </c>
      <c r="BD124" s="2">
        <f>I124/(100-BE124)*100</f>
        <v>0</v>
      </c>
      <c r="BE124" s="2">
        <v>0</v>
      </c>
      <c r="BF124" s="2">
        <f>129</f>
        <v>129</v>
      </c>
      <c r="BH124" s="46">
        <f>H124*AO124</f>
        <v>0</v>
      </c>
      <c r="BI124" s="46">
        <f>H124*AP124</f>
        <v>0</v>
      </c>
      <c r="BJ124" s="46">
        <f>H124*I124</f>
        <v>0</v>
      </c>
      <c r="BK124" s="46"/>
      <c r="BL124" s="2">
        <v>728</v>
      </c>
    </row>
    <row r="125" spans="1:64" ht="15" customHeight="1" x14ac:dyDescent="0.3">
      <c r="A125" s="47"/>
      <c r="B125" s="23"/>
      <c r="C125" s="1" t="s">
        <v>429</v>
      </c>
      <c r="F125" s="1" t="s">
        <v>299</v>
      </c>
      <c r="G125" s="23"/>
      <c r="H125" s="4">
        <v>1</v>
      </c>
      <c r="I125" s="23"/>
      <c r="J125" s="23"/>
      <c r="K125" s="23"/>
      <c r="L125" s="23"/>
      <c r="M125" s="38"/>
    </row>
    <row r="126" spans="1:64" ht="15" customHeight="1" x14ac:dyDescent="0.3">
      <c r="A126" s="11" t="s">
        <v>247</v>
      </c>
      <c r="B126" s="8" t="s">
        <v>433</v>
      </c>
      <c r="C126" s="51" t="s">
        <v>366</v>
      </c>
      <c r="D126" s="50"/>
      <c r="E126" s="50"/>
      <c r="F126" s="51"/>
      <c r="G126" s="8" t="s">
        <v>361</v>
      </c>
      <c r="H126" s="24">
        <v>19</v>
      </c>
      <c r="I126" s="24"/>
      <c r="J126" s="24">
        <f>H126*AO126</f>
        <v>0</v>
      </c>
      <c r="K126" s="24">
        <f>H126*AP126</f>
        <v>0</v>
      </c>
      <c r="L126" s="24">
        <f>H126*I126</f>
        <v>0</v>
      </c>
      <c r="M126" s="28" t="s">
        <v>365</v>
      </c>
      <c r="Z126" s="2">
        <f>IF(AQ126="5",BJ126,0)</f>
        <v>0</v>
      </c>
      <c r="AB126" s="2">
        <f>IF(AQ126="1",BH126,0)</f>
        <v>0</v>
      </c>
      <c r="AC126" s="2">
        <f>IF(AQ126="1",BI126,0)</f>
        <v>0</v>
      </c>
      <c r="AD126" s="2">
        <f>IF(AQ126="7",BH126,0)</f>
        <v>0</v>
      </c>
      <c r="AE126" s="2">
        <f>IF(AQ126="7",BI126,0)</f>
        <v>0</v>
      </c>
      <c r="AF126" s="2">
        <f>IF(AQ126="2",BH126,0)</f>
        <v>0</v>
      </c>
      <c r="AG126" s="2">
        <f>IF(AQ126="2",BI126,0)</f>
        <v>0</v>
      </c>
      <c r="AH126" s="2">
        <f>IF(AQ126="0",BJ126,0)</f>
        <v>0</v>
      </c>
      <c r="AI126" s="33" t="s">
        <v>299</v>
      </c>
      <c r="AJ126" s="2">
        <f>IF(AN126=0,L126,0)</f>
        <v>0</v>
      </c>
      <c r="AK126" s="2">
        <f>IF(AN126=15,L126,0)</f>
        <v>0</v>
      </c>
      <c r="AL126" s="2">
        <f>IF(AN126=21,L126,0)</f>
        <v>0</v>
      </c>
      <c r="AN126" s="2">
        <v>21</v>
      </c>
      <c r="AO126" s="2">
        <f>I126*0</f>
        <v>0</v>
      </c>
      <c r="AP126" s="2">
        <f>I126*(1-0)</f>
        <v>0</v>
      </c>
      <c r="AQ126" s="44" t="s">
        <v>432</v>
      </c>
      <c r="AV126" s="2">
        <f>AW126+AX126</f>
        <v>0</v>
      </c>
      <c r="AW126" s="2">
        <f>H126*AO126</f>
        <v>0</v>
      </c>
      <c r="AX126" s="2">
        <f>H126*AP126</f>
        <v>0</v>
      </c>
      <c r="AY126" s="44" t="s">
        <v>350</v>
      </c>
      <c r="AZ126" s="44" t="s">
        <v>32</v>
      </c>
      <c r="BA126" s="33" t="s">
        <v>329</v>
      </c>
      <c r="BC126" s="2">
        <f>AW126+AX126</f>
        <v>0</v>
      </c>
      <c r="BD126" s="2">
        <f>I126/(100-BE126)*100</f>
        <v>0</v>
      </c>
      <c r="BE126" s="2">
        <v>0</v>
      </c>
      <c r="BF126" s="2">
        <f>131</f>
        <v>131</v>
      </c>
      <c r="BH126" s="2">
        <f>H126*AO126</f>
        <v>0</v>
      </c>
      <c r="BI126" s="2">
        <f>H126*AP126</f>
        <v>0</v>
      </c>
      <c r="BJ126" s="2">
        <f>H126*I126</f>
        <v>0</v>
      </c>
      <c r="BK126" s="2"/>
      <c r="BL126" s="2">
        <v>728</v>
      </c>
    </row>
    <row r="127" spans="1:64" ht="15" customHeight="1" x14ac:dyDescent="0.3">
      <c r="A127" s="47"/>
      <c r="B127" s="23"/>
      <c r="C127" s="1" t="s">
        <v>9</v>
      </c>
      <c r="F127" s="1" t="s">
        <v>299</v>
      </c>
      <c r="G127" s="23"/>
      <c r="H127" s="4">
        <v>19</v>
      </c>
      <c r="I127" s="23"/>
      <c r="J127" s="23"/>
      <c r="K127" s="23"/>
      <c r="L127" s="23"/>
      <c r="M127" s="38"/>
    </row>
    <row r="128" spans="1:64" ht="15" customHeight="1" x14ac:dyDescent="0.3">
      <c r="A128" s="17" t="s">
        <v>186</v>
      </c>
      <c r="B128" s="13" t="s">
        <v>347</v>
      </c>
      <c r="C128" s="54" t="s">
        <v>300</v>
      </c>
      <c r="D128" s="53"/>
      <c r="E128" s="53"/>
      <c r="F128" s="54"/>
      <c r="G128" s="13" t="s">
        <v>111</v>
      </c>
      <c r="H128" s="43">
        <v>22</v>
      </c>
      <c r="I128" s="43"/>
      <c r="J128" s="43">
        <f>H128*AO128</f>
        <v>0</v>
      </c>
      <c r="K128" s="43">
        <f>H128*AP128</f>
        <v>0</v>
      </c>
      <c r="L128" s="43">
        <f>H128*I128</f>
        <v>0</v>
      </c>
      <c r="M128" s="35" t="s">
        <v>365</v>
      </c>
      <c r="Z128" s="2">
        <f>IF(AQ128="5",BJ128,0)</f>
        <v>0</v>
      </c>
      <c r="AB128" s="2">
        <f>IF(AQ128="1",BH128,0)</f>
        <v>0</v>
      </c>
      <c r="AC128" s="2">
        <f>IF(AQ128="1",BI128,0)</f>
        <v>0</v>
      </c>
      <c r="AD128" s="2">
        <f>IF(AQ128="7",BH128,0)</f>
        <v>0</v>
      </c>
      <c r="AE128" s="2">
        <f>IF(AQ128="7",BI128,0)</f>
        <v>0</v>
      </c>
      <c r="AF128" s="2">
        <f>IF(AQ128="2",BH128,0)</f>
        <v>0</v>
      </c>
      <c r="AG128" s="2">
        <f>IF(AQ128="2",BI128,0)</f>
        <v>0</v>
      </c>
      <c r="AH128" s="2">
        <f>IF(AQ128="0",BJ128,0)</f>
        <v>0</v>
      </c>
      <c r="AI128" s="33" t="s">
        <v>299</v>
      </c>
      <c r="AJ128" s="46">
        <f>IF(AN128=0,L128,0)</f>
        <v>0</v>
      </c>
      <c r="AK128" s="46">
        <f>IF(AN128=15,L128,0)</f>
        <v>0</v>
      </c>
      <c r="AL128" s="46">
        <f>IF(AN128=21,L128,0)</f>
        <v>0</v>
      </c>
      <c r="AN128" s="2">
        <v>21</v>
      </c>
      <c r="AO128" s="2">
        <f>I128*1</f>
        <v>0</v>
      </c>
      <c r="AP128" s="2">
        <f>I128*(1-1)</f>
        <v>0</v>
      </c>
      <c r="AQ128" s="27" t="s">
        <v>432</v>
      </c>
      <c r="AV128" s="2">
        <f>AW128+AX128</f>
        <v>0</v>
      </c>
      <c r="AW128" s="2">
        <f>H128*AO128</f>
        <v>0</v>
      </c>
      <c r="AX128" s="2">
        <f>H128*AP128</f>
        <v>0</v>
      </c>
      <c r="AY128" s="44" t="s">
        <v>350</v>
      </c>
      <c r="AZ128" s="44" t="s">
        <v>32</v>
      </c>
      <c r="BA128" s="33" t="s">
        <v>329</v>
      </c>
      <c r="BC128" s="2">
        <f>AW128+AX128</f>
        <v>0</v>
      </c>
      <c r="BD128" s="2">
        <f>I128/(100-BE128)*100</f>
        <v>0</v>
      </c>
      <c r="BE128" s="2">
        <v>0</v>
      </c>
      <c r="BF128" s="2">
        <f>133</f>
        <v>133</v>
      </c>
      <c r="BH128" s="46">
        <f>H128*AO128</f>
        <v>0</v>
      </c>
      <c r="BI128" s="46">
        <f>H128*AP128</f>
        <v>0</v>
      </c>
      <c r="BJ128" s="46">
        <f>H128*I128</f>
        <v>0</v>
      </c>
      <c r="BK128" s="46"/>
      <c r="BL128" s="2">
        <v>728</v>
      </c>
    </row>
    <row r="129" spans="1:64" ht="15" customHeight="1" x14ac:dyDescent="0.3">
      <c r="A129" s="47"/>
      <c r="B129" s="23"/>
      <c r="C129" s="1" t="s">
        <v>271</v>
      </c>
      <c r="F129" s="1" t="s">
        <v>299</v>
      </c>
      <c r="G129" s="23"/>
      <c r="H129" s="4">
        <v>22.000000000000004</v>
      </c>
      <c r="I129" s="23"/>
      <c r="J129" s="23"/>
      <c r="K129" s="23"/>
      <c r="L129" s="23"/>
      <c r="M129" s="38"/>
    </row>
    <row r="130" spans="1:64" ht="15" customHeight="1" x14ac:dyDescent="0.3">
      <c r="A130" s="11" t="s">
        <v>61</v>
      </c>
      <c r="B130" s="8" t="s">
        <v>156</v>
      </c>
      <c r="C130" s="51" t="s">
        <v>78</v>
      </c>
      <c r="D130" s="50"/>
      <c r="E130" s="50"/>
      <c r="F130" s="51"/>
      <c r="G130" s="8" t="s">
        <v>361</v>
      </c>
      <c r="H130" s="24">
        <v>7</v>
      </c>
      <c r="I130" s="24"/>
      <c r="J130" s="24">
        <f>H130*AO130</f>
        <v>0</v>
      </c>
      <c r="K130" s="24">
        <f>H130*AP130</f>
        <v>0</v>
      </c>
      <c r="L130" s="24">
        <f>H130*I130</f>
        <v>0</v>
      </c>
      <c r="M130" s="28" t="s">
        <v>365</v>
      </c>
      <c r="Z130" s="2">
        <f>IF(AQ130="5",BJ130,0)</f>
        <v>0</v>
      </c>
      <c r="AB130" s="2">
        <f>IF(AQ130="1",BH130,0)</f>
        <v>0</v>
      </c>
      <c r="AC130" s="2">
        <f>IF(AQ130="1",BI130,0)</f>
        <v>0</v>
      </c>
      <c r="AD130" s="2">
        <f>IF(AQ130="7",BH130,0)</f>
        <v>0</v>
      </c>
      <c r="AE130" s="2">
        <f>IF(AQ130="7",BI130,0)</f>
        <v>0</v>
      </c>
      <c r="AF130" s="2">
        <f>IF(AQ130="2",BH130,0)</f>
        <v>0</v>
      </c>
      <c r="AG130" s="2">
        <f>IF(AQ130="2",BI130,0)</f>
        <v>0</v>
      </c>
      <c r="AH130" s="2">
        <f>IF(AQ130="0",BJ130,0)</f>
        <v>0</v>
      </c>
      <c r="AI130" s="33" t="s">
        <v>299</v>
      </c>
      <c r="AJ130" s="2">
        <f>IF(AN130=0,L130,0)</f>
        <v>0</v>
      </c>
      <c r="AK130" s="2">
        <f>IF(AN130=15,L130,0)</f>
        <v>0</v>
      </c>
      <c r="AL130" s="2">
        <f>IF(AN130=21,L130,0)</f>
        <v>0</v>
      </c>
      <c r="AN130" s="2">
        <v>21</v>
      </c>
      <c r="AO130" s="2">
        <f>I130*0</f>
        <v>0</v>
      </c>
      <c r="AP130" s="2">
        <f>I130*(1-0)</f>
        <v>0</v>
      </c>
      <c r="AQ130" s="44" t="s">
        <v>432</v>
      </c>
      <c r="AV130" s="2">
        <f>AW130+AX130</f>
        <v>0</v>
      </c>
      <c r="AW130" s="2">
        <f>H130*AO130</f>
        <v>0</v>
      </c>
      <c r="AX130" s="2">
        <f>H130*AP130</f>
        <v>0</v>
      </c>
      <c r="AY130" s="44" t="s">
        <v>350</v>
      </c>
      <c r="AZ130" s="44" t="s">
        <v>32</v>
      </c>
      <c r="BA130" s="33" t="s">
        <v>329</v>
      </c>
      <c r="BC130" s="2">
        <f>AW130+AX130</f>
        <v>0</v>
      </c>
      <c r="BD130" s="2">
        <f>I130/(100-BE130)*100</f>
        <v>0</v>
      </c>
      <c r="BE130" s="2">
        <v>0</v>
      </c>
      <c r="BF130" s="2">
        <f>135</f>
        <v>135</v>
      </c>
      <c r="BH130" s="2">
        <f>H130*AO130</f>
        <v>0</v>
      </c>
      <c r="BI130" s="2">
        <f>H130*AP130</f>
        <v>0</v>
      </c>
      <c r="BJ130" s="2">
        <f>H130*I130</f>
        <v>0</v>
      </c>
      <c r="BK130" s="2"/>
      <c r="BL130" s="2">
        <v>728</v>
      </c>
    </row>
    <row r="131" spans="1:64" ht="15" customHeight="1" x14ac:dyDescent="0.3">
      <c r="A131" s="47"/>
      <c r="B131" s="23"/>
      <c r="C131" s="1" t="s">
        <v>75</v>
      </c>
      <c r="F131" s="1" t="s">
        <v>439</v>
      </c>
      <c r="G131" s="23"/>
      <c r="H131" s="4">
        <v>6.0000000000000009</v>
      </c>
      <c r="I131" s="23"/>
      <c r="J131" s="23"/>
      <c r="K131" s="23"/>
      <c r="L131" s="23"/>
      <c r="M131" s="38"/>
    </row>
    <row r="132" spans="1:64" ht="15" customHeight="1" x14ac:dyDescent="0.3">
      <c r="A132" s="47"/>
      <c r="B132" s="23"/>
      <c r="C132" s="1" t="s">
        <v>429</v>
      </c>
      <c r="F132" s="1" t="s">
        <v>318</v>
      </c>
      <c r="G132" s="23"/>
      <c r="H132" s="4">
        <v>1</v>
      </c>
      <c r="I132" s="23"/>
      <c r="J132" s="23"/>
      <c r="K132" s="23"/>
      <c r="L132" s="23"/>
      <c r="M132" s="38"/>
    </row>
    <row r="133" spans="1:64" ht="15" customHeight="1" x14ac:dyDescent="0.3">
      <c r="A133" s="17" t="s">
        <v>313</v>
      </c>
      <c r="B133" s="13" t="s">
        <v>54</v>
      </c>
      <c r="C133" s="54" t="s">
        <v>115</v>
      </c>
      <c r="D133" s="53"/>
      <c r="E133" s="53"/>
      <c r="F133" s="54"/>
      <c r="G133" s="13" t="s">
        <v>111</v>
      </c>
      <c r="H133" s="43">
        <v>6</v>
      </c>
      <c r="I133" s="43"/>
      <c r="J133" s="43">
        <f>H133*AO133</f>
        <v>0</v>
      </c>
      <c r="K133" s="43">
        <f>H133*AP133</f>
        <v>0</v>
      </c>
      <c r="L133" s="43">
        <f>H133*I133</f>
        <v>0</v>
      </c>
      <c r="M133" s="35" t="s">
        <v>365</v>
      </c>
      <c r="Z133" s="2">
        <f>IF(AQ133="5",BJ133,0)</f>
        <v>0</v>
      </c>
      <c r="AB133" s="2">
        <f>IF(AQ133="1",BH133,0)</f>
        <v>0</v>
      </c>
      <c r="AC133" s="2">
        <f>IF(AQ133="1",BI133,0)</f>
        <v>0</v>
      </c>
      <c r="AD133" s="2">
        <f>IF(AQ133="7",BH133,0)</f>
        <v>0</v>
      </c>
      <c r="AE133" s="2">
        <f>IF(AQ133="7",BI133,0)</f>
        <v>0</v>
      </c>
      <c r="AF133" s="2">
        <f>IF(AQ133="2",BH133,0)</f>
        <v>0</v>
      </c>
      <c r="AG133" s="2">
        <f>IF(AQ133="2",BI133,0)</f>
        <v>0</v>
      </c>
      <c r="AH133" s="2">
        <f>IF(AQ133="0",BJ133,0)</f>
        <v>0</v>
      </c>
      <c r="AI133" s="33" t="s">
        <v>299</v>
      </c>
      <c r="AJ133" s="46">
        <f>IF(AN133=0,L133,0)</f>
        <v>0</v>
      </c>
      <c r="AK133" s="46">
        <f>IF(AN133=15,L133,0)</f>
        <v>0</v>
      </c>
      <c r="AL133" s="46">
        <f>IF(AN133=21,L133,0)</f>
        <v>0</v>
      </c>
      <c r="AN133" s="2">
        <v>21</v>
      </c>
      <c r="AO133" s="2">
        <f>I133*1</f>
        <v>0</v>
      </c>
      <c r="AP133" s="2">
        <f>I133*(1-1)</f>
        <v>0</v>
      </c>
      <c r="AQ133" s="27" t="s">
        <v>432</v>
      </c>
      <c r="AV133" s="2">
        <f>AW133+AX133</f>
        <v>0</v>
      </c>
      <c r="AW133" s="2">
        <f>H133*AO133</f>
        <v>0</v>
      </c>
      <c r="AX133" s="2">
        <f>H133*AP133</f>
        <v>0</v>
      </c>
      <c r="AY133" s="44" t="s">
        <v>350</v>
      </c>
      <c r="AZ133" s="44" t="s">
        <v>32</v>
      </c>
      <c r="BA133" s="33" t="s">
        <v>329</v>
      </c>
      <c r="BC133" s="2">
        <f>AW133+AX133</f>
        <v>0</v>
      </c>
      <c r="BD133" s="2">
        <f>I133/(100-BE133)*100</f>
        <v>0</v>
      </c>
      <c r="BE133" s="2">
        <v>0</v>
      </c>
      <c r="BF133" s="2">
        <f>138</f>
        <v>138</v>
      </c>
      <c r="BH133" s="46">
        <f>H133*AO133</f>
        <v>0</v>
      </c>
      <c r="BI133" s="46">
        <f>H133*AP133</f>
        <v>0</v>
      </c>
      <c r="BJ133" s="46">
        <f>H133*I133</f>
        <v>0</v>
      </c>
      <c r="BK133" s="46"/>
      <c r="BL133" s="2">
        <v>728</v>
      </c>
    </row>
    <row r="134" spans="1:64" ht="15" customHeight="1" x14ac:dyDescent="0.3">
      <c r="A134" s="47"/>
      <c r="B134" s="23"/>
      <c r="C134" s="1" t="s">
        <v>75</v>
      </c>
      <c r="F134" s="1" t="s">
        <v>299</v>
      </c>
      <c r="G134" s="23"/>
      <c r="H134" s="4">
        <v>6.0000000000000009</v>
      </c>
      <c r="I134" s="23"/>
      <c r="J134" s="23"/>
      <c r="K134" s="23"/>
      <c r="L134" s="23"/>
      <c r="M134" s="38"/>
    </row>
    <row r="135" spans="1:64" ht="15" customHeight="1" x14ac:dyDescent="0.3">
      <c r="A135" s="17" t="s">
        <v>480</v>
      </c>
      <c r="B135" s="13" t="s">
        <v>29</v>
      </c>
      <c r="C135" s="54" t="s">
        <v>219</v>
      </c>
      <c r="D135" s="53"/>
      <c r="E135" s="53"/>
      <c r="F135" s="54"/>
      <c r="G135" s="13" t="s">
        <v>111</v>
      </c>
      <c r="H135" s="43">
        <v>1</v>
      </c>
      <c r="I135" s="43"/>
      <c r="J135" s="43">
        <f>H135*AO135</f>
        <v>0</v>
      </c>
      <c r="K135" s="43">
        <f>H135*AP135</f>
        <v>0</v>
      </c>
      <c r="L135" s="43">
        <f>H135*I135</f>
        <v>0</v>
      </c>
      <c r="M135" s="35" t="s">
        <v>365</v>
      </c>
      <c r="Z135" s="2">
        <f>IF(AQ135="5",BJ135,0)</f>
        <v>0</v>
      </c>
      <c r="AB135" s="2">
        <f>IF(AQ135="1",BH135,0)</f>
        <v>0</v>
      </c>
      <c r="AC135" s="2">
        <f>IF(AQ135="1",BI135,0)</f>
        <v>0</v>
      </c>
      <c r="AD135" s="2">
        <f>IF(AQ135="7",BH135,0)</f>
        <v>0</v>
      </c>
      <c r="AE135" s="2">
        <f>IF(AQ135="7",BI135,0)</f>
        <v>0</v>
      </c>
      <c r="AF135" s="2">
        <f>IF(AQ135="2",BH135,0)</f>
        <v>0</v>
      </c>
      <c r="AG135" s="2">
        <f>IF(AQ135="2",BI135,0)</f>
        <v>0</v>
      </c>
      <c r="AH135" s="2">
        <f>IF(AQ135="0",BJ135,0)</f>
        <v>0</v>
      </c>
      <c r="AI135" s="33" t="s">
        <v>299</v>
      </c>
      <c r="AJ135" s="46">
        <f>IF(AN135=0,L135,0)</f>
        <v>0</v>
      </c>
      <c r="AK135" s="46">
        <f>IF(AN135=15,L135,0)</f>
        <v>0</v>
      </c>
      <c r="AL135" s="46">
        <f>IF(AN135=21,L135,0)</f>
        <v>0</v>
      </c>
      <c r="AN135" s="2">
        <v>21</v>
      </c>
      <c r="AO135" s="2">
        <f>I135*1</f>
        <v>0</v>
      </c>
      <c r="AP135" s="2">
        <f>I135*(1-1)</f>
        <v>0</v>
      </c>
      <c r="AQ135" s="27" t="s">
        <v>432</v>
      </c>
      <c r="AV135" s="2">
        <f>AW135+AX135</f>
        <v>0</v>
      </c>
      <c r="AW135" s="2">
        <f>H135*AO135</f>
        <v>0</v>
      </c>
      <c r="AX135" s="2">
        <f>H135*AP135</f>
        <v>0</v>
      </c>
      <c r="AY135" s="44" t="s">
        <v>350</v>
      </c>
      <c r="AZ135" s="44" t="s">
        <v>32</v>
      </c>
      <c r="BA135" s="33" t="s">
        <v>329</v>
      </c>
      <c r="BC135" s="2">
        <f>AW135+AX135</f>
        <v>0</v>
      </c>
      <c r="BD135" s="2">
        <f>I135/(100-BE135)*100</f>
        <v>0</v>
      </c>
      <c r="BE135" s="2">
        <v>0</v>
      </c>
      <c r="BF135" s="2">
        <f>140</f>
        <v>140</v>
      </c>
      <c r="BH135" s="46">
        <f>H135*AO135</f>
        <v>0</v>
      </c>
      <c r="BI135" s="46">
        <f>H135*AP135</f>
        <v>0</v>
      </c>
      <c r="BJ135" s="46">
        <f>H135*I135</f>
        <v>0</v>
      </c>
      <c r="BK135" s="46"/>
      <c r="BL135" s="2">
        <v>728</v>
      </c>
    </row>
    <row r="136" spans="1:64" ht="15" customHeight="1" x14ac:dyDescent="0.3">
      <c r="A136" s="47"/>
      <c r="B136" s="23"/>
      <c r="C136" s="1" t="s">
        <v>429</v>
      </c>
      <c r="F136" s="1" t="s">
        <v>299</v>
      </c>
      <c r="G136" s="23"/>
      <c r="H136" s="4">
        <v>1</v>
      </c>
      <c r="I136" s="23"/>
      <c r="J136" s="23"/>
      <c r="K136" s="23"/>
      <c r="L136" s="23"/>
      <c r="M136" s="38"/>
    </row>
    <row r="137" spans="1:64" ht="15" customHeight="1" x14ac:dyDescent="0.3">
      <c r="A137" s="11" t="s">
        <v>99</v>
      </c>
      <c r="B137" s="8" t="s">
        <v>52</v>
      </c>
      <c r="C137" s="51" t="s">
        <v>205</v>
      </c>
      <c r="D137" s="50"/>
      <c r="E137" s="50"/>
      <c r="F137" s="51"/>
      <c r="G137" s="8" t="s">
        <v>111</v>
      </c>
      <c r="H137" s="24">
        <v>7</v>
      </c>
      <c r="I137" s="24"/>
      <c r="J137" s="24">
        <f>H137*AO137</f>
        <v>0</v>
      </c>
      <c r="K137" s="24">
        <f>H137*AP137</f>
        <v>0</v>
      </c>
      <c r="L137" s="24">
        <f>H137*I137</f>
        <v>0</v>
      </c>
      <c r="M137" s="28" t="s">
        <v>365</v>
      </c>
      <c r="Z137" s="2">
        <f>IF(AQ137="5",BJ137,0)</f>
        <v>0</v>
      </c>
      <c r="AB137" s="2">
        <f>IF(AQ137="1",BH137,0)</f>
        <v>0</v>
      </c>
      <c r="AC137" s="2">
        <f>IF(AQ137="1",BI137,0)</f>
        <v>0</v>
      </c>
      <c r="AD137" s="2">
        <f>IF(AQ137="7",BH137,0)</f>
        <v>0</v>
      </c>
      <c r="AE137" s="2">
        <f>IF(AQ137="7",BI137,0)</f>
        <v>0</v>
      </c>
      <c r="AF137" s="2">
        <f>IF(AQ137="2",BH137,0)</f>
        <v>0</v>
      </c>
      <c r="AG137" s="2">
        <f>IF(AQ137="2",BI137,0)</f>
        <v>0</v>
      </c>
      <c r="AH137" s="2">
        <f>IF(AQ137="0",BJ137,0)</f>
        <v>0</v>
      </c>
      <c r="AI137" s="33" t="s">
        <v>299</v>
      </c>
      <c r="AJ137" s="2">
        <f>IF(AN137=0,L137,0)</f>
        <v>0</v>
      </c>
      <c r="AK137" s="2">
        <f>IF(AN137=15,L137,0)</f>
        <v>0</v>
      </c>
      <c r="AL137" s="2">
        <f>IF(AN137=21,L137,0)</f>
        <v>0</v>
      </c>
      <c r="AN137" s="2">
        <v>21</v>
      </c>
      <c r="AO137" s="2">
        <f>I137*0</f>
        <v>0</v>
      </c>
      <c r="AP137" s="2">
        <f>I137*(1-0)</f>
        <v>0</v>
      </c>
      <c r="AQ137" s="44" t="s">
        <v>432</v>
      </c>
      <c r="AV137" s="2">
        <f>AW137+AX137</f>
        <v>0</v>
      </c>
      <c r="AW137" s="2">
        <f>H137*AO137</f>
        <v>0</v>
      </c>
      <c r="AX137" s="2">
        <f>H137*AP137</f>
        <v>0</v>
      </c>
      <c r="AY137" s="44" t="s">
        <v>350</v>
      </c>
      <c r="AZ137" s="44" t="s">
        <v>32</v>
      </c>
      <c r="BA137" s="33" t="s">
        <v>329</v>
      </c>
      <c r="BC137" s="2">
        <f>AW137+AX137</f>
        <v>0</v>
      </c>
      <c r="BD137" s="2">
        <f>I137/(100-BE137)*100</f>
        <v>0</v>
      </c>
      <c r="BE137" s="2">
        <v>0</v>
      </c>
      <c r="BF137" s="2">
        <f>142</f>
        <v>142</v>
      </c>
      <c r="BH137" s="2">
        <f>H137*AO137</f>
        <v>0</v>
      </c>
      <c r="BI137" s="2">
        <f>H137*AP137</f>
        <v>0</v>
      </c>
      <c r="BJ137" s="2">
        <f>H137*I137</f>
        <v>0</v>
      </c>
      <c r="BK137" s="2"/>
      <c r="BL137" s="2">
        <v>728</v>
      </c>
    </row>
    <row r="138" spans="1:64" ht="15" customHeight="1" x14ac:dyDescent="0.3">
      <c r="A138" s="47"/>
      <c r="B138" s="23"/>
      <c r="C138" s="1" t="s">
        <v>269</v>
      </c>
      <c r="F138" s="1" t="s">
        <v>299</v>
      </c>
      <c r="G138" s="23"/>
      <c r="H138" s="4">
        <v>7.0000000000000009</v>
      </c>
      <c r="I138" s="23"/>
      <c r="J138" s="23"/>
      <c r="K138" s="23"/>
      <c r="L138" s="23"/>
      <c r="M138" s="38"/>
    </row>
    <row r="139" spans="1:64" ht="15" customHeight="1" x14ac:dyDescent="0.3">
      <c r="A139" s="17" t="s">
        <v>203</v>
      </c>
      <c r="B139" s="13" t="s">
        <v>132</v>
      </c>
      <c r="C139" s="54" t="s">
        <v>453</v>
      </c>
      <c r="D139" s="53"/>
      <c r="E139" s="53"/>
      <c r="F139" s="54"/>
      <c r="G139" s="13" t="s">
        <v>111</v>
      </c>
      <c r="H139" s="43">
        <v>7</v>
      </c>
      <c r="I139" s="43"/>
      <c r="J139" s="43">
        <f>H139*AO139</f>
        <v>0</v>
      </c>
      <c r="K139" s="43">
        <f>H139*AP139</f>
        <v>0</v>
      </c>
      <c r="L139" s="43">
        <f>H139*I139</f>
        <v>0</v>
      </c>
      <c r="M139" s="35" t="s">
        <v>365</v>
      </c>
      <c r="Z139" s="2">
        <f>IF(AQ139="5",BJ139,0)</f>
        <v>0</v>
      </c>
      <c r="AB139" s="2">
        <f>IF(AQ139="1",BH139,0)</f>
        <v>0</v>
      </c>
      <c r="AC139" s="2">
        <f>IF(AQ139="1",BI139,0)</f>
        <v>0</v>
      </c>
      <c r="AD139" s="2">
        <f>IF(AQ139="7",BH139,0)</f>
        <v>0</v>
      </c>
      <c r="AE139" s="2">
        <f>IF(AQ139="7",BI139,0)</f>
        <v>0</v>
      </c>
      <c r="AF139" s="2">
        <f>IF(AQ139="2",BH139,0)</f>
        <v>0</v>
      </c>
      <c r="AG139" s="2">
        <f>IF(AQ139="2",BI139,0)</f>
        <v>0</v>
      </c>
      <c r="AH139" s="2">
        <f>IF(AQ139="0",BJ139,0)</f>
        <v>0</v>
      </c>
      <c r="AI139" s="33" t="s">
        <v>299</v>
      </c>
      <c r="AJ139" s="46">
        <f>IF(AN139=0,L139,0)</f>
        <v>0</v>
      </c>
      <c r="AK139" s="46">
        <f>IF(AN139=15,L139,0)</f>
        <v>0</v>
      </c>
      <c r="AL139" s="46">
        <f>IF(AN139=21,L139,0)</f>
        <v>0</v>
      </c>
      <c r="AN139" s="2">
        <v>21</v>
      </c>
      <c r="AO139" s="2">
        <f>I139*1</f>
        <v>0</v>
      </c>
      <c r="AP139" s="2">
        <f>I139*(1-1)</f>
        <v>0</v>
      </c>
      <c r="AQ139" s="27" t="s">
        <v>432</v>
      </c>
      <c r="AV139" s="2">
        <f>AW139+AX139</f>
        <v>0</v>
      </c>
      <c r="AW139" s="2">
        <f>H139*AO139</f>
        <v>0</v>
      </c>
      <c r="AX139" s="2">
        <f>H139*AP139</f>
        <v>0</v>
      </c>
      <c r="AY139" s="44" t="s">
        <v>350</v>
      </c>
      <c r="AZ139" s="44" t="s">
        <v>32</v>
      </c>
      <c r="BA139" s="33" t="s">
        <v>329</v>
      </c>
      <c r="BC139" s="2">
        <f>AW139+AX139</f>
        <v>0</v>
      </c>
      <c r="BD139" s="2">
        <f>I139/(100-BE139)*100</f>
        <v>0</v>
      </c>
      <c r="BE139" s="2">
        <v>0</v>
      </c>
      <c r="BF139" s="2">
        <f>144</f>
        <v>144</v>
      </c>
      <c r="BH139" s="46">
        <f>H139*AO139</f>
        <v>0</v>
      </c>
      <c r="BI139" s="46">
        <f>H139*AP139</f>
        <v>0</v>
      </c>
      <c r="BJ139" s="46">
        <f>H139*I139</f>
        <v>0</v>
      </c>
      <c r="BK139" s="46"/>
      <c r="BL139" s="2">
        <v>728</v>
      </c>
    </row>
    <row r="140" spans="1:64" ht="15" customHeight="1" x14ac:dyDescent="0.3">
      <c r="A140" s="47"/>
      <c r="B140" s="23"/>
      <c r="C140" s="1" t="s">
        <v>269</v>
      </c>
      <c r="F140" s="1" t="s">
        <v>299</v>
      </c>
      <c r="G140" s="23"/>
      <c r="H140" s="4">
        <v>7.0000000000000009</v>
      </c>
      <c r="I140" s="23"/>
      <c r="J140" s="23"/>
      <c r="K140" s="23"/>
      <c r="L140" s="23"/>
      <c r="M140" s="38"/>
    </row>
    <row r="141" spans="1:64" ht="15" customHeight="1" x14ac:dyDescent="0.3">
      <c r="A141" s="11" t="s">
        <v>477</v>
      </c>
      <c r="B141" s="8" t="s">
        <v>332</v>
      </c>
      <c r="C141" s="51" t="s">
        <v>241</v>
      </c>
      <c r="D141" s="50"/>
      <c r="E141" s="50"/>
      <c r="F141" s="51"/>
      <c r="G141" s="8" t="s">
        <v>111</v>
      </c>
      <c r="H141" s="24">
        <v>4</v>
      </c>
      <c r="I141" s="24"/>
      <c r="J141" s="24">
        <f>H141*AO141</f>
        <v>0</v>
      </c>
      <c r="K141" s="24">
        <f>H141*AP141</f>
        <v>0</v>
      </c>
      <c r="L141" s="24">
        <f>H141*I141</f>
        <v>0</v>
      </c>
      <c r="M141" s="28" t="s">
        <v>365</v>
      </c>
      <c r="Z141" s="2">
        <f>IF(AQ141="5",BJ141,0)</f>
        <v>0</v>
      </c>
      <c r="AB141" s="2">
        <f>IF(AQ141="1",BH141,0)</f>
        <v>0</v>
      </c>
      <c r="AC141" s="2">
        <f>IF(AQ141="1",BI141,0)</f>
        <v>0</v>
      </c>
      <c r="AD141" s="2">
        <f>IF(AQ141="7",BH141,0)</f>
        <v>0</v>
      </c>
      <c r="AE141" s="2">
        <f>IF(AQ141="7",BI141,0)</f>
        <v>0</v>
      </c>
      <c r="AF141" s="2">
        <f>IF(AQ141="2",BH141,0)</f>
        <v>0</v>
      </c>
      <c r="AG141" s="2">
        <f>IF(AQ141="2",BI141,0)</f>
        <v>0</v>
      </c>
      <c r="AH141" s="2">
        <f>IF(AQ141="0",BJ141,0)</f>
        <v>0</v>
      </c>
      <c r="AI141" s="33" t="s">
        <v>299</v>
      </c>
      <c r="AJ141" s="2">
        <f>IF(AN141=0,L141,0)</f>
        <v>0</v>
      </c>
      <c r="AK141" s="2">
        <f>IF(AN141=15,L141,0)</f>
        <v>0</v>
      </c>
      <c r="AL141" s="2">
        <f>IF(AN141=21,L141,0)</f>
        <v>0</v>
      </c>
      <c r="AN141" s="2">
        <v>21</v>
      </c>
      <c r="AO141" s="2">
        <f>I141*0</f>
        <v>0</v>
      </c>
      <c r="AP141" s="2">
        <f>I141*(1-0)</f>
        <v>0</v>
      </c>
      <c r="AQ141" s="44" t="s">
        <v>432</v>
      </c>
      <c r="AV141" s="2">
        <f>AW141+AX141</f>
        <v>0</v>
      </c>
      <c r="AW141" s="2">
        <f>H141*AO141</f>
        <v>0</v>
      </c>
      <c r="AX141" s="2">
        <f>H141*AP141</f>
        <v>0</v>
      </c>
      <c r="AY141" s="44" t="s">
        <v>350</v>
      </c>
      <c r="AZ141" s="44" t="s">
        <v>32</v>
      </c>
      <c r="BA141" s="33" t="s">
        <v>329</v>
      </c>
      <c r="BC141" s="2">
        <f>AW141+AX141</f>
        <v>0</v>
      </c>
      <c r="BD141" s="2">
        <f>I141/(100-BE141)*100</f>
        <v>0</v>
      </c>
      <c r="BE141" s="2">
        <v>0</v>
      </c>
      <c r="BF141" s="2">
        <f>146</f>
        <v>146</v>
      </c>
      <c r="BH141" s="2">
        <f>H141*AO141</f>
        <v>0</v>
      </c>
      <c r="BI141" s="2">
        <f>H141*AP141</f>
        <v>0</v>
      </c>
      <c r="BJ141" s="2">
        <f>H141*I141</f>
        <v>0</v>
      </c>
      <c r="BK141" s="2"/>
      <c r="BL141" s="2">
        <v>728</v>
      </c>
    </row>
    <row r="142" spans="1:64" ht="15" customHeight="1" x14ac:dyDescent="0.3">
      <c r="A142" s="47"/>
      <c r="B142" s="23"/>
      <c r="C142" s="1" t="s">
        <v>56</v>
      </c>
      <c r="F142" s="1" t="s">
        <v>299</v>
      </c>
      <c r="G142" s="23"/>
      <c r="H142" s="4">
        <v>4</v>
      </c>
      <c r="I142" s="23"/>
      <c r="J142" s="23"/>
      <c r="K142" s="23"/>
      <c r="L142" s="23"/>
      <c r="M142" s="38"/>
    </row>
    <row r="143" spans="1:64" ht="15" customHeight="1" x14ac:dyDescent="0.3">
      <c r="A143" s="17" t="s">
        <v>446</v>
      </c>
      <c r="B143" s="13" t="s">
        <v>86</v>
      </c>
      <c r="C143" s="54" t="s">
        <v>383</v>
      </c>
      <c r="D143" s="53"/>
      <c r="E143" s="53"/>
      <c r="F143" s="54"/>
      <c r="G143" s="13" t="s">
        <v>111</v>
      </c>
      <c r="H143" s="43">
        <v>4</v>
      </c>
      <c r="I143" s="43"/>
      <c r="J143" s="43">
        <f>H143*AO143</f>
        <v>0</v>
      </c>
      <c r="K143" s="43">
        <f>H143*AP143</f>
        <v>0</v>
      </c>
      <c r="L143" s="43">
        <f>H143*I143</f>
        <v>0</v>
      </c>
      <c r="M143" s="35" t="s">
        <v>365</v>
      </c>
      <c r="Z143" s="2">
        <f>IF(AQ143="5",BJ143,0)</f>
        <v>0</v>
      </c>
      <c r="AB143" s="2">
        <f>IF(AQ143="1",BH143,0)</f>
        <v>0</v>
      </c>
      <c r="AC143" s="2">
        <f>IF(AQ143="1",BI143,0)</f>
        <v>0</v>
      </c>
      <c r="AD143" s="2">
        <f>IF(AQ143="7",BH143,0)</f>
        <v>0</v>
      </c>
      <c r="AE143" s="2">
        <f>IF(AQ143="7",BI143,0)</f>
        <v>0</v>
      </c>
      <c r="AF143" s="2">
        <f>IF(AQ143="2",BH143,0)</f>
        <v>0</v>
      </c>
      <c r="AG143" s="2">
        <f>IF(AQ143="2",BI143,0)</f>
        <v>0</v>
      </c>
      <c r="AH143" s="2">
        <f>IF(AQ143="0",BJ143,0)</f>
        <v>0</v>
      </c>
      <c r="AI143" s="33" t="s">
        <v>299</v>
      </c>
      <c r="AJ143" s="46">
        <f>IF(AN143=0,L143,0)</f>
        <v>0</v>
      </c>
      <c r="AK143" s="46">
        <f>IF(AN143=15,L143,0)</f>
        <v>0</v>
      </c>
      <c r="AL143" s="46">
        <f>IF(AN143=21,L143,0)</f>
        <v>0</v>
      </c>
      <c r="AN143" s="2">
        <v>21</v>
      </c>
      <c r="AO143" s="2">
        <f>I143*1</f>
        <v>0</v>
      </c>
      <c r="AP143" s="2">
        <f>I143*(1-1)</f>
        <v>0</v>
      </c>
      <c r="AQ143" s="27" t="s">
        <v>432</v>
      </c>
      <c r="AV143" s="2">
        <f>AW143+AX143</f>
        <v>0</v>
      </c>
      <c r="AW143" s="2">
        <f>H143*AO143</f>
        <v>0</v>
      </c>
      <c r="AX143" s="2">
        <f>H143*AP143</f>
        <v>0</v>
      </c>
      <c r="AY143" s="44" t="s">
        <v>350</v>
      </c>
      <c r="AZ143" s="44" t="s">
        <v>32</v>
      </c>
      <c r="BA143" s="33" t="s">
        <v>329</v>
      </c>
      <c r="BC143" s="2">
        <f>AW143+AX143</f>
        <v>0</v>
      </c>
      <c r="BD143" s="2">
        <f>I143/(100-BE143)*100</f>
        <v>0</v>
      </c>
      <c r="BE143" s="2">
        <v>0</v>
      </c>
      <c r="BF143" s="2">
        <f>148</f>
        <v>148</v>
      </c>
      <c r="BH143" s="46">
        <f>H143*AO143</f>
        <v>0</v>
      </c>
      <c r="BI143" s="46">
        <f>H143*AP143</f>
        <v>0</v>
      </c>
      <c r="BJ143" s="46">
        <f>H143*I143</f>
        <v>0</v>
      </c>
      <c r="BK143" s="46"/>
      <c r="BL143" s="2">
        <v>728</v>
      </c>
    </row>
    <row r="144" spans="1:64" ht="15" customHeight="1" x14ac:dyDescent="0.3">
      <c r="A144" s="47"/>
      <c r="B144" s="23"/>
      <c r="C144" s="1" t="s">
        <v>56</v>
      </c>
      <c r="F144" s="1" t="s">
        <v>299</v>
      </c>
      <c r="G144" s="23"/>
      <c r="H144" s="4">
        <v>4</v>
      </c>
      <c r="I144" s="23"/>
      <c r="J144" s="23"/>
      <c r="K144" s="23"/>
      <c r="L144" s="23"/>
      <c r="M144" s="38"/>
    </row>
    <row r="145" spans="1:64" ht="15" customHeight="1" x14ac:dyDescent="0.3">
      <c r="A145" s="11" t="s">
        <v>3</v>
      </c>
      <c r="B145" s="8" t="s">
        <v>377</v>
      </c>
      <c r="C145" s="51" t="s">
        <v>0</v>
      </c>
      <c r="D145" s="50"/>
      <c r="E145" s="50"/>
      <c r="F145" s="51"/>
      <c r="G145" s="8" t="s">
        <v>111</v>
      </c>
      <c r="H145" s="24">
        <v>1</v>
      </c>
      <c r="I145" s="24"/>
      <c r="J145" s="24">
        <f>H145*AO145</f>
        <v>0</v>
      </c>
      <c r="K145" s="24">
        <f>H145*AP145</f>
        <v>0</v>
      </c>
      <c r="L145" s="24">
        <f>H145*I145</f>
        <v>0</v>
      </c>
      <c r="M145" s="28" t="s">
        <v>365</v>
      </c>
      <c r="Z145" s="2">
        <f>IF(AQ145="5",BJ145,0)</f>
        <v>0</v>
      </c>
      <c r="AB145" s="2">
        <f>IF(AQ145="1",BH145,0)</f>
        <v>0</v>
      </c>
      <c r="AC145" s="2">
        <f>IF(AQ145="1",BI145,0)</f>
        <v>0</v>
      </c>
      <c r="AD145" s="2">
        <f>IF(AQ145="7",BH145,0)</f>
        <v>0</v>
      </c>
      <c r="AE145" s="2">
        <f>IF(AQ145="7",BI145,0)</f>
        <v>0</v>
      </c>
      <c r="AF145" s="2">
        <f>IF(AQ145="2",BH145,0)</f>
        <v>0</v>
      </c>
      <c r="AG145" s="2">
        <f>IF(AQ145="2",BI145,0)</f>
        <v>0</v>
      </c>
      <c r="AH145" s="2">
        <f>IF(AQ145="0",BJ145,0)</f>
        <v>0</v>
      </c>
      <c r="AI145" s="33" t="s">
        <v>299</v>
      </c>
      <c r="AJ145" s="2">
        <f>IF(AN145=0,L145,0)</f>
        <v>0</v>
      </c>
      <c r="AK145" s="2">
        <f>IF(AN145=15,L145,0)</f>
        <v>0</v>
      </c>
      <c r="AL145" s="2">
        <f>IF(AN145=21,L145,0)</f>
        <v>0</v>
      </c>
      <c r="AN145" s="2">
        <v>21</v>
      </c>
      <c r="AO145" s="2">
        <f>I145*0</f>
        <v>0</v>
      </c>
      <c r="AP145" s="2">
        <f>I145*(1-0)</f>
        <v>0</v>
      </c>
      <c r="AQ145" s="44" t="s">
        <v>432</v>
      </c>
      <c r="AV145" s="2">
        <f>AW145+AX145</f>
        <v>0</v>
      </c>
      <c r="AW145" s="2">
        <f>H145*AO145</f>
        <v>0</v>
      </c>
      <c r="AX145" s="2">
        <f>H145*AP145</f>
        <v>0</v>
      </c>
      <c r="AY145" s="44" t="s">
        <v>350</v>
      </c>
      <c r="AZ145" s="44" t="s">
        <v>32</v>
      </c>
      <c r="BA145" s="33" t="s">
        <v>329</v>
      </c>
      <c r="BC145" s="2">
        <f>AW145+AX145</f>
        <v>0</v>
      </c>
      <c r="BD145" s="2">
        <f>I145/(100-BE145)*100</f>
        <v>0</v>
      </c>
      <c r="BE145" s="2">
        <v>0</v>
      </c>
      <c r="BF145" s="2">
        <f>150</f>
        <v>150</v>
      </c>
      <c r="BH145" s="2">
        <f>H145*AO145</f>
        <v>0</v>
      </c>
      <c r="BI145" s="2">
        <f>H145*AP145</f>
        <v>0</v>
      </c>
      <c r="BJ145" s="2">
        <f>H145*I145</f>
        <v>0</v>
      </c>
      <c r="BK145" s="2"/>
      <c r="BL145" s="2">
        <v>728</v>
      </c>
    </row>
    <row r="146" spans="1:64" ht="15" customHeight="1" x14ac:dyDescent="0.3">
      <c r="A146" s="47"/>
      <c r="B146" s="23"/>
      <c r="C146" s="1" t="s">
        <v>429</v>
      </c>
      <c r="F146" s="1" t="s">
        <v>299</v>
      </c>
      <c r="G146" s="23"/>
      <c r="H146" s="4">
        <v>1</v>
      </c>
      <c r="I146" s="23"/>
      <c r="J146" s="23"/>
      <c r="K146" s="23"/>
      <c r="L146" s="23"/>
      <c r="M146" s="38"/>
    </row>
    <row r="147" spans="1:64" ht="15" customHeight="1" x14ac:dyDescent="0.3">
      <c r="A147" s="17" t="s">
        <v>76</v>
      </c>
      <c r="B147" s="13" t="s">
        <v>386</v>
      </c>
      <c r="C147" s="54" t="s">
        <v>66</v>
      </c>
      <c r="D147" s="53"/>
      <c r="E147" s="53"/>
      <c r="F147" s="54"/>
      <c r="G147" s="13" t="s">
        <v>302</v>
      </c>
      <c r="H147" s="43">
        <v>1</v>
      </c>
      <c r="I147" s="43"/>
      <c r="J147" s="43">
        <f>H147*AO147</f>
        <v>0</v>
      </c>
      <c r="K147" s="43">
        <f>H147*AP147</f>
        <v>0</v>
      </c>
      <c r="L147" s="43">
        <f>H147*I147</f>
        <v>0</v>
      </c>
      <c r="M147" s="35" t="s">
        <v>365</v>
      </c>
      <c r="Z147" s="2">
        <f>IF(AQ147="5",BJ147,0)</f>
        <v>0</v>
      </c>
      <c r="AB147" s="2">
        <f>IF(AQ147="1",BH147,0)</f>
        <v>0</v>
      </c>
      <c r="AC147" s="2">
        <f>IF(AQ147="1",BI147,0)</f>
        <v>0</v>
      </c>
      <c r="AD147" s="2">
        <f>IF(AQ147="7",BH147,0)</f>
        <v>0</v>
      </c>
      <c r="AE147" s="2">
        <f>IF(AQ147="7",BI147,0)</f>
        <v>0</v>
      </c>
      <c r="AF147" s="2">
        <f>IF(AQ147="2",BH147,0)</f>
        <v>0</v>
      </c>
      <c r="AG147" s="2">
        <f>IF(AQ147="2",BI147,0)</f>
        <v>0</v>
      </c>
      <c r="AH147" s="2">
        <f>IF(AQ147="0",BJ147,0)</f>
        <v>0</v>
      </c>
      <c r="AI147" s="33" t="s">
        <v>299</v>
      </c>
      <c r="AJ147" s="46">
        <f>IF(AN147=0,L147,0)</f>
        <v>0</v>
      </c>
      <c r="AK147" s="46">
        <f>IF(AN147=15,L147,0)</f>
        <v>0</v>
      </c>
      <c r="AL147" s="46">
        <f>IF(AN147=21,L147,0)</f>
        <v>0</v>
      </c>
      <c r="AN147" s="2">
        <v>21</v>
      </c>
      <c r="AO147" s="2">
        <f>I147*1</f>
        <v>0</v>
      </c>
      <c r="AP147" s="2">
        <f>I147*(1-1)</f>
        <v>0</v>
      </c>
      <c r="AQ147" s="27" t="s">
        <v>432</v>
      </c>
      <c r="AV147" s="2">
        <f>AW147+AX147</f>
        <v>0</v>
      </c>
      <c r="AW147" s="2">
        <f>H147*AO147</f>
        <v>0</v>
      </c>
      <c r="AX147" s="2">
        <f>H147*AP147</f>
        <v>0</v>
      </c>
      <c r="AY147" s="44" t="s">
        <v>350</v>
      </c>
      <c r="AZ147" s="44" t="s">
        <v>32</v>
      </c>
      <c r="BA147" s="33" t="s">
        <v>329</v>
      </c>
      <c r="BC147" s="2">
        <f>AW147+AX147</f>
        <v>0</v>
      </c>
      <c r="BD147" s="2">
        <f>I147/(100-BE147)*100</f>
        <v>0</v>
      </c>
      <c r="BE147" s="2">
        <v>0</v>
      </c>
      <c r="BF147" s="2">
        <f>152</f>
        <v>152</v>
      </c>
      <c r="BH147" s="46">
        <f>H147*AO147</f>
        <v>0</v>
      </c>
      <c r="BI147" s="46">
        <f>H147*AP147</f>
        <v>0</v>
      </c>
      <c r="BJ147" s="46">
        <f>H147*I147</f>
        <v>0</v>
      </c>
      <c r="BK147" s="46"/>
      <c r="BL147" s="2">
        <v>728</v>
      </c>
    </row>
    <row r="148" spans="1:64" ht="15" customHeight="1" x14ac:dyDescent="0.3">
      <c r="A148" s="47"/>
      <c r="B148" s="23"/>
      <c r="C148" s="1" t="s">
        <v>429</v>
      </c>
      <c r="F148" s="1" t="s">
        <v>299</v>
      </c>
      <c r="G148" s="23"/>
      <c r="H148" s="4">
        <v>1</v>
      </c>
      <c r="I148" s="23"/>
      <c r="J148" s="23"/>
      <c r="K148" s="23"/>
      <c r="L148" s="23"/>
      <c r="M148" s="38"/>
    </row>
    <row r="149" spans="1:64" ht="15" customHeight="1" x14ac:dyDescent="0.3">
      <c r="A149" s="11" t="s">
        <v>92</v>
      </c>
      <c r="B149" s="8" t="s">
        <v>213</v>
      </c>
      <c r="C149" s="51" t="s">
        <v>149</v>
      </c>
      <c r="D149" s="50"/>
      <c r="E149" s="50"/>
      <c r="F149" s="51"/>
      <c r="G149" s="8" t="s">
        <v>111</v>
      </c>
      <c r="H149" s="24">
        <v>7</v>
      </c>
      <c r="I149" s="24"/>
      <c r="J149" s="24">
        <f>H149*AO149</f>
        <v>0</v>
      </c>
      <c r="K149" s="24">
        <f>H149*AP149</f>
        <v>0</v>
      </c>
      <c r="L149" s="24">
        <f>H149*I149</f>
        <v>0</v>
      </c>
      <c r="M149" s="28" t="s">
        <v>365</v>
      </c>
      <c r="Z149" s="2">
        <f>IF(AQ149="5",BJ149,0)</f>
        <v>0</v>
      </c>
      <c r="AB149" s="2">
        <f>IF(AQ149="1",BH149,0)</f>
        <v>0</v>
      </c>
      <c r="AC149" s="2">
        <f>IF(AQ149="1",BI149,0)</f>
        <v>0</v>
      </c>
      <c r="AD149" s="2">
        <f>IF(AQ149="7",BH149,0)</f>
        <v>0</v>
      </c>
      <c r="AE149" s="2">
        <f>IF(AQ149="7",BI149,0)</f>
        <v>0</v>
      </c>
      <c r="AF149" s="2">
        <f>IF(AQ149="2",BH149,0)</f>
        <v>0</v>
      </c>
      <c r="AG149" s="2">
        <f>IF(AQ149="2",BI149,0)</f>
        <v>0</v>
      </c>
      <c r="AH149" s="2">
        <f>IF(AQ149="0",BJ149,0)</f>
        <v>0</v>
      </c>
      <c r="AI149" s="33" t="s">
        <v>299</v>
      </c>
      <c r="AJ149" s="2">
        <f>IF(AN149=0,L149,0)</f>
        <v>0</v>
      </c>
      <c r="AK149" s="2">
        <f>IF(AN149=15,L149,0)</f>
        <v>0</v>
      </c>
      <c r="AL149" s="2">
        <f>IF(AN149=21,L149,0)</f>
        <v>0</v>
      </c>
      <c r="AN149" s="2">
        <v>21</v>
      </c>
      <c r="AO149" s="2">
        <f>I149*0</f>
        <v>0</v>
      </c>
      <c r="AP149" s="2">
        <f>I149*(1-0)</f>
        <v>0</v>
      </c>
      <c r="AQ149" s="44" t="s">
        <v>432</v>
      </c>
      <c r="AV149" s="2">
        <f>AW149+AX149</f>
        <v>0</v>
      </c>
      <c r="AW149" s="2">
        <f>H149*AO149</f>
        <v>0</v>
      </c>
      <c r="AX149" s="2">
        <f>H149*AP149</f>
        <v>0</v>
      </c>
      <c r="AY149" s="44" t="s">
        <v>350</v>
      </c>
      <c r="AZ149" s="44" t="s">
        <v>32</v>
      </c>
      <c r="BA149" s="33" t="s">
        <v>329</v>
      </c>
      <c r="BC149" s="2">
        <f>AW149+AX149</f>
        <v>0</v>
      </c>
      <c r="BD149" s="2">
        <f>I149/(100-BE149)*100</f>
        <v>0</v>
      </c>
      <c r="BE149" s="2">
        <v>0</v>
      </c>
      <c r="BF149" s="2">
        <f>154</f>
        <v>154</v>
      </c>
      <c r="BH149" s="2">
        <f>H149*AO149</f>
        <v>0</v>
      </c>
      <c r="BI149" s="2">
        <f>H149*AP149</f>
        <v>0</v>
      </c>
      <c r="BJ149" s="2">
        <f>H149*I149</f>
        <v>0</v>
      </c>
      <c r="BK149" s="2"/>
      <c r="BL149" s="2">
        <v>728</v>
      </c>
    </row>
    <row r="150" spans="1:64" ht="15" customHeight="1" x14ac:dyDescent="0.3">
      <c r="A150" s="47"/>
      <c r="B150" s="23"/>
      <c r="C150" s="1" t="s">
        <v>483</v>
      </c>
      <c r="F150" s="1" t="s">
        <v>299</v>
      </c>
      <c r="G150" s="23"/>
      <c r="H150" s="4">
        <v>7.0000000000000009</v>
      </c>
      <c r="I150" s="23"/>
      <c r="J150" s="23"/>
      <c r="K150" s="23"/>
      <c r="L150" s="23"/>
      <c r="M150" s="38"/>
    </row>
    <row r="151" spans="1:64" ht="15" customHeight="1" x14ac:dyDescent="0.3">
      <c r="A151" s="17" t="s">
        <v>339</v>
      </c>
      <c r="B151" s="13" t="s">
        <v>209</v>
      </c>
      <c r="C151" s="54" t="s">
        <v>106</v>
      </c>
      <c r="D151" s="53"/>
      <c r="E151" s="53"/>
      <c r="F151" s="54"/>
      <c r="G151" s="13" t="s">
        <v>111</v>
      </c>
      <c r="H151" s="43">
        <v>7</v>
      </c>
      <c r="I151" s="43"/>
      <c r="J151" s="43">
        <f>H151*AO151</f>
        <v>0</v>
      </c>
      <c r="K151" s="43">
        <f>H151*AP151</f>
        <v>0</v>
      </c>
      <c r="L151" s="43">
        <f>H151*I151</f>
        <v>0</v>
      </c>
      <c r="M151" s="35" t="s">
        <v>365</v>
      </c>
      <c r="Z151" s="2">
        <f>IF(AQ151="5",BJ151,0)</f>
        <v>0</v>
      </c>
      <c r="AB151" s="2">
        <f>IF(AQ151="1",BH151,0)</f>
        <v>0</v>
      </c>
      <c r="AC151" s="2">
        <f>IF(AQ151="1",BI151,0)</f>
        <v>0</v>
      </c>
      <c r="AD151" s="2">
        <f>IF(AQ151="7",BH151,0)</f>
        <v>0</v>
      </c>
      <c r="AE151" s="2">
        <f>IF(AQ151="7",BI151,0)</f>
        <v>0</v>
      </c>
      <c r="AF151" s="2">
        <f>IF(AQ151="2",BH151,0)</f>
        <v>0</v>
      </c>
      <c r="AG151" s="2">
        <f>IF(AQ151="2",BI151,0)</f>
        <v>0</v>
      </c>
      <c r="AH151" s="2">
        <f>IF(AQ151="0",BJ151,0)</f>
        <v>0</v>
      </c>
      <c r="AI151" s="33" t="s">
        <v>299</v>
      </c>
      <c r="AJ151" s="46">
        <f>IF(AN151=0,L151,0)</f>
        <v>0</v>
      </c>
      <c r="AK151" s="46">
        <f>IF(AN151=15,L151,0)</f>
        <v>0</v>
      </c>
      <c r="AL151" s="46">
        <f>IF(AN151=21,L151,0)</f>
        <v>0</v>
      </c>
      <c r="AN151" s="2">
        <v>21</v>
      </c>
      <c r="AO151" s="2">
        <f>I151*1</f>
        <v>0</v>
      </c>
      <c r="AP151" s="2">
        <f>I151*(1-1)</f>
        <v>0</v>
      </c>
      <c r="AQ151" s="27" t="s">
        <v>432</v>
      </c>
      <c r="AV151" s="2">
        <f>AW151+AX151</f>
        <v>0</v>
      </c>
      <c r="AW151" s="2">
        <f>H151*AO151</f>
        <v>0</v>
      </c>
      <c r="AX151" s="2">
        <f>H151*AP151</f>
        <v>0</v>
      </c>
      <c r="AY151" s="44" t="s">
        <v>350</v>
      </c>
      <c r="AZ151" s="44" t="s">
        <v>32</v>
      </c>
      <c r="BA151" s="33" t="s">
        <v>329</v>
      </c>
      <c r="BC151" s="2">
        <f>AW151+AX151</f>
        <v>0</v>
      </c>
      <c r="BD151" s="2">
        <f>I151/(100-BE151)*100</f>
        <v>0</v>
      </c>
      <c r="BE151" s="2">
        <v>0</v>
      </c>
      <c r="BF151" s="2">
        <f>156</f>
        <v>156</v>
      </c>
      <c r="BH151" s="46">
        <f>H151*AO151</f>
        <v>0</v>
      </c>
      <c r="BI151" s="46">
        <f>H151*AP151</f>
        <v>0</v>
      </c>
      <c r="BJ151" s="46">
        <f>H151*I151</f>
        <v>0</v>
      </c>
      <c r="BK151" s="46"/>
      <c r="BL151" s="2">
        <v>728</v>
      </c>
    </row>
    <row r="152" spans="1:64" ht="15" customHeight="1" x14ac:dyDescent="0.3">
      <c r="A152" s="47"/>
      <c r="B152" s="23"/>
      <c r="C152" s="1" t="s">
        <v>483</v>
      </c>
      <c r="F152" s="1" t="s">
        <v>299</v>
      </c>
      <c r="G152" s="23"/>
      <c r="H152" s="4">
        <v>7.0000000000000009</v>
      </c>
      <c r="I152" s="23"/>
      <c r="J152" s="23"/>
      <c r="K152" s="23"/>
      <c r="L152" s="23"/>
      <c r="M152" s="38"/>
    </row>
    <row r="153" spans="1:64" ht="15" customHeight="1" x14ac:dyDescent="0.3">
      <c r="A153" s="11" t="s">
        <v>44</v>
      </c>
      <c r="B153" s="8" t="s">
        <v>404</v>
      </c>
      <c r="C153" s="51" t="s">
        <v>168</v>
      </c>
      <c r="D153" s="50"/>
      <c r="E153" s="50"/>
      <c r="F153" s="51"/>
      <c r="G153" s="8" t="s">
        <v>361</v>
      </c>
      <c r="H153" s="24">
        <v>2</v>
      </c>
      <c r="I153" s="24"/>
      <c r="J153" s="24">
        <f>H153*AO153</f>
        <v>0</v>
      </c>
      <c r="K153" s="24">
        <f>H153*AP153</f>
        <v>0</v>
      </c>
      <c r="L153" s="24">
        <f>H153*I153</f>
        <v>0</v>
      </c>
      <c r="M153" s="28" t="s">
        <v>365</v>
      </c>
      <c r="Z153" s="2">
        <f>IF(AQ153="5",BJ153,0)</f>
        <v>0</v>
      </c>
      <c r="AB153" s="2">
        <f>IF(AQ153="1",BH153,0)</f>
        <v>0</v>
      </c>
      <c r="AC153" s="2">
        <f>IF(AQ153="1",BI153,0)</f>
        <v>0</v>
      </c>
      <c r="AD153" s="2">
        <f>IF(AQ153="7",BH153,0)</f>
        <v>0</v>
      </c>
      <c r="AE153" s="2">
        <f>IF(AQ153="7",BI153,0)</f>
        <v>0</v>
      </c>
      <c r="AF153" s="2">
        <f>IF(AQ153="2",BH153,0)</f>
        <v>0</v>
      </c>
      <c r="AG153" s="2">
        <f>IF(AQ153="2",BI153,0)</f>
        <v>0</v>
      </c>
      <c r="AH153" s="2">
        <f>IF(AQ153="0",BJ153,0)</f>
        <v>0</v>
      </c>
      <c r="AI153" s="33" t="s">
        <v>299</v>
      </c>
      <c r="AJ153" s="2">
        <f>IF(AN153=0,L153,0)</f>
        <v>0</v>
      </c>
      <c r="AK153" s="2">
        <f>IF(AN153=15,L153,0)</f>
        <v>0</v>
      </c>
      <c r="AL153" s="2">
        <f>IF(AN153=21,L153,0)</f>
        <v>0</v>
      </c>
      <c r="AN153" s="2">
        <v>21</v>
      </c>
      <c r="AO153" s="2">
        <f>I153*0</f>
        <v>0</v>
      </c>
      <c r="AP153" s="2">
        <f>I153*(1-0)</f>
        <v>0</v>
      </c>
      <c r="AQ153" s="44" t="s">
        <v>432</v>
      </c>
      <c r="AV153" s="2">
        <f>AW153+AX153</f>
        <v>0</v>
      </c>
      <c r="AW153" s="2">
        <f>H153*AO153</f>
        <v>0</v>
      </c>
      <c r="AX153" s="2">
        <f>H153*AP153</f>
        <v>0</v>
      </c>
      <c r="AY153" s="44" t="s">
        <v>350</v>
      </c>
      <c r="AZ153" s="44" t="s">
        <v>32</v>
      </c>
      <c r="BA153" s="33" t="s">
        <v>329</v>
      </c>
      <c r="BC153" s="2">
        <f>AW153+AX153</f>
        <v>0</v>
      </c>
      <c r="BD153" s="2">
        <f>I153/(100-BE153)*100</f>
        <v>0</v>
      </c>
      <c r="BE153" s="2">
        <v>0</v>
      </c>
      <c r="BF153" s="2">
        <f>158</f>
        <v>158</v>
      </c>
      <c r="BH153" s="2">
        <f>H153*AO153</f>
        <v>0</v>
      </c>
      <c r="BI153" s="2">
        <f>H153*AP153</f>
        <v>0</v>
      </c>
      <c r="BJ153" s="2">
        <f>H153*I153</f>
        <v>0</v>
      </c>
      <c r="BK153" s="2"/>
      <c r="BL153" s="2">
        <v>728</v>
      </c>
    </row>
    <row r="154" spans="1:64" ht="15" customHeight="1" x14ac:dyDescent="0.3">
      <c r="A154" s="47"/>
      <c r="B154" s="23"/>
      <c r="C154" s="1" t="s">
        <v>297</v>
      </c>
      <c r="F154" s="1" t="s">
        <v>299</v>
      </c>
      <c r="G154" s="23"/>
      <c r="H154" s="4">
        <v>2</v>
      </c>
      <c r="I154" s="23"/>
      <c r="J154" s="23"/>
      <c r="K154" s="23"/>
      <c r="L154" s="23"/>
      <c r="M154" s="38"/>
    </row>
    <row r="155" spans="1:64" ht="15" customHeight="1" x14ac:dyDescent="0.3">
      <c r="A155" s="17" t="s">
        <v>335</v>
      </c>
      <c r="B155" s="13" t="s">
        <v>102</v>
      </c>
      <c r="C155" s="54" t="s">
        <v>69</v>
      </c>
      <c r="D155" s="53"/>
      <c r="E155" s="53"/>
      <c r="F155" s="54"/>
      <c r="G155" s="13" t="s">
        <v>111</v>
      </c>
      <c r="H155" s="43">
        <v>2</v>
      </c>
      <c r="I155" s="43"/>
      <c r="J155" s="43">
        <f>H155*AO155</f>
        <v>0</v>
      </c>
      <c r="K155" s="43">
        <f>H155*AP155</f>
        <v>0</v>
      </c>
      <c r="L155" s="43">
        <f>H155*I155</f>
        <v>0</v>
      </c>
      <c r="M155" s="35" t="s">
        <v>365</v>
      </c>
      <c r="Z155" s="2">
        <f>IF(AQ155="5",BJ155,0)</f>
        <v>0</v>
      </c>
      <c r="AB155" s="2">
        <f>IF(AQ155="1",BH155,0)</f>
        <v>0</v>
      </c>
      <c r="AC155" s="2">
        <f>IF(AQ155="1",BI155,0)</f>
        <v>0</v>
      </c>
      <c r="AD155" s="2">
        <f>IF(AQ155="7",BH155,0)</f>
        <v>0</v>
      </c>
      <c r="AE155" s="2">
        <f>IF(AQ155="7",BI155,0)</f>
        <v>0</v>
      </c>
      <c r="AF155" s="2">
        <f>IF(AQ155="2",BH155,0)</f>
        <v>0</v>
      </c>
      <c r="AG155" s="2">
        <f>IF(AQ155="2",BI155,0)</f>
        <v>0</v>
      </c>
      <c r="AH155" s="2">
        <f>IF(AQ155="0",BJ155,0)</f>
        <v>0</v>
      </c>
      <c r="AI155" s="33" t="s">
        <v>299</v>
      </c>
      <c r="AJ155" s="46">
        <f>IF(AN155=0,L155,0)</f>
        <v>0</v>
      </c>
      <c r="AK155" s="46">
        <f>IF(AN155=15,L155,0)</f>
        <v>0</v>
      </c>
      <c r="AL155" s="46">
        <f>IF(AN155=21,L155,0)</f>
        <v>0</v>
      </c>
      <c r="AN155" s="2">
        <v>21</v>
      </c>
      <c r="AO155" s="2">
        <f>I155*1</f>
        <v>0</v>
      </c>
      <c r="AP155" s="2">
        <f>I155*(1-1)</f>
        <v>0</v>
      </c>
      <c r="AQ155" s="27" t="s">
        <v>432</v>
      </c>
      <c r="AV155" s="2">
        <f>AW155+AX155</f>
        <v>0</v>
      </c>
      <c r="AW155" s="2">
        <f>H155*AO155</f>
        <v>0</v>
      </c>
      <c r="AX155" s="2">
        <f>H155*AP155</f>
        <v>0</v>
      </c>
      <c r="AY155" s="44" t="s">
        <v>350</v>
      </c>
      <c r="AZ155" s="44" t="s">
        <v>32</v>
      </c>
      <c r="BA155" s="33" t="s">
        <v>329</v>
      </c>
      <c r="BC155" s="2">
        <f>AW155+AX155</f>
        <v>0</v>
      </c>
      <c r="BD155" s="2">
        <f>I155/(100-BE155)*100</f>
        <v>0</v>
      </c>
      <c r="BE155" s="2">
        <v>0</v>
      </c>
      <c r="BF155" s="2">
        <f>160</f>
        <v>160</v>
      </c>
      <c r="BH155" s="46">
        <f>H155*AO155</f>
        <v>0</v>
      </c>
      <c r="BI155" s="46">
        <f>H155*AP155</f>
        <v>0</v>
      </c>
      <c r="BJ155" s="46">
        <f>H155*I155</f>
        <v>0</v>
      </c>
      <c r="BK155" s="46"/>
      <c r="BL155" s="2">
        <v>728</v>
      </c>
    </row>
    <row r="156" spans="1:64" ht="15" customHeight="1" x14ac:dyDescent="0.3">
      <c r="A156" s="47"/>
      <c r="B156" s="23"/>
      <c r="C156" s="1" t="s">
        <v>297</v>
      </c>
      <c r="F156" s="1" t="s">
        <v>299</v>
      </c>
      <c r="G156" s="23"/>
      <c r="H156" s="4">
        <v>2</v>
      </c>
      <c r="I156" s="23"/>
      <c r="J156" s="23"/>
      <c r="K156" s="23"/>
      <c r="L156" s="23"/>
      <c r="M156" s="38"/>
    </row>
    <row r="157" spans="1:64" ht="15" customHeight="1" x14ac:dyDescent="0.3">
      <c r="A157" s="17" t="s">
        <v>265</v>
      </c>
      <c r="B157" s="13" t="s">
        <v>28</v>
      </c>
      <c r="C157" s="54" t="s">
        <v>285</v>
      </c>
      <c r="D157" s="53"/>
      <c r="E157" s="53"/>
      <c r="F157" s="54"/>
      <c r="G157" s="13" t="s">
        <v>111</v>
      </c>
      <c r="H157" s="43">
        <v>1</v>
      </c>
      <c r="I157" s="43"/>
      <c r="J157" s="43">
        <f>H157*AO157</f>
        <v>0</v>
      </c>
      <c r="K157" s="43">
        <f>H157*AP157</f>
        <v>0</v>
      </c>
      <c r="L157" s="43">
        <f>H157*I157</f>
        <v>0</v>
      </c>
      <c r="M157" s="35" t="s">
        <v>365</v>
      </c>
      <c r="Z157" s="2">
        <f>IF(AQ157="5",BJ157,0)</f>
        <v>0</v>
      </c>
      <c r="AB157" s="2">
        <f>IF(AQ157="1",BH157,0)</f>
        <v>0</v>
      </c>
      <c r="AC157" s="2">
        <f>IF(AQ157="1",BI157,0)</f>
        <v>0</v>
      </c>
      <c r="AD157" s="2">
        <f>IF(AQ157="7",BH157,0)</f>
        <v>0</v>
      </c>
      <c r="AE157" s="2">
        <f>IF(AQ157="7",BI157,0)</f>
        <v>0</v>
      </c>
      <c r="AF157" s="2">
        <f>IF(AQ157="2",BH157,0)</f>
        <v>0</v>
      </c>
      <c r="AG157" s="2">
        <f>IF(AQ157="2",BI157,0)</f>
        <v>0</v>
      </c>
      <c r="AH157" s="2">
        <f>IF(AQ157="0",BJ157,0)</f>
        <v>0</v>
      </c>
      <c r="AI157" s="33" t="s">
        <v>299</v>
      </c>
      <c r="AJ157" s="46">
        <f>IF(AN157=0,L157,0)</f>
        <v>0</v>
      </c>
      <c r="AK157" s="46">
        <f>IF(AN157=15,L157,0)</f>
        <v>0</v>
      </c>
      <c r="AL157" s="46">
        <f>IF(AN157=21,L157,0)</f>
        <v>0</v>
      </c>
      <c r="AN157" s="2">
        <v>21</v>
      </c>
      <c r="AO157" s="2">
        <f>I157*1</f>
        <v>0</v>
      </c>
      <c r="AP157" s="2">
        <f>I157*(1-1)</f>
        <v>0</v>
      </c>
      <c r="AQ157" s="27" t="s">
        <v>432</v>
      </c>
      <c r="AV157" s="2">
        <f>AW157+AX157</f>
        <v>0</v>
      </c>
      <c r="AW157" s="2">
        <f>H157*AO157</f>
        <v>0</v>
      </c>
      <c r="AX157" s="2">
        <f>H157*AP157</f>
        <v>0</v>
      </c>
      <c r="AY157" s="44" t="s">
        <v>350</v>
      </c>
      <c r="AZ157" s="44" t="s">
        <v>32</v>
      </c>
      <c r="BA157" s="33" t="s">
        <v>329</v>
      </c>
      <c r="BC157" s="2">
        <f>AW157+AX157</f>
        <v>0</v>
      </c>
      <c r="BD157" s="2">
        <f>I157/(100-BE157)*100</f>
        <v>0</v>
      </c>
      <c r="BE157" s="2">
        <v>0</v>
      </c>
      <c r="BF157" s="2">
        <f>162</f>
        <v>162</v>
      </c>
      <c r="BH157" s="46">
        <f>H157*AO157</f>
        <v>0</v>
      </c>
      <c r="BI157" s="46">
        <f>H157*AP157</f>
        <v>0</v>
      </c>
      <c r="BJ157" s="46">
        <f>H157*I157</f>
        <v>0</v>
      </c>
      <c r="BK157" s="46"/>
      <c r="BL157" s="2">
        <v>728</v>
      </c>
    </row>
    <row r="158" spans="1:64" ht="15" customHeight="1" x14ac:dyDescent="0.3">
      <c r="A158" s="47"/>
      <c r="B158" s="23"/>
      <c r="C158" s="1" t="s">
        <v>429</v>
      </c>
      <c r="F158" s="1" t="s">
        <v>299</v>
      </c>
      <c r="G158" s="23"/>
      <c r="H158" s="4">
        <v>1</v>
      </c>
      <c r="I158" s="23"/>
      <c r="J158" s="23"/>
      <c r="K158" s="23"/>
      <c r="L158" s="23"/>
      <c r="M158" s="38"/>
    </row>
    <row r="159" spans="1:64" ht="15" customHeight="1" x14ac:dyDescent="0.3">
      <c r="A159" s="11" t="s">
        <v>436</v>
      </c>
      <c r="B159" s="8" t="s">
        <v>193</v>
      </c>
      <c r="C159" s="51" t="s">
        <v>195</v>
      </c>
      <c r="D159" s="50"/>
      <c r="E159" s="50"/>
      <c r="F159" s="51"/>
      <c r="G159" s="8" t="s">
        <v>111</v>
      </c>
      <c r="H159" s="24">
        <v>12</v>
      </c>
      <c r="I159" s="24"/>
      <c r="J159" s="24">
        <f>H159*AO159</f>
        <v>0</v>
      </c>
      <c r="K159" s="24">
        <f>H159*AP159</f>
        <v>0</v>
      </c>
      <c r="L159" s="24">
        <f>H159*I159</f>
        <v>0</v>
      </c>
      <c r="M159" s="28" t="s">
        <v>365</v>
      </c>
      <c r="Z159" s="2">
        <f>IF(AQ159="5",BJ159,0)</f>
        <v>0</v>
      </c>
      <c r="AB159" s="2">
        <f>IF(AQ159="1",BH159,0)</f>
        <v>0</v>
      </c>
      <c r="AC159" s="2">
        <f>IF(AQ159="1",BI159,0)</f>
        <v>0</v>
      </c>
      <c r="AD159" s="2">
        <f>IF(AQ159="7",BH159,0)</f>
        <v>0</v>
      </c>
      <c r="AE159" s="2">
        <f>IF(AQ159="7",BI159,0)</f>
        <v>0</v>
      </c>
      <c r="AF159" s="2">
        <f>IF(AQ159="2",BH159,0)</f>
        <v>0</v>
      </c>
      <c r="AG159" s="2">
        <f>IF(AQ159="2",BI159,0)</f>
        <v>0</v>
      </c>
      <c r="AH159" s="2">
        <f>IF(AQ159="0",BJ159,0)</f>
        <v>0</v>
      </c>
      <c r="AI159" s="33" t="s">
        <v>299</v>
      </c>
      <c r="AJ159" s="2">
        <f>IF(AN159=0,L159,0)</f>
        <v>0</v>
      </c>
      <c r="AK159" s="2">
        <f>IF(AN159=15,L159,0)</f>
        <v>0</v>
      </c>
      <c r="AL159" s="2">
        <f>IF(AN159=21,L159,0)</f>
        <v>0</v>
      </c>
      <c r="AN159" s="2">
        <v>21</v>
      </c>
      <c r="AO159" s="2">
        <f>I159*0</f>
        <v>0</v>
      </c>
      <c r="AP159" s="2">
        <f>I159*(1-0)</f>
        <v>0</v>
      </c>
      <c r="AQ159" s="44" t="s">
        <v>432</v>
      </c>
      <c r="AV159" s="2">
        <f>AW159+AX159</f>
        <v>0</v>
      </c>
      <c r="AW159" s="2">
        <f>H159*AO159</f>
        <v>0</v>
      </c>
      <c r="AX159" s="2">
        <f>H159*AP159</f>
        <v>0</v>
      </c>
      <c r="AY159" s="44" t="s">
        <v>350</v>
      </c>
      <c r="AZ159" s="44" t="s">
        <v>32</v>
      </c>
      <c r="BA159" s="33" t="s">
        <v>329</v>
      </c>
      <c r="BC159" s="2">
        <f>AW159+AX159</f>
        <v>0</v>
      </c>
      <c r="BD159" s="2">
        <f>I159/(100-BE159)*100</f>
        <v>0</v>
      </c>
      <c r="BE159" s="2">
        <v>0</v>
      </c>
      <c r="BF159" s="2">
        <f>164</f>
        <v>164</v>
      </c>
      <c r="BH159" s="2">
        <f>H159*AO159</f>
        <v>0</v>
      </c>
      <c r="BI159" s="2">
        <f>H159*AP159</f>
        <v>0</v>
      </c>
      <c r="BJ159" s="2">
        <f>H159*I159</f>
        <v>0</v>
      </c>
      <c r="BK159" s="2"/>
      <c r="BL159" s="2">
        <v>728</v>
      </c>
    </row>
    <row r="160" spans="1:64" ht="15" customHeight="1" x14ac:dyDescent="0.3">
      <c r="A160" s="47"/>
      <c r="B160" s="23"/>
      <c r="C160" s="1" t="s">
        <v>257</v>
      </c>
      <c r="F160" s="1" t="s">
        <v>299</v>
      </c>
      <c r="G160" s="23"/>
      <c r="H160" s="4">
        <v>12.000000000000002</v>
      </c>
      <c r="I160" s="23"/>
      <c r="J160" s="23"/>
      <c r="K160" s="23"/>
      <c r="L160" s="23"/>
      <c r="M160" s="38"/>
    </row>
    <row r="161" spans="1:64" ht="15" customHeight="1" x14ac:dyDescent="0.3">
      <c r="A161" s="17" t="s">
        <v>398</v>
      </c>
      <c r="B161" s="13" t="s">
        <v>321</v>
      </c>
      <c r="C161" s="54" t="s">
        <v>262</v>
      </c>
      <c r="D161" s="53"/>
      <c r="E161" s="53"/>
      <c r="F161" s="54"/>
      <c r="G161" s="13" t="s">
        <v>111</v>
      </c>
      <c r="H161" s="43">
        <v>12</v>
      </c>
      <c r="I161" s="43"/>
      <c r="J161" s="43">
        <f>H161*AO161</f>
        <v>0</v>
      </c>
      <c r="K161" s="43">
        <f>H161*AP161</f>
        <v>0</v>
      </c>
      <c r="L161" s="43">
        <f>H161*I161</f>
        <v>0</v>
      </c>
      <c r="M161" s="35" t="s">
        <v>365</v>
      </c>
      <c r="Z161" s="2">
        <f>IF(AQ161="5",BJ161,0)</f>
        <v>0</v>
      </c>
      <c r="AB161" s="2">
        <f>IF(AQ161="1",BH161,0)</f>
        <v>0</v>
      </c>
      <c r="AC161" s="2">
        <f>IF(AQ161="1",BI161,0)</f>
        <v>0</v>
      </c>
      <c r="AD161" s="2">
        <f>IF(AQ161="7",BH161,0)</f>
        <v>0</v>
      </c>
      <c r="AE161" s="2">
        <f>IF(AQ161="7",BI161,0)</f>
        <v>0</v>
      </c>
      <c r="AF161" s="2">
        <f>IF(AQ161="2",BH161,0)</f>
        <v>0</v>
      </c>
      <c r="AG161" s="2">
        <f>IF(AQ161="2",BI161,0)</f>
        <v>0</v>
      </c>
      <c r="AH161" s="2">
        <f>IF(AQ161="0",BJ161,0)</f>
        <v>0</v>
      </c>
      <c r="AI161" s="33" t="s">
        <v>299</v>
      </c>
      <c r="AJ161" s="46">
        <f>IF(AN161=0,L161,0)</f>
        <v>0</v>
      </c>
      <c r="AK161" s="46">
        <f>IF(AN161=15,L161,0)</f>
        <v>0</v>
      </c>
      <c r="AL161" s="46">
        <f>IF(AN161=21,L161,0)</f>
        <v>0</v>
      </c>
      <c r="AN161" s="2">
        <v>21</v>
      </c>
      <c r="AO161" s="2">
        <f>I161*1</f>
        <v>0</v>
      </c>
      <c r="AP161" s="2">
        <f>I161*(1-1)</f>
        <v>0</v>
      </c>
      <c r="AQ161" s="27" t="s">
        <v>432</v>
      </c>
      <c r="AV161" s="2">
        <f>AW161+AX161</f>
        <v>0</v>
      </c>
      <c r="AW161" s="2">
        <f>H161*AO161</f>
        <v>0</v>
      </c>
      <c r="AX161" s="2">
        <f>H161*AP161</f>
        <v>0</v>
      </c>
      <c r="AY161" s="44" t="s">
        <v>350</v>
      </c>
      <c r="AZ161" s="44" t="s">
        <v>32</v>
      </c>
      <c r="BA161" s="33" t="s">
        <v>329</v>
      </c>
      <c r="BC161" s="2">
        <f>AW161+AX161</f>
        <v>0</v>
      </c>
      <c r="BD161" s="2">
        <f>I161/(100-BE161)*100</f>
        <v>0</v>
      </c>
      <c r="BE161" s="2">
        <v>0</v>
      </c>
      <c r="BF161" s="2">
        <f>166</f>
        <v>166</v>
      </c>
      <c r="BH161" s="46">
        <f>H161*AO161</f>
        <v>0</v>
      </c>
      <c r="BI161" s="46">
        <f>H161*AP161</f>
        <v>0</v>
      </c>
      <c r="BJ161" s="46">
        <f>H161*I161</f>
        <v>0</v>
      </c>
      <c r="BK161" s="46"/>
      <c r="BL161" s="2">
        <v>728</v>
      </c>
    </row>
    <row r="162" spans="1:64" ht="15" customHeight="1" x14ac:dyDescent="0.3">
      <c r="A162" s="47"/>
      <c r="B162" s="23"/>
      <c r="C162" s="1" t="s">
        <v>257</v>
      </c>
      <c r="F162" s="1" t="s">
        <v>299</v>
      </c>
      <c r="G162" s="23"/>
      <c r="H162" s="4">
        <v>12.000000000000002</v>
      </c>
      <c r="I162" s="23"/>
      <c r="J162" s="23"/>
      <c r="K162" s="23"/>
      <c r="L162" s="23"/>
      <c r="M162" s="38"/>
    </row>
    <row r="163" spans="1:64" ht="15" customHeight="1" x14ac:dyDescent="0.3">
      <c r="A163" s="11" t="s">
        <v>292</v>
      </c>
      <c r="B163" s="8" t="s">
        <v>141</v>
      </c>
      <c r="C163" s="51" t="s">
        <v>65</v>
      </c>
      <c r="D163" s="50"/>
      <c r="E163" s="50"/>
      <c r="F163" s="51"/>
      <c r="G163" s="8" t="s">
        <v>111</v>
      </c>
      <c r="H163" s="24">
        <v>3</v>
      </c>
      <c r="I163" s="24"/>
      <c r="J163" s="24">
        <f>H163*AO163</f>
        <v>0</v>
      </c>
      <c r="K163" s="24">
        <f>H163*AP163</f>
        <v>0</v>
      </c>
      <c r="L163" s="24">
        <f>H163*I163</f>
        <v>0</v>
      </c>
      <c r="M163" s="28" t="s">
        <v>365</v>
      </c>
      <c r="Z163" s="2">
        <f>IF(AQ163="5",BJ163,0)</f>
        <v>0</v>
      </c>
      <c r="AB163" s="2">
        <f>IF(AQ163="1",BH163,0)</f>
        <v>0</v>
      </c>
      <c r="AC163" s="2">
        <f>IF(AQ163="1",BI163,0)</f>
        <v>0</v>
      </c>
      <c r="AD163" s="2">
        <f>IF(AQ163="7",BH163,0)</f>
        <v>0</v>
      </c>
      <c r="AE163" s="2">
        <f>IF(AQ163="7",BI163,0)</f>
        <v>0</v>
      </c>
      <c r="AF163" s="2">
        <f>IF(AQ163="2",BH163,0)</f>
        <v>0</v>
      </c>
      <c r="AG163" s="2">
        <f>IF(AQ163="2",BI163,0)</f>
        <v>0</v>
      </c>
      <c r="AH163" s="2">
        <f>IF(AQ163="0",BJ163,0)</f>
        <v>0</v>
      </c>
      <c r="AI163" s="33" t="s">
        <v>299</v>
      </c>
      <c r="AJ163" s="2">
        <f>IF(AN163=0,L163,0)</f>
        <v>0</v>
      </c>
      <c r="AK163" s="2">
        <f>IF(AN163=15,L163,0)</f>
        <v>0</v>
      </c>
      <c r="AL163" s="2">
        <f>IF(AN163=21,L163,0)</f>
        <v>0</v>
      </c>
      <c r="AN163" s="2">
        <v>21</v>
      </c>
      <c r="AO163" s="2">
        <f>I163*0</f>
        <v>0</v>
      </c>
      <c r="AP163" s="2">
        <f>I163*(1-0)</f>
        <v>0</v>
      </c>
      <c r="AQ163" s="44" t="s">
        <v>432</v>
      </c>
      <c r="AV163" s="2">
        <f>AW163+AX163</f>
        <v>0</v>
      </c>
      <c r="AW163" s="2">
        <f>H163*AO163</f>
        <v>0</v>
      </c>
      <c r="AX163" s="2">
        <f>H163*AP163</f>
        <v>0</v>
      </c>
      <c r="AY163" s="44" t="s">
        <v>350</v>
      </c>
      <c r="AZ163" s="44" t="s">
        <v>32</v>
      </c>
      <c r="BA163" s="33" t="s">
        <v>329</v>
      </c>
      <c r="BC163" s="2">
        <f>AW163+AX163</f>
        <v>0</v>
      </c>
      <c r="BD163" s="2">
        <f>I163/(100-BE163)*100</f>
        <v>0</v>
      </c>
      <c r="BE163" s="2">
        <v>0</v>
      </c>
      <c r="BF163" s="2">
        <f>168</f>
        <v>168</v>
      </c>
      <c r="BH163" s="2">
        <f>H163*AO163</f>
        <v>0</v>
      </c>
      <c r="BI163" s="2">
        <f>H163*AP163</f>
        <v>0</v>
      </c>
      <c r="BJ163" s="2">
        <f>H163*I163</f>
        <v>0</v>
      </c>
      <c r="BK163" s="2"/>
      <c r="BL163" s="2">
        <v>728</v>
      </c>
    </row>
    <row r="164" spans="1:64" ht="15" customHeight="1" x14ac:dyDescent="0.3">
      <c r="A164" s="47"/>
      <c r="B164" s="23"/>
      <c r="C164" s="1" t="s">
        <v>376</v>
      </c>
      <c r="F164" s="1" t="s">
        <v>299</v>
      </c>
      <c r="G164" s="23"/>
      <c r="H164" s="4">
        <v>3.0000000000000004</v>
      </c>
      <c r="I164" s="23"/>
      <c r="J164" s="23"/>
      <c r="K164" s="23"/>
      <c r="L164" s="23"/>
      <c r="M164" s="38"/>
    </row>
    <row r="165" spans="1:64" ht="15" customHeight="1" x14ac:dyDescent="0.3">
      <c r="A165" s="17" t="s">
        <v>211</v>
      </c>
      <c r="B165" s="13" t="s">
        <v>397</v>
      </c>
      <c r="C165" s="54" t="s">
        <v>466</v>
      </c>
      <c r="D165" s="53"/>
      <c r="E165" s="53"/>
      <c r="F165" s="54"/>
      <c r="G165" s="13" t="s">
        <v>111</v>
      </c>
      <c r="H165" s="43">
        <v>2</v>
      </c>
      <c r="I165" s="43"/>
      <c r="J165" s="43">
        <f>H165*AO165</f>
        <v>0</v>
      </c>
      <c r="K165" s="43">
        <f>H165*AP165</f>
        <v>0</v>
      </c>
      <c r="L165" s="43">
        <f>H165*I165</f>
        <v>0</v>
      </c>
      <c r="M165" s="35" t="s">
        <v>365</v>
      </c>
      <c r="Z165" s="2">
        <f>IF(AQ165="5",BJ165,0)</f>
        <v>0</v>
      </c>
      <c r="AB165" s="2">
        <f>IF(AQ165="1",BH165,0)</f>
        <v>0</v>
      </c>
      <c r="AC165" s="2">
        <f>IF(AQ165="1",BI165,0)</f>
        <v>0</v>
      </c>
      <c r="AD165" s="2">
        <f>IF(AQ165="7",BH165,0)</f>
        <v>0</v>
      </c>
      <c r="AE165" s="2">
        <f>IF(AQ165="7",BI165,0)</f>
        <v>0</v>
      </c>
      <c r="AF165" s="2">
        <f>IF(AQ165="2",BH165,0)</f>
        <v>0</v>
      </c>
      <c r="AG165" s="2">
        <f>IF(AQ165="2",BI165,0)</f>
        <v>0</v>
      </c>
      <c r="AH165" s="2">
        <f>IF(AQ165="0",BJ165,0)</f>
        <v>0</v>
      </c>
      <c r="AI165" s="33" t="s">
        <v>299</v>
      </c>
      <c r="AJ165" s="46">
        <f>IF(AN165=0,L165,0)</f>
        <v>0</v>
      </c>
      <c r="AK165" s="46">
        <f>IF(AN165=15,L165,0)</f>
        <v>0</v>
      </c>
      <c r="AL165" s="46">
        <f>IF(AN165=21,L165,0)</f>
        <v>0</v>
      </c>
      <c r="AN165" s="2">
        <v>21</v>
      </c>
      <c r="AO165" s="2">
        <f>I165*1</f>
        <v>0</v>
      </c>
      <c r="AP165" s="2">
        <f>I165*(1-1)</f>
        <v>0</v>
      </c>
      <c r="AQ165" s="27" t="s">
        <v>432</v>
      </c>
      <c r="AV165" s="2">
        <f>AW165+AX165</f>
        <v>0</v>
      </c>
      <c r="AW165" s="2">
        <f>H165*AO165</f>
        <v>0</v>
      </c>
      <c r="AX165" s="2">
        <f>H165*AP165</f>
        <v>0</v>
      </c>
      <c r="AY165" s="44" t="s">
        <v>350</v>
      </c>
      <c r="AZ165" s="44" t="s">
        <v>32</v>
      </c>
      <c r="BA165" s="33" t="s">
        <v>329</v>
      </c>
      <c r="BC165" s="2">
        <f>AW165+AX165</f>
        <v>0</v>
      </c>
      <c r="BD165" s="2">
        <f>I165/(100-BE165)*100</f>
        <v>0</v>
      </c>
      <c r="BE165" s="2">
        <v>0</v>
      </c>
      <c r="BF165" s="2">
        <f>170</f>
        <v>170</v>
      </c>
      <c r="BH165" s="46">
        <f>H165*AO165</f>
        <v>0</v>
      </c>
      <c r="BI165" s="46">
        <f>H165*AP165</f>
        <v>0</v>
      </c>
      <c r="BJ165" s="46">
        <f>H165*I165</f>
        <v>0</v>
      </c>
      <c r="BK165" s="46"/>
      <c r="BL165" s="2">
        <v>728</v>
      </c>
    </row>
    <row r="166" spans="1:64" ht="15" customHeight="1" x14ac:dyDescent="0.3">
      <c r="A166" s="47"/>
      <c r="B166" s="23"/>
      <c r="C166" s="1" t="s">
        <v>456</v>
      </c>
      <c r="F166" s="1" t="s">
        <v>299</v>
      </c>
      <c r="G166" s="23"/>
      <c r="H166" s="4">
        <v>2</v>
      </c>
      <c r="I166" s="23"/>
      <c r="J166" s="23"/>
      <c r="K166" s="23"/>
      <c r="L166" s="23"/>
      <c r="M166" s="38"/>
    </row>
    <row r="167" spans="1:64" ht="15" customHeight="1" x14ac:dyDescent="0.3">
      <c r="A167" s="17" t="s">
        <v>97</v>
      </c>
      <c r="B167" s="13" t="s">
        <v>30</v>
      </c>
      <c r="C167" s="54" t="s">
        <v>330</v>
      </c>
      <c r="D167" s="53"/>
      <c r="E167" s="53"/>
      <c r="F167" s="54"/>
      <c r="G167" s="13" t="s">
        <v>111</v>
      </c>
      <c r="H167" s="43">
        <v>1</v>
      </c>
      <c r="I167" s="43"/>
      <c r="J167" s="43">
        <f>H167*AO167</f>
        <v>0</v>
      </c>
      <c r="K167" s="43">
        <f>H167*AP167</f>
        <v>0</v>
      </c>
      <c r="L167" s="43">
        <f>H167*I167</f>
        <v>0</v>
      </c>
      <c r="M167" s="35" t="s">
        <v>365</v>
      </c>
      <c r="Z167" s="2">
        <f>IF(AQ167="5",BJ167,0)</f>
        <v>0</v>
      </c>
      <c r="AB167" s="2">
        <f>IF(AQ167="1",BH167,0)</f>
        <v>0</v>
      </c>
      <c r="AC167" s="2">
        <f>IF(AQ167="1",BI167,0)</f>
        <v>0</v>
      </c>
      <c r="AD167" s="2">
        <f>IF(AQ167="7",BH167,0)</f>
        <v>0</v>
      </c>
      <c r="AE167" s="2">
        <f>IF(AQ167="7",BI167,0)</f>
        <v>0</v>
      </c>
      <c r="AF167" s="2">
        <f>IF(AQ167="2",BH167,0)</f>
        <v>0</v>
      </c>
      <c r="AG167" s="2">
        <f>IF(AQ167="2",BI167,0)</f>
        <v>0</v>
      </c>
      <c r="AH167" s="2">
        <f>IF(AQ167="0",BJ167,0)</f>
        <v>0</v>
      </c>
      <c r="AI167" s="33" t="s">
        <v>299</v>
      </c>
      <c r="AJ167" s="46">
        <f>IF(AN167=0,L167,0)</f>
        <v>0</v>
      </c>
      <c r="AK167" s="46">
        <f>IF(AN167=15,L167,0)</f>
        <v>0</v>
      </c>
      <c r="AL167" s="46">
        <f>IF(AN167=21,L167,0)</f>
        <v>0</v>
      </c>
      <c r="AN167" s="2">
        <v>21</v>
      </c>
      <c r="AO167" s="2">
        <f>I167*1</f>
        <v>0</v>
      </c>
      <c r="AP167" s="2">
        <f>I167*(1-1)</f>
        <v>0</v>
      </c>
      <c r="AQ167" s="27" t="s">
        <v>432</v>
      </c>
      <c r="AV167" s="2">
        <f>AW167+AX167</f>
        <v>0</v>
      </c>
      <c r="AW167" s="2">
        <f>H167*AO167</f>
        <v>0</v>
      </c>
      <c r="AX167" s="2">
        <f>H167*AP167</f>
        <v>0</v>
      </c>
      <c r="AY167" s="44" t="s">
        <v>350</v>
      </c>
      <c r="AZ167" s="44" t="s">
        <v>32</v>
      </c>
      <c r="BA167" s="33" t="s">
        <v>329</v>
      </c>
      <c r="BC167" s="2">
        <f>AW167+AX167</f>
        <v>0</v>
      </c>
      <c r="BD167" s="2">
        <f>I167/(100-BE167)*100</f>
        <v>0</v>
      </c>
      <c r="BE167" s="2">
        <v>0</v>
      </c>
      <c r="BF167" s="2">
        <f>172</f>
        <v>172</v>
      </c>
      <c r="BH167" s="46">
        <f>H167*AO167</f>
        <v>0</v>
      </c>
      <c r="BI167" s="46">
        <f>H167*AP167</f>
        <v>0</v>
      </c>
      <c r="BJ167" s="46">
        <f>H167*I167</f>
        <v>0</v>
      </c>
      <c r="BK167" s="46"/>
      <c r="BL167" s="2">
        <v>728</v>
      </c>
    </row>
    <row r="168" spans="1:64" ht="15" customHeight="1" x14ac:dyDescent="0.3">
      <c r="A168" s="47"/>
      <c r="B168" s="23"/>
      <c r="C168" s="1" t="s">
        <v>429</v>
      </c>
      <c r="F168" s="1" t="s">
        <v>299</v>
      </c>
      <c r="G168" s="23"/>
      <c r="H168" s="4">
        <v>1</v>
      </c>
      <c r="I168" s="23"/>
      <c r="J168" s="23"/>
      <c r="K168" s="23"/>
      <c r="L168" s="23"/>
      <c r="M168" s="38"/>
    </row>
    <row r="169" spans="1:64" ht="15" customHeight="1" x14ac:dyDescent="0.3">
      <c r="A169" s="17" t="s">
        <v>43</v>
      </c>
      <c r="B169" s="13" t="s">
        <v>197</v>
      </c>
      <c r="C169" s="54" t="s">
        <v>189</v>
      </c>
      <c r="D169" s="53"/>
      <c r="E169" s="53"/>
      <c r="F169" s="54"/>
      <c r="G169" s="13" t="s">
        <v>111</v>
      </c>
      <c r="H169" s="43">
        <v>1</v>
      </c>
      <c r="I169" s="43"/>
      <c r="J169" s="43">
        <f>H169*AO169</f>
        <v>0</v>
      </c>
      <c r="K169" s="43">
        <f>H169*AP169</f>
        <v>0</v>
      </c>
      <c r="L169" s="43">
        <f>H169*I169</f>
        <v>0</v>
      </c>
      <c r="M169" s="35" t="s">
        <v>365</v>
      </c>
      <c r="Z169" s="2">
        <f>IF(AQ169="5",BJ169,0)</f>
        <v>0</v>
      </c>
      <c r="AB169" s="2">
        <f>IF(AQ169="1",BH169,0)</f>
        <v>0</v>
      </c>
      <c r="AC169" s="2">
        <f>IF(AQ169="1",BI169,0)</f>
        <v>0</v>
      </c>
      <c r="AD169" s="2">
        <f>IF(AQ169="7",BH169,0)</f>
        <v>0</v>
      </c>
      <c r="AE169" s="2">
        <f>IF(AQ169="7",BI169,0)</f>
        <v>0</v>
      </c>
      <c r="AF169" s="2">
        <f>IF(AQ169="2",BH169,0)</f>
        <v>0</v>
      </c>
      <c r="AG169" s="2">
        <f>IF(AQ169="2",BI169,0)</f>
        <v>0</v>
      </c>
      <c r="AH169" s="2">
        <f>IF(AQ169="0",BJ169,0)</f>
        <v>0</v>
      </c>
      <c r="AI169" s="33" t="s">
        <v>299</v>
      </c>
      <c r="AJ169" s="46">
        <f>IF(AN169=0,L169,0)</f>
        <v>0</v>
      </c>
      <c r="AK169" s="46">
        <f>IF(AN169=15,L169,0)</f>
        <v>0</v>
      </c>
      <c r="AL169" s="46">
        <f>IF(AN169=21,L169,0)</f>
        <v>0</v>
      </c>
      <c r="AN169" s="2">
        <v>21</v>
      </c>
      <c r="AO169" s="2">
        <f>I169*1</f>
        <v>0</v>
      </c>
      <c r="AP169" s="2">
        <f>I169*(1-1)</f>
        <v>0</v>
      </c>
      <c r="AQ169" s="27" t="s">
        <v>432</v>
      </c>
      <c r="AV169" s="2">
        <f>AW169+AX169</f>
        <v>0</v>
      </c>
      <c r="AW169" s="2">
        <f>H169*AO169</f>
        <v>0</v>
      </c>
      <c r="AX169" s="2">
        <f>H169*AP169</f>
        <v>0</v>
      </c>
      <c r="AY169" s="44" t="s">
        <v>350</v>
      </c>
      <c r="AZ169" s="44" t="s">
        <v>32</v>
      </c>
      <c r="BA169" s="33" t="s">
        <v>329</v>
      </c>
      <c r="BC169" s="2">
        <f>AW169+AX169</f>
        <v>0</v>
      </c>
      <c r="BD169" s="2">
        <f>I169/(100-BE169)*100</f>
        <v>0</v>
      </c>
      <c r="BE169" s="2">
        <v>0</v>
      </c>
      <c r="BF169" s="2">
        <f>174</f>
        <v>174</v>
      </c>
      <c r="BH169" s="46">
        <f>H169*AO169</f>
        <v>0</v>
      </c>
      <c r="BI169" s="46">
        <f>H169*AP169</f>
        <v>0</v>
      </c>
      <c r="BJ169" s="46">
        <f>H169*I169</f>
        <v>0</v>
      </c>
      <c r="BK169" s="46"/>
      <c r="BL169" s="2">
        <v>728</v>
      </c>
    </row>
    <row r="170" spans="1:64" ht="15" customHeight="1" x14ac:dyDescent="0.3">
      <c r="A170" s="47"/>
      <c r="B170" s="23"/>
      <c r="C170" s="1" t="s">
        <v>429</v>
      </c>
      <c r="F170" s="1" t="s">
        <v>299</v>
      </c>
      <c r="G170" s="23"/>
      <c r="H170" s="4">
        <v>1</v>
      </c>
      <c r="I170" s="23"/>
      <c r="J170" s="23"/>
      <c r="K170" s="23"/>
      <c r="L170" s="23"/>
      <c r="M170" s="38"/>
    </row>
    <row r="171" spans="1:64" ht="15" customHeight="1" x14ac:dyDescent="0.3">
      <c r="A171" s="11" t="s">
        <v>423</v>
      </c>
      <c r="B171" s="8" t="s">
        <v>284</v>
      </c>
      <c r="C171" s="51" t="s">
        <v>146</v>
      </c>
      <c r="D171" s="50"/>
      <c r="E171" s="50"/>
      <c r="F171" s="51"/>
      <c r="G171" s="8" t="s">
        <v>111</v>
      </c>
      <c r="H171" s="24">
        <v>1</v>
      </c>
      <c r="I171" s="24"/>
      <c r="J171" s="24">
        <f>H171*AO171</f>
        <v>0</v>
      </c>
      <c r="K171" s="24">
        <f>H171*AP171</f>
        <v>0</v>
      </c>
      <c r="L171" s="24">
        <f>H171*I171</f>
        <v>0</v>
      </c>
      <c r="M171" s="28" t="s">
        <v>365</v>
      </c>
      <c r="Z171" s="2">
        <f>IF(AQ171="5",BJ171,0)</f>
        <v>0</v>
      </c>
      <c r="AB171" s="2">
        <f>IF(AQ171="1",BH171,0)</f>
        <v>0</v>
      </c>
      <c r="AC171" s="2">
        <f>IF(AQ171="1",BI171,0)</f>
        <v>0</v>
      </c>
      <c r="AD171" s="2">
        <f>IF(AQ171="7",BH171,0)</f>
        <v>0</v>
      </c>
      <c r="AE171" s="2">
        <f>IF(AQ171="7",BI171,0)</f>
        <v>0</v>
      </c>
      <c r="AF171" s="2">
        <f>IF(AQ171="2",BH171,0)</f>
        <v>0</v>
      </c>
      <c r="AG171" s="2">
        <f>IF(AQ171="2",BI171,0)</f>
        <v>0</v>
      </c>
      <c r="AH171" s="2">
        <f>IF(AQ171="0",BJ171,0)</f>
        <v>0</v>
      </c>
      <c r="AI171" s="33" t="s">
        <v>299</v>
      </c>
      <c r="AJ171" s="2">
        <f>IF(AN171=0,L171,0)</f>
        <v>0</v>
      </c>
      <c r="AK171" s="2">
        <f>IF(AN171=15,L171,0)</f>
        <v>0</v>
      </c>
      <c r="AL171" s="2">
        <f>IF(AN171=21,L171,0)</f>
        <v>0</v>
      </c>
      <c r="AN171" s="2">
        <v>21</v>
      </c>
      <c r="AO171" s="2">
        <f>I171*0</f>
        <v>0</v>
      </c>
      <c r="AP171" s="2">
        <f>I171*(1-0)</f>
        <v>0</v>
      </c>
      <c r="AQ171" s="44" t="s">
        <v>432</v>
      </c>
      <c r="AV171" s="2">
        <f>AW171+AX171</f>
        <v>0</v>
      </c>
      <c r="AW171" s="2">
        <f>H171*AO171</f>
        <v>0</v>
      </c>
      <c r="AX171" s="2">
        <f>H171*AP171</f>
        <v>0</v>
      </c>
      <c r="AY171" s="44" t="s">
        <v>350</v>
      </c>
      <c r="AZ171" s="44" t="s">
        <v>32</v>
      </c>
      <c r="BA171" s="33" t="s">
        <v>329</v>
      </c>
      <c r="BC171" s="2">
        <f>AW171+AX171</f>
        <v>0</v>
      </c>
      <c r="BD171" s="2">
        <f>I171/(100-BE171)*100</f>
        <v>0</v>
      </c>
      <c r="BE171" s="2">
        <v>0</v>
      </c>
      <c r="BF171" s="2">
        <f>176</f>
        <v>176</v>
      </c>
      <c r="BH171" s="2">
        <f>H171*AO171</f>
        <v>0</v>
      </c>
      <c r="BI171" s="2">
        <f>H171*AP171</f>
        <v>0</v>
      </c>
      <c r="BJ171" s="2">
        <f>H171*I171</f>
        <v>0</v>
      </c>
      <c r="BK171" s="2"/>
      <c r="BL171" s="2">
        <v>728</v>
      </c>
    </row>
    <row r="172" spans="1:64" ht="15" customHeight="1" x14ac:dyDescent="0.3">
      <c r="A172" s="47"/>
      <c r="B172" s="23"/>
      <c r="C172" s="1" t="s">
        <v>429</v>
      </c>
      <c r="F172" s="1" t="s">
        <v>299</v>
      </c>
      <c r="G172" s="23"/>
      <c r="H172" s="4">
        <v>1</v>
      </c>
      <c r="I172" s="23"/>
      <c r="J172" s="23"/>
      <c r="K172" s="23"/>
      <c r="L172" s="23"/>
      <c r="M172" s="38"/>
    </row>
    <row r="173" spans="1:64" ht="15" customHeight="1" x14ac:dyDescent="0.3">
      <c r="A173" s="19" t="s">
        <v>299</v>
      </c>
      <c r="B173" s="34" t="s">
        <v>441</v>
      </c>
      <c r="C173" s="52" t="s">
        <v>368</v>
      </c>
      <c r="D173" s="52"/>
      <c r="E173" s="52"/>
      <c r="F173" s="52"/>
      <c r="G173" s="12" t="s">
        <v>400</v>
      </c>
      <c r="H173" s="12" t="s">
        <v>400</v>
      </c>
      <c r="I173" s="12" t="s">
        <v>400</v>
      </c>
      <c r="J173" s="15">
        <f>SUM(J174:J181)</f>
        <v>0</v>
      </c>
      <c r="K173" s="15">
        <f>SUM(K174:K181)</f>
        <v>0</v>
      </c>
      <c r="L173" s="15">
        <f>SUM(L174:L181)</f>
        <v>0</v>
      </c>
      <c r="M173" s="18" t="s">
        <v>299</v>
      </c>
      <c r="AI173" s="33" t="s">
        <v>299</v>
      </c>
      <c r="AS173" s="15">
        <f>SUM(AJ174:AJ181)</f>
        <v>0</v>
      </c>
      <c r="AT173" s="15">
        <f>SUM(AK174:AK181)</f>
        <v>0</v>
      </c>
      <c r="AU173" s="15">
        <f>SUM(AL174:AL181)</f>
        <v>0</v>
      </c>
    </row>
    <row r="174" spans="1:64" ht="15" customHeight="1" x14ac:dyDescent="0.3">
      <c r="A174" s="39" t="s">
        <v>85</v>
      </c>
      <c r="B174" s="9" t="s">
        <v>16</v>
      </c>
      <c r="C174" s="50" t="s">
        <v>64</v>
      </c>
      <c r="D174" s="50"/>
      <c r="E174" s="50"/>
      <c r="F174" s="50"/>
      <c r="G174" s="9" t="s">
        <v>361</v>
      </c>
      <c r="H174" s="2">
        <v>46</v>
      </c>
      <c r="I174" s="2"/>
      <c r="J174" s="2">
        <f>H174*AO174</f>
        <v>0</v>
      </c>
      <c r="K174" s="2">
        <f>H174*AP174</f>
        <v>0</v>
      </c>
      <c r="L174" s="2">
        <f>H174*I174</f>
        <v>0</v>
      </c>
      <c r="M174" s="36" t="s">
        <v>365</v>
      </c>
      <c r="Z174" s="2">
        <f>IF(AQ174="5",BJ174,0)</f>
        <v>0</v>
      </c>
      <c r="AB174" s="2">
        <f>IF(AQ174="1",BH174,0)</f>
        <v>0</v>
      </c>
      <c r="AC174" s="2">
        <f>IF(AQ174="1",BI174,0)</f>
        <v>0</v>
      </c>
      <c r="AD174" s="2">
        <f>IF(AQ174="7",BH174,0)</f>
        <v>0</v>
      </c>
      <c r="AE174" s="2">
        <f>IF(AQ174="7",BI174,0)</f>
        <v>0</v>
      </c>
      <c r="AF174" s="2">
        <f>IF(AQ174="2",BH174,0)</f>
        <v>0</v>
      </c>
      <c r="AG174" s="2">
        <f>IF(AQ174="2",BI174,0)</f>
        <v>0</v>
      </c>
      <c r="AH174" s="2">
        <f>IF(AQ174="0",BJ174,0)</f>
        <v>0</v>
      </c>
      <c r="AI174" s="33" t="s">
        <v>299</v>
      </c>
      <c r="AJ174" s="2">
        <f>IF(AN174=0,L174,0)</f>
        <v>0</v>
      </c>
      <c r="AK174" s="2">
        <f>IF(AN174=15,L174,0)</f>
        <v>0</v>
      </c>
      <c r="AL174" s="2">
        <f>IF(AN174=21,L174,0)</f>
        <v>0</v>
      </c>
      <c r="AN174" s="2">
        <v>21</v>
      </c>
      <c r="AO174" s="2">
        <f>I174*0.648877551020408</f>
        <v>0</v>
      </c>
      <c r="AP174" s="2">
        <f>I174*(1-0.648877551020408)</f>
        <v>0</v>
      </c>
      <c r="AQ174" s="44" t="s">
        <v>432</v>
      </c>
      <c r="AV174" s="2">
        <f>AW174+AX174</f>
        <v>0</v>
      </c>
      <c r="AW174" s="2">
        <f>H174*AO174</f>
        <v>0</v>
      </c>
      <c r="AX174" s="2">
        <f>H174*AP174</f>
        <v>0</v>
      </c>
      <c r="AY174" s="44" t="s">
        <v>49</v>
      </c>
      <c r="AZ174" s="44" t="s">
        <v>392</v>
      </c>
      <c r="BA174" s="33" t="s">
        <v>329</v>
      </c>
      <c r="BC174" s="2">
        <f>AW174+AX174</f>
        <v>0</v>
      </c>
      <c r="BD174" s="2">
        <f>I174/(100-BE174)*100</f>
        <v>0</v>
      </c>
      <c r="BE174" s="2">
        <v>0</v>
      </c>
      <c r="BF174" s="2">
        <f>180</f>
        <v>180</v>
      </c>
      <c r="BH174" s="2">
        <f>H174*AO174</f>
        <v>0</v>
      </c>
      <c r="BI174" s="2">
        <f>H174*AP174</f>
        <v>0</v>
      </c>
      <c r="BJ174" s="2">
        <f>H174*I174</f>
        <v>0</v>
      </c>
      <c r="BK174" s="2"/>
      <c r="BL174" s="2">
        <v>733</v>
      </c>
    </row>
    <row r="175" spans="1:64" ht="15" customHeight="1" x14ac:dyDescent="0.3">
      <c r="A175" s="6"/>
      <c r="C175" s="29" t="s">
        <v>348</v>
      </c>
      <c r="F175" s="29" t="s">
        <v>299</v>
      </c>
      <c r="H175" s="10">
        <v>46.000000000000007</v>
      </c>
      <c r="M175" s="41"/>
    </row>
    <row r="176" spans="1:64" ht="15" customHeight="1" x14ac:dyDescent="0.3">
      <c r="A176" s="39" t="s">
        <v>440</v>
      </c>
      <c r="B176" s="9" t="s">
        <v>373</v>
      </c>
      <c r="C176" s="50" t="s">
        <v>408</v>
      </c>
      <c r="D176" s="50"/>
      <c r="E176" s="50"/>
      <c r="F176" s="50"/>
      <c r="G176" s="9" t="s">
        <v>361</v>
      </c>
      <c r="H176" s="2">
        <v>46</v>
      </c>
      <c r="I176" s="2"/>
      <c r="J176" s="2">
        <f>H176*AO176</f>
        <v>0</v>
      </c>
      <c r="K176" s="2">
        <f>H176*AP176</f>
        <v>0</v>
      </c>
      <c r="L176" s="2">
        <f>H176*I176</f>
        <v>0</v>
      </c>
      <c r="M176" s="36" t="s">
        <v>365</v>
      </c>
      <c r="Z176" s="2">
        <f>IF(AQ176="5",BJ176,0)</f>
        <v>0</v>
      </c>
      <c r="AB176" s="2">
        <f>IF(AQ176="1",BH176,0)</f>
        <v>0</v>
      </c>
      <c r="AC176" s="2">
        <f>IF(AQ176="1",BI176,0)</f>
        <v>0</v>
      </c>
      <c r="AD176" s="2">
        <f>IF(AQ176="7",BH176,0)</f>
        <v>0</v>
      </c>
      <c r="AE176" s="2">
        <f>IF(AQ176="7",BI176,0)</f>
        <v>0</v>
      </c>
      <c r="AF176" s="2">
        <f>IF(AQ176="2",BH176,0)</f>
        <v>0</v>
      </c>
      <c r="AG176" s="2">
        <f>IF(AQ176="2",BI176,0)</f>
        <v>0</v>
      </c>
      <c r="AH176" s="2">
        <f>IF(AQ176="0",BJ176,0)</f>
        <v>0</v>
      </c>
      <c r="AI176" s="33" t="s">
        <v>299</v>
      </c>
      <c r="AJ176" s="2">
        <f>IF(AN176=0,L176,0)</f>
        <v>0</v>
      </c>
      <c r="AK176" s="2">
        <f>IF(AN176=15,L176,0)</f>
        <v>0</v>
      </c>
      <c r="AL176" s="2">
        <f>IF(AN176=21,L176,0)</f>
        <v>0</v>
      </c>
      <c r="AN176" s="2">
        <v>21</v>
      </c>
      <c r="AO176" s="2">
        <f>I176*0.37358346824112</f>
        <v>0</v>
      </c>
      <c r="AP176" s="2">
        <f>I176*(1-0.37358346824112)</f>
        <v>0</v>
      </c>
      <c r="AQ176" s="44" t="s">
        <v>432</v>
      </c>
      <c r="AV176" s="2">
        <f>AW176+AX176</f>
        <v>0</v>
      </c>
      <c r="AW176" s="2">
        <f>H176*AO176</f>
        <v>0</v>
      </c>
      <c r="AX176" s="2">
        <f>H176*AP176</f>
        <v>0</v>
      </c>
      <c r="AY176" s="44" t="s">
        <v>49</v>
      </c>
      <c r="AZ176" s="44" t="s">
        <v>392</v>
      </c>
      <c r="BA176" s="33" t="s">
        <v>329</v>
      </c>
      <c r="BC176" s="2">
        <f>AW176+AX176</f>
        <v>0</v>
      </c>
      <c r="BD176" s="2">
        <f>I176/(100-BE176)*100</f>
        <v>0</v>
      </c>
      <c r="BE176" s="2">
        <v>0</v>
      </c>
      <c r="BF176" s="2">
        <f>182</f>
        <v>182</v>
      </c>
      <c r="BH176" s="2">
        <f>H176*AO176</f>
        <v>0</v>
      </c>
      <c r="BI176" s="2">
        <f>H176*AP176</f>
        <v>0</v>
      </c>
      <c r="BJ176" s="2">
        <f>H176*I176</f>
        <v>0</v>
      </c>
      <c r="BK176" s="2"/>
      <c r="BL176" s="2">
        <v>733</v>
      </c>
    </row>
    <row r="177" spans="1:64" ht="15" customHeight="1" x14ac:dyDescent="0.3">
      <c r="A177" s="6"/>
      <c r="C177" s="29" t="s">
        <v>348</v>
      </c>
      <c r="F177" s="29" t="s">
        <v>299</v>
      </c>
      <c r="H177" s="10">
        <v>46.000000000000007</v>
      </c>
      <c r="M177" s="41"/>
    </row>
    <row r="178" spans="1:64" ht="15" customHeight="1" x14ac:dyDescent="0.3">
      <c r="A178" s="39" t="s">
        <v>254</v>
      </c>
      <c r="B178" s="9" t="s">
        <v>154</v>
      </c>
      <c r="C178" s="50" t="s">
        <v>140</v>
      </c>
      <c r="D178" s="50"/>
      <c r="E178" s="50"/>
      <c r="F178" s="50"/>
      <c r="G178" s="9" t="s">
        <v>111</v>
      </c>
      <c r="H178" s="2">
        <v>10</v>
      </c>
      <c r="I178" s="2"/>
      <c r="J178" s="2">
        <f>H178*AO178</f>
        <v>0</v>
      </c>
      <c r="K178" s="2">
        <f>H178*AP178</f>
        <v>0</v>
      </c>
      <c r="L178" s="2">
        <f>H178*I178</f>
        <v>0</v>
      </c>
      <c r="M178" s="36" t="s">
        <v>365</v>
      </c>
      <c r="Z178" s="2">
        <f>IF(AQ178="5",BJ178,0)</f>
        <v>0</v>
      </c>
      <c r="AB178" s="2">
        <f>IF(AQ178="1",BH178,0)</f>
        <v>0</v>
      </c>
      <c r="AC178" s="2">
        <f>IF(AQ178="1",BI178,0)</f>
        <v>0</v>
      </c>
      <c r="AD178" s="2">
        <f>IF(AQ178="7",BH178,0)</f>
        <v>0</v>
      </c>
      <c r="AE178" s="2">
        <f>IF(AQ178="7",BI178,0)</f>
        <v>0</v>
      </c>
      <c r="AF178" s="2">
        <f>IF(AQ178="2",BH178,0)</f>
        <v>0</v>
      </c>
      <c r="AG178" s="2">
        <f>IF(AQ178="2",BI178,0)</f>
        <v>0</v>
      </c>
      <c r="AH178" s="2">
        <f>IF(AQ178="0",BJ178,0)</f>
        <v>0</v>
      </c>
      <c r="AI178" s="33" t="s">
        <v>299</v>
      </c>
      <c r="AJ178" s="2">
        <f>IF(AN178=0,L178,0)</f>
        <v>0</v>
      </c>
      <c r="AK178" s="2">
        <f>IF(AN178=15,L178,0)</f>
        <v>0</v>
      </c>
      <c r="AL178" s="2">
        <f>IF(AN178=21,L178,0)</f>
        <v>0</v>
      </c>
      <c r="AN178" s="2">
        <v>21</v>
      </c>
      <c r="AO178" s="2">
        <f>I178*0</f>
        <v>0</v>
      </c>
      <c r="AP178" s="2">
        <f>I178*(1-0)</f>
        <v>0</v>
      </c>
      <c r="AQ178" s="44" t="s">
        <v>432</v>
      </c>
      <c r="AV178" s="2">
        <f>AW178+AX178</f>
        <v>0</v>
      </c>
      <c r="AW178" s="2">
        <f>H178*AO178</f>
        <v>0</v>
      </c>
      <c r="AX178" s="2">
        <f>H178*AP178</f>
        <v>0</v>
      </c>
      <c r="AY178" s="44" t="s">
        <v>49</v>
      </c>
      <c r="AZ178" s="44" t="s">
        <v>392</v>
      </c>
      <c r="BA178" s="33" t="s">
        <v>329</v>
      </c>
      <c r="BC178" s="2">
        <f>AW178+AX178</f>
        <v>0</v>
      </c>
      <c r="BD178" s="2">
        <f>I178/(100-BE178)*100</f>
        <v>0</v>
      </c>
      <c r="BE178" s="2">
        <v>0</v>
      </c>
      <c r="BF178" s="2">
        <f>184</f>
        <v>184</v>
      </c>
      <c r="BH178" s="2">
        <f>H178*AO178</f>
        <v>0</v>
      </c>
      <c r="BI178" s="2">
        <f>H178*AP178</f>
        <v>0</v>
      </c>
      <c r="BJ178" s="2">
        <f>H178*I178</f>
        <v>0</v>
      </c>
      <c r="BK178" s="2"/>
      <c r="BL178" s="2">
        <v>733</v>
      </c>
    </row>
    <row r="179" spans="1:64" ht="15" customHeight="1" x14ac:dyDescent="0.3">
      <c r="A179" s="6"/>
      <c r="C179" s="29" t="s">
        <v>246</v>
      </c>
      <c r="F179" s="29" t="s">
        <v>299</v>
      </c>
      <c r="H179" s="10">
        <v>10</v>
      </c>
      <c r="M179" s="41"/>
    </row>
    <row r="180" spans="1:64" ht="15" customHeight="1" x14ac:dyDescent="0.3">
      <c r="A180" s="39" t="s">
        <v>202</v>
      </c>
      <c r="B180" s="9" t="s">
        <v>181</v>
      </c>
      <c r="C180" s="50" t="s">
        <v>227</v>
      </c>
      <c r="D180" s="50"/>
      <c r="E180" s="50"/>
      <c r="F180" s="50"/>
      <c r="G180" s="9" t="s">
        <v>361</v>
      </c>
      <c r="H180" s="2">
        <v>46</v>
      </c>
      <c r="I180" s="2"/>
      <c r="J180" s="2">
        <f>H180*AO180</f>
        <v>0</v>
      </c>
      <c r="K180" s="2">
        <f>H180*AP180</f>
        <v>0</v>
      </c>
      <c r="L180" s="2">
        <f>H180*I180</f>
        <v>0</v>
      </c>
      <c r="M180" s="36" t="s">
        <v>365</v>
      </c>
      <c r="Z180" s="2">
        <f>IF(AQ180="5",BJ180,0)</f>
        <v>0</v>
      </c>
      <c r="AB180" s="2">
        <f>IF(AQ180="1",BH180,0)</f>
        <v>0</v>
      </c>
      <c r="AC180" s="2">
        <f>IF(AQ180="1",BI180,0)</f>
        <v>0</v>
      </c>
      <c r="AD180" s="2">
        <f>IF(AQ180="7",BH180,0)</f>
        <v>0</v>
      </c>
      <c r="AE180" s="2">
        <f>IF(AQ180="7",BI180,0)</f>
        <v>0</v>
      </c>
      <c r="AF180" s="2">
        <f>IF(AQ180="2",BH180,0)</f>
        <v>0</v>
      </c>
      <c r="AG180" s="2">
        <f>IF(AQ180="2",BI180,0)</f>
        <v>0</v>
      </c>
      <c r="AH180" s="2">
        <f>IF(AQ180="0",BJ180,0)</f>
        <v>0</v>
      </c>
      <c r="AI180" s="33" t="s">
        <v>299</v>
      </c>
      <c r="AJ180" s="2">
        <f>IF(AN180=0,L180,0)</f>
        <v>0</v>
      </c>
      <c r="AK180" s="2">
        <f>IF(AN180=15,L180,0)</f>
        <v>0</v>
      </c>
      <c r="AL180" s="2">
        <f>IF(AN180=21,L180,0)</f>
        <v>0</v>
      </c>
      <c r="AN180" s="2">
        <v>21</v>
      </c>
      <c r="AO180" s="2">
        <f>I180*0.0234454638124363</f>
        <v>0</v>
      </c>
      <c r="AP180" s="2">
        <f>I180*(1-0.0234454638124363)</f>
        <v>0</v>
      </c>
      <c r="AQ180" s="44" t="s">
        <v>432</v>
      </c>
      <c r="AV180" s="2">
        <f>AW180+AX180</f>
        <v>0</v>
      </c>
      <c r="AW180" s="2">
        <f>H180*AO180</f>
        <v>0</v>
      </c>
      <c r="AX180" s="2">
        <f>H180*AP180</f>
        <v>0</v>
      </c>
      <c r="AY180" s="44" t="s">
        <v>49</v>
      </c>
      <c r="AZ180" s="44" t="s">
        <v>392</v>
      </c>
      <c r="BA180" s="33" t="s">
        <v>329</v>
      </c>
      <c r="BC180" s="2">
        <f>AW180+AX180</f>
        <v>0</v>
      </c>
      <c r="BD180" s="2">
        <f>I180/(100-BE180)*100</f>
        <v>0</v>
      </c>
      <c r="BE180" s="2">
        <v>0</v>
      </c>
      <c r="BF180" s="2">
        <f>186</f>
        <v>186</v>
      </c>
      <c r="BH180" s="2">
        <f>H180*AO180</f>
        <v>0</v>
      </c>
      <c r="BI180" s="2">
        <f>H180*AP180</f>
        <v>0</v>
      </c>
      <c r="BJ180" s="2">
        <f>H180*I180</f>
        <v>0</v>
      </c>
      <c r="BK180" s="2"/>
      <c r="BL180" s="2">
        <v>733</v>
      </c>
    </row>
    <row r="181" spans="1:64" ht="15" customHeight="1" x14ac:dyDescent="0.3">
      <c r="A181" s="6"/>
      <c r="C181" s="29" t="s">
        <v>348</v>
      </c>
      <c r="F181" s="29" t="s">
        <v>299</v>
      </c>
      <c r="H181" s="10">
        <v>46.000000000000007</v>
      </c>
      <c r="M181" s="41"/>
    </row>
    <row r="182" spans="1:64" ht="15" customHeight="1" x14ac:dyDescent="0.3">
      <c r="A182" s="19" t="s">
        <v>299</v>
      </c>
      <c r="B182" s="34" t="s">
        <v>372</v>
      </c>
      <c r="C182" s="52" t="s">
        <v>286</v>
      </c>
      <c r="D182" s="52"/>
      <c r="E182" s="52"/>
      <c r="F182" s="52"/>
      <c r="G182" s="12" t="s">
        <v>400</v>
      </c>
      <c r="H182" s="12" t="s">
        <v>400</v>
      </c>
      <c r="I182" s="12" t="s">
        <v>400</v>
      </c>
      <c r="J182" s="15">
        <f>SUM(J183:J188)</f>
        <v>0</v>
      </c>
      <c r="K182" s="15">
        <f>SUM(K183:K188)</f>
        <v>0</v>
      </c>
      <c r="L182" s="15">
        <f>SUM(L183:L188)</f>
        <v>0</v>
      </c>
      <c r="M182" s="18" t="s">
        <v>299</v>
      </c>
      <c r="AI182" s="33" t="s">
        <v>299</v>
      </c>
      <c r="AS182" s="15">
        <f>SUM(AJ183:AJ188)</f>
        <v>0</v>
      </c>
      <c r="AT182" s="15">
        <f>SUM(AK183:AK188)</f>
        <v>0</v>
      </c>
      <c r="AU182" s="15">
        <f>SUM(AL183:AL188)</f>
        <v>0</v>
      </c>
    </row>
    <row r="183" spans="1:64" ht="15" customHeight="1" x14ac:dyDescent="0.3">
      <c r="A183" s="39" t="s">
        <v>19</v>
      </c>
      <c r="B183" s="9" t="s">
        <v>126</v>
      </c>
      <c r="C183" s="50" t="s">
        <v>20</v>
      </c>
      <c r="D183" s="50"/>
      <c r="E183" s="50"/>
      <c r="F183" s="50"/>
      <c r="G183" s="9" t="s">
        <v>111</v>
      </c>
      <c r="H183" s="2">
        <v>5</v>
      </c>
      <c r="I183" s="2"/>
      <c r="J183" s="2">
        <f>H183*AO183</f>
        <v>0</v>
      </c>
      <c r="K183" s="2">
        <f>H183*AP183</f>
        <v>0</v>
      </c>
      <c r="L183" s="2">
        <f>H183*I183</f>
        <v>0</v>
      </c>
      <c r="M183" s="36" t="s">
        <v>365</v>
      </c>
      <c r="Z183" s="2">
        <f>IF(AQ183="5",BJ183,0)</f>
        <v>0</v>
      </c>
      <c r="AB183" s="2">
        <f>IF(AQ183="1",BH183,0)</f>
        <v>0</v>
      </c>
      <c r="AC183" s="2">
        <f>IF(AQ183="1",BI183,0)</f>
        <v>0</v>
      </c>
      <c r="AD183" s="2">
        <f>IF(AQ183="7",BH183,0)</f>
        <v>0</v>
      </c>
      <c r="AE183" s="2">
        <f>IF(AQ183="7",BI183,0)</f>
        <v>0</v>
      </c>
      <c r="AF183" s="2">
        <f>IF(AQ183="2",BH183,0)</f>
        <v>0</v>
      </c>
      <c r="AG183" s="2">
        <f>IF(AQ183="2",BI183,0)</f>
        <v>0</v>
      </c>
      <c r="AH183" s="2">
        <f>IF(AQ183="0",BJ183,0)</f>
        <v>0</v>
      </c>
      <c r="AI183" s="33" t="s">
        <v>299</v>
      </c>
      <c r="AJ183" s="2">
        <f>IF(AN183=0,L183,0)</f>
        <v>0</v>
      </c>
      <c r="AK183" s="2">
        <f>IF(AN183=15,L183,0)</f>
        <v>0</v>
      </c>
      <c r="AL183" s="2">
        <f>IF(AN183=21,L183,0)</f>
        <v>0</v>
      </c>
      <c r="AN183" s="2">
        <v>21</v>
      </c>
      <c r="AO183" s="2">
        <f>I183*0.825534709193246</f>
        <v>0</v>
      </c>
      <c r="AP183" s="2">
        <f>I183*(1-0.825534709193246)</f>
        <v>0</v>
      </c>
      <c r="AQ183" s="44" t="s">
        <v>432</v>
      </c>
      <c r="AV183" s="2">
        <f>AW183+AX183</f>
        <v>0</v>
      </c>
      <c r="AW183" s="2">
        <f>H183*AO183</f>
        <v>0</v>
      </c>
      <c r="AX183" s="2">
        <f>H183*AP183</f>
        <v>0</v>
      </c>
      <c r="AY183" s="44" t="s">
        <v>88</v>
      </c>
      <c r="AZ183" s="44" t="s">
        <v>392</v>
      </c>
      <c r="BA183" s="33" t="s">
        <v>329</v>
      </c>
      <c r="BC183" s="2">
        <f>AW183+AX183</f>
        <v>0</v>
      </c>
      <c r="BD183" s="2">
        <f>I183/(100-BE183)*100</f>
        <v>0</v>
      </c>
      <c r="BE183" s="2">
        <v>0</v>
      </c>
      <c r="BF183" s="2">
        <f>190</f>
        <v>190</v>
      </c>
      <c r="BH183" s="2">
        <f>H183*AO183</f>
        <v>0</v>
      </c>
      <c r="BI183" s="2">
        <f>H183*AP183</f>
        <v>0</v>
      </c>
      <c r="BJ183" s="2">
        <f>H183*I183</f>
        <v>0</v>
      </c>
      <c r="BK183" s="2"/>
      <c r="BL183" s="2">
        <v>734</v>
      </c>
    </row>
    <row r="184" spans="1:64" ht="15" customHeight="1" x14ac:dyDescent="0.3">
      <c r="A184" s="6"/>
      <c r="C184" s="29" t="s">
        <v>221</v>
      </c>
      <c r="F184" s="29" t="s">
        <v>299</v>
      </c>
      <c r="H184" s="10">
        <v>5</v>
      </c>
      <c r="M184" s="41"/>
    </row>
    <row r="185" spans="1:64" ht="15" customHeight="1" x14ac:dyDescent="0.3">
      <c r="A185" s="39" t="s">
        <v>458</v>
      </c>
      <c r="B185" s="9" t="s">
        <v>317</v>
      </c>
      <c r="C185" s="50" t="s">
        <v>70</v>
      </c>
      <c r="D185" s="50"/>
      <c r="E185" s="50"/>
      <c r="F185" s="50"/>
      <c r="G185" s="9" t="s">
        <v>111</v>
      </c>
      <c r="H185" s="2">
        <v>5</v>
      </c>
      <c r="I185" s="2"/>
      <c r="J185" s="2">
        <f>H185*AO185</f>
        <v>0</v>
      </c>
      <c r="K185" s="2">
        <f>H185*AP185</f>
        <v>0</v>
      </c>
      <c r="L185" s="2">
        <f>H185*I185</f>
        <v>0</v>
      </c>
      <c r="M185" s="36" t="s">
        <v>365</v>
      </c>
      <c r="Z185" s="2">
        <f>IF(AQ185="5",BJ185,0)</f>
        <v>0</v>
      </c>
      <c r="AB185" s="2">
        <f>IF(AQ185="1",BH185,0)</f>
        <v>0</v>
      </c>
      <c r="AC185" s="2">
        <f>IF(AQ185="1",BI185,0)</f>
        <v>0</v>
      </c>
      <c r="AD185" s="2">
        <f>IF(AQ185="7",BH185,0)</f>
        <v>0</v>
      </c>
      <c r="AE185" s="2">
        <f>IF(AQ185="7",BI185,0)</f>
        <v>0</v>
      </c>
      <c r="AF185" s="2">
        <f>IF(AQ185="2",BH185,0)</f>
        <v>0</v>
      </c>
      <c r="AG185" s="2">
        <f>IF(AQ185="2",BI185,0)</f>
        <v>0</v>
      </c>
      <c r="AH185" s="2">
        <f>IF(AQ185="0",BJ185,0)</f>
        <v>0</v>
      </c>
      <c r="AI185" s="33" t="s">
        <v>299</v>
      </c>
      <c r="AJ185" s="2">
        <f>IF(AN185=0,L185,0)</f>
        <v>0</v>
      </c>
      <c r="AK185" s="2">
        <f>IF(AN185=15,L185,0)</f>
        <v>0</v>
      </c>
      <c r="AL185" s="2">
        <f>IF(AN185=21,L185,0)</f>
        <v>0</v>
      </c>
      <c r="AN185" s="2">
        <v>21</v>
      </c>
      <c r="AO185" s="2">
        <f>I185*0.861020733652313</f>
        <v>0</v>
      </c>
      <c r="AP185" s="2">
        <f>I185*(1-0.861020733652313)</f>
        <v>0</v>
      </c>
      <c r="AQ185" s="44" t="s">
        <v>432</v>
      </c>
      <c r="AV185" s="2">
        <f>AW185+AX185</f>
        <v>0</v>
      </c>
      <c r="AW185" s="2">
        <f>H185*AO185</f>
        <v>0</v>
      </c>
      <c r="AX185" s="2">
        <f>H185*AP185</f>
        <v>0</v>
      </c>
      <c r="AY185" s="44" t="s">
        <v>88</v>
      </c>
      <c r="AZ185" s="44" t="s">
        <v>392</v>
      </c>
      <c r="BA185" s="33" t="s">
        <v>329</v>
      </c>
      <c r="BC185" s="2">
        <f>AW185+AX185</f>
        <v>0</v>
      </c>
      <c r="BD185" s="2">
        <f>I185/(100-BE185)*100</f>
        <v>0</v>
      </c>
      <c r="BE185" s="2">
        <v>0</v>
      </c>
      <c r="BF185" s="2">
        <f>192</f>
        <v>192</v>
      </c>
      <c r="BH185" s="2">
        <f>H185*AO185</f>
        <v>0</v>
      </c>
      <c r="BI185" s="2">
        <f>H185*AP185</f>
        <v>0</v>
      </c>
      <c r="BJ185" s="2">
        <f>H185*I185</f>
        <v>0</v>
      </c>
      <c r="BK185" s="2"/>
      <c r="BL185" s="2">
        <v>734</v>
      </c>
    </row>
    <row r="186" spans="1:64" ht="15" customHeight="1" x14ac:dyDescent="0.3">
      <c r="A186" s="6"/>
      <c r="C186" s="29" t="s">
        <v>221</v>
      </c>
      <c r="F186" s="29" t="s">
        <v>299</v>
      </c>
      <c r="H186" s="10">
        <v>5</v>
      </c>
      <c r="M186" s="41"/>
    </row>
    <row r="187" spans="1:64" ht="15" customHeight="1" x14ac:dyDescent="0.3">
      <c r="A187" s="22" t="s">
        <v>451</v>
      </c>
      <c r="B187" s="7" t="s">
        <v>199</v>
      </c>
      <c r="C187" s="53" t="s">
        <v>486</v>
      </c>
      <c r="D187" s="53"/>
      <c r="E187" s="53"/>
      <c r="F187" s="53"/>
      <c r="G187" s="7" t="s">
        <v>111</v>
      </c>
      <c r="H187" s="46">
        <v>5</v>
      </c>
      <c r="I187" s="46"/>
      <c r="J187" s="46">
        <f>H187*AO187</f>
        <v>0</v>
      </c>
      <c r="K187" s="46">
        <f>H187*AP187</f>
        <v>0</v>
      </c>
      <c r="L187" s="46">
        <f>H187*I187</f>
        <v>0</v>
      </c>
      <c r="M187" s="37" t="s">
        <v>365</v>
      </c>
      <c r="Z187" s="2">
        <f>IF(AQ187="5",BJ187,0)</f>
        <v>0</v>
      </c>
      <c r="AB187" s="2">
        <f>IF(AQ187="1",BH187,0)</f>
        <v>0</v>
      </c>
      <c r="AC187" s="2">
        <f>IF(AQ187="1",BI187,0)</f>
        <v>0</v>
      </c>
      <c r="AD187" s="2">
        <f>IF(AQ187="7",BH187,0)</f>
        <v>0</v>
      </c>
      <c r="AE187" s="2">
        <f>IF(AQ187="7",BI187,0)</f>
        <v>0</v>
      </c>
      <c r="AF187" s="2">
        <f>IF(AQ187="2",BH187,0)</f>
        <v>0</v>
      </c>
      <c r="AG187" s="2">
        <f>IF(AQ187="2",BI187,0)</f>
        <v>0</v>
      </c>
      <c r="AH187" s="2">
        <f>IF(AQ187="0",BJ187,0)</f>
        <v>0</v>
      </c>
      <c r="AI187" s="33" t="s">
        <v>299</v>
      </c>
      <c r="AJ187" s="46">
        <f>IF(AN187=0,L187,0)</f>
        <v>0</v>
      </c>
      <c r="AK187" s="46">
        <f>IF(AN187=15,L187,0)</f>
        <v>0</v>
      </c>
      <c r="AL187" s="46">
        <f>IF(AN187=21,L187,0)</f>
        <v>0</v>
      </c>
      <c r="AN187" s="2">
        <v>21</v>
      </c>
      <c r="AO187" s="2">
        <f>I187*1</f>
        <v>0</v>
      </c>
      <c r="AP187" s="2">
        <f>I187*(1-1)</f>
        <v>0</v>
      </c>
      <c r="AQ187" s="27" t="s">
        <v>432</v>
      </c>
      <c r="AV187" s="2">
        <f>AW187+AX187</f>
        <v>0</v>
      </c>
      <c r="AW187" s="2">
        <f>H187*AO187</f>
        <v>0</v>
      </c>
      <c r="AX187" s="2">
        <f>H187*AP187</f>
        <v>0</v>
      </c>
      <c r="AY187" s="44" t="s">
        <v>88</v>
      </c>
      <c r="AZ187" s="44" t="s">
        <v>392</v>
      </c>
      <c r="BA187" s="33" t="s">
        <v>329</v>
      </c>
      <c r="BC187" s="2">
        <f>AW187+AX187</f>
        <v>0</v>
      </c>
      <c r="BD187" s="2">
        <f>I187/(100-BE187)*100</f>
        <v>0</v>
      </c>
      <c r="BE187" s="2">
        <v>0</v>
      </c>
      <c r="BF187" s="2">
        <f>194</f>
        <v>194</v>
      </c>
      <c r="BH187" s="46">
        <f>H187*AO187</f>
        <v>0</v>
      </c>
      <c r="BI187" s="46">
        <f>H187*AP187</f>
        <v>0</v>
      </c>
      <c r="BJ187" s="46">
        <f>H187*I187</f>
        <v>0</v>
      </c>
      <c r="BK187" s="46"/>
      <c r="BL187" s="2">
        <v>734</v>
      </c>
    </row>
    <row r="188" spans="1:64" ht="15" customHeight="1" x14ac:dyDescent="0.3">
      <c r="A188" s="6"/>
      <c r="C188" s="29" t="s">
        <v>221</v>
      </c>
      <c r="F188" s="29" t="s">
        <v>299</v>
      </c>
      <c r="H188" s="10">
        <v>5</v>
      </c>
      <c r="M188" s="41"/>
    </row>
    <row r="189" spans="1:64" ht="15" customHeight="1" x14ac:dyDescent="0.3">
      <c r="A189" s="19" t="s">
        <v>299</v>
      </c>
      <c r="B189" s="34" t="s">
        <v>443</v>
      </c>
      <c r="C189" s="52" t="s">
        <v>323</v>
      </c>
      <c r="D189" s="52"/>
      <c r="E189" s="52"/>
      <c r="F189" s="52"/>
      <c r="G189" s="12" t="s">
        <v>400</v>
      </c>
      <c r="H189" s="12" t="s">
        <v>400</v>
      </c>
      <c r="I189" s="12" t="s">
        <v>400</v>
      </c>
      <c r="J189" s="15">
        <f>SUM(J190:J219)</f>
        <v>0</v>
      </c>
      <c r="K189" s="15">
        <f>SUM(K190:K219)</f>
        <v>0</v>
      </c>
      <c r="L189" s="15">
        <f>SUM(L190:L219)</f>
        <v>0</v>
      </c>
      <c r="M189" s="18" t="s">
        <v>299</v>
      </c>
      <c r="AI189" s="33" t="s">
        <v>299</v>
      </c>
      <c r="AS189" s="15">
        <f>SUM(AJ190:AJ219)</f>
        <v>0</v>
      </c>
      <c r="AT189" s="15">
        <f>SUM(AK190:AK219)</f>
        <v>0</v>
      </c>
      <c r="AU189" s="15">
        <f>SUM(AL190:AL219)</f>
        <v>0</v>
      </c>
    </row>
    <row r="190" spans="1:64" ht="15" customHeight="1" x14ac:dyDescent="0.3">
      <c r="A190" s="39" t="s">
        <v>17</v>
      </c>
      <c r="B190" s="9" t="s">
        <v>14</v>
      </c>
      <c r="C190" s="50" t="s">
        <v>426</v>
      </c>
      <c r="D190" s="50"/>
      <c r="E190" s="50"/>
      <c r="F190" s="50"/>
      <c r="G190" s="9" t="s">
        <v>111</v>
      </c>
      <c r="H190" s="2">
        <v>1</v>
      </c>
      <c r="I190" s="2"/>
      <c r="J190" s="2">
        <f>H190*AO190</f>
        <v>0</v>
      </c>
      <c r="K190" s="2">
        <f>H190*AP190</f>
        <v>0</v>
      </c>
      <c r="L190" s="2">
        <f>H190*I190</f>
        <v>0</v>
      </c>
      <c r="M190" s="36" t="s">
        <v>365</v>
      </c>
      <c r="Z190" s="2">
        <f>IF(AQ190="5",BJ190,0)</f>
        <v>0</v>
      </c>
      <c r="AB190" s="2">
        <f>IF(AQ190="1",BH190,0)</f>
        <v>0</v>
      </c>
      <c r="AC190" s="2">
        <f>IF(AQ190="1",BI190,0)</f>
        <v>0</v>
      </c>
      <c r="AD190" s="2">
        <f>IF(AQ190="7",BH190,0)</f>
        <v>0</v>
      </c>
      <c r="AE190" s="2">
        <f>IF(AQ190="7",BI190,0)</f>
        <v>0</v>
      </c>
      <c r="AF190" s="2">
        <f>IF(AQ190="2",BH190,0)</f>
        <v>0</v>
      </c>
      <c r="AG190" s="2">
        <f>IF(AQ190="2",BI190,0)</f>
        <v>0</v>
      </c>
      <c r="AH190" s="2">
        <f>IF(AQ190="0",BJ190,0)</f>
        <v>0</v>
      </c>
      <c r="AI190" s="33" t="s">
        <v>299</v>
      </c>
      <c r="AJ190" s="2">
        <f>IF(AN190=0,L190,0)</f>
        <v>0</v>
      </c>
      <c r="AK190" s="2">
        <f>IF(AN190=15,L190,0)</f>
        <v>0</v>
      </c>
      <c r="AL190" s="2">
        <f>IF(AN190=21,L190,0)</f>
        <v>0</v>
      </c>
      <c r="AN190" s="2">
        <v>21</v>
      </c>
      <c r="AO190" s="2">
        <f>I190*0.100404071402997</f>
        <v>0</v>
      </c>
      <c r="AP190" s="2">
        <f>I190*(1-0.100404071402997)</f>
        <v>0</v>
      </c>
      <c r="AQ190" s="44" t="s">
        <v>432</v>
      </c>
      <c r="AV190" s="2">
        <f>AW190+AX190</f>
        <v>0</v>
      </c>
      <c r="AW190" s="2">
        <f>H190*AO190</f>
        <v>0</v>
      </c>
      <c r="AX190" s="2">
        <f>H190*AP190</f>
        <v>0</v>
      </c>
      <c r="AY190" s="44" t="s">
        <v>234</v>
      </c>
      <c r="AZ190" s="44" t="s">
        <v>392</v>
      </c>
      <c r="BA190" s="33" t="s">
        <v>329</v>
      </c>
      <c r="BC190" s="2">
        <f>AW190+AX190</f>
        <v>0</v>
      </c>
      <c r="BD190" s="2">
        <f>I190/(100-BE190)*100</f>
        <v>0</v>
      </c>
      <c r="BE190" s="2">
        <v>0</v>
      </c>
      <c r="BF190" s="2">
        <f>198</f>
        <v>198</v>
      </c>
      <c r="BH190" s="2">
        <f>H190*AO190</f>
        <v>0</v>
      </c>
      <c r="BI190" s="2">
        <f>H190*AP190</f>
        <v>0</v>
      </c>
      <c r="BJ190" s="2">
        <f>H190*I190</f>
        <v>0</v>
      </c>
      <c r="BK190" s="2"/>
      <c r="BL190" s="2">
        <v>735</v>
      </c>
    </row>
    <row r="191" spans="1:64" ht="15" customHeight="1" x14ac:dyDescent="0.3">
      <c r="A191" s="6"/>
      <c r="C191" s="29" t="s">
        <v>429</v>
      </c>
      <c r="F191" s="29" t="s">
        <v>299</v>
      </c>
      <c r="H191" s="10">
        <v>1</v>
      </c>
      <c r="M191" s="41"/>
    </row>
    <row r="192" spans="1:64" ht="15" customHeight="1" x14ac:dyDescent="0.3">
      <c r="A192" s="39" t="s">
        <v>1</v>
      </c>
      <c r="B192" s="9" t="s">
        <v>79</v>
      </c>
      <c r="C192" s="50" t="s">
        <v>272</v>
      </c>
      <c r="D192" s="50"/>
      <c r="E192" s="50"/>
      <c r="F192" s="50"/>
      <c r="G192" s="9" t="s">
        <v>188</v>
      </c>
      <c r="H192" s="2">
        <v>4.6800000000000001E-2</v>
      </c>
      <c r="I192" s="2"/>
      <c r="J192" s="2">
        <f>H192*AO192</f>
        <v>0</v>
      </c>
      <c r="K192" s="2">
        <f>H192*AP192</f>
        <v>0</v>
      </c>
      <c r="L192" s="2">
        <f>H192*I192</f>
        <v>0</v>
      </c>
      <c r="M192" s="36" t="s">
        <v>365</v>
      </c>
      <c r="Z192" s="2">
        <f>IF(AQ192="5",BJ192,0)</f>
        <v>0</v>
      </c>
      <c r="AB192" s="2">
        <f>IF(AQ192="1",BH192,0)</f>
        <v>0</v>
      </c>
      <c r="AC192" s="2">
        <f>IF(AQ192="1",BI192,0)</f>
        <v>0</v>
      </c>
      <c r="AD192" s="2">
        <f>IF(AQ192="7",BH192,0)</f>
        <v>0</v>
      </c>
      <c r="AE192" s="2">
        <f>IF(AQ192="7",BI192,0)</f>
        <v>0</v>
      </c>
      <c r="AF192" s="2">
        <f>IF(AQ192="2",BH192,0)</f>
        <v>0</v>
      </c>
      <c r="AG192" s="2">
        <f>IF(AQ192="2",BI192,0)</f>
        <v>0</v>
      </c>
      <c r="AH192" s="2">
        <f>IF(AQ192="0",BJ192,0)</f>
        <v>0</v>
      </c>
      <c r="AI192" s="33" t="s">
        <v>299</v>
      </c>
      <c r="AJ192" s="2">
        <f>IF(AN192=0,L192,0)</f>
        <v>0</v>
      </c>
      <c r="AK192" s="2">
        <f>IF(AN192=15,L192,0)</f>
        <v>0</v>
      </c>
      <c r="AL192" s="2">
        <f>IF(AN192=21,L192,0)</f>
        <v>0</v>
      </c>
      <c r="AN192" s="2">
        <v>21</v>
      </c>
      <c r="AO192" s="2">
        <f>I192*0</f>
        <v>0</v>
      </c>
      <c r="AP192" s="2">
        <f>I192*(1-0)</f>
        <v>0</v>
      </c>
      <c r="AQ192" s="44" t="s">
        <v>432</v>
      </c>
      <c r="AV192" s="2">
        <f>AW192+AX192</f>
        <v>0</v>
      </c>
      <c r="AW192" s="2">
        <f>H192*AO192</f>
        <v>0</v>
      </c>
      <c r="AX192" s="2">
        <f>H192*AP192</f>
        <v>0</v>
      </c>
      <c r="AY192" s="44" t="s">
        <v>234</v>
      </c>
      <c r="AZ192" s="44" t="s">
        <v>392</v>
      </c>
      <c r="BA192" s="33" t="s">
        <v>329</v>
      </c>
      <c r="BC192" s="2">
        <f>AW192+AX192</f>
        <v>0</v>
      </c>
      <c r="BD192" s="2">
        <f>I192/(100-BE192)*100</f>
        <v>0</v>
      </c>
      <c r="BE192" s="2">
        <v>0</v>
      </c>
      <c r="BF192" s="2">
        <f>200</f>
        <v>200</v>
      </c>
      <c r="BH192" s="2">
        <f>H192*AO192</f>
        <v>0</v>
      </c>
      <c r="BI192" s="2">
        <f>H192*AP192</f>
        <v>0</v>
      </c>
      <c r="BJ192" s="2">
        <f>H192*I192</f>
        <v>0</v>
      </c>
      <c r="BK192" s="2"/>
      <c r="BL192" s="2">
        <v>735</v>
      </c>
    </row>
    <row r="193" spans="1:64" ht="15" customHeight="1" x14ac:dyDescent="0.3">
      <c r="A193" s="6"/>
      <c r="C193" s="29" t="s">
        <v>296</v>
      </c>
      <c r="F193" s="29" t="s">
        <v>299</v>
      </c>
      <c r="H193" s="10">
        <v>4.6800000000000001E-2</v>
      </c>
      <c r="M193" s="41"/>
    </row>
    <row r="194" spans="1:64" ht="15" customHeight="1" x14ac:dyDescent="0.3">
      <c r="A194" s="11" t="s">
        <v>391</v>
      </c>
      <c r="B194" s="8" t="s">
        <v>112</v>
      </c>
      <c r="C194" s="51" t="s">
        <v>331</v>
      </c>
      <c r="D194" s="50"/>
      <c r="E194" s="50"/>
      <c r="F194" s="51"/>
      <c r="G194" s="8" t="s">
        <v>111</v>
      </c>
      <c r="H194" s="24">
        <v>6</v>
      </c>
      <c r="I194" s="24"/>
      <c r="J194" s="24">
        <f>H194*AO194</f>
        <v>0</v>
      </c>
      <c r="K194" s="24">
        <f>H194*AP194</f>
        <v>0</v>
      </c>
      <c r="L194" s="24">
        <f>H194*I194</f>
        <v>0</v>
      </c>
      <c r="M194" s="28" t="s">
        <v>365</v>
      </c>
      <c r="Z194" s="2">
        <f>IF(AQ194="5",BJ194,0)</f>
        <v>0</v>
      </c>
      <c r="AB194" s="2">
        <f>IF(AQ194="1",BH194,0)</f>
        <v>0</v>
      </c>
      <c r="AC194" s="2">
        <f>IF(AQ194="1",BI194,0)</f>
        <v>0</v>
      </c>
      <c r="AD194" s="2">
        <f>IF(AQ194="7",BH194,0)</f>
        <v>0</v>
      </c>
      <c r="AE194" s="2">
        <f>IF(AQ194="7",BI194,0)</f>
        <v>0</v>
      </c>
      <c r="AF194" s="2">
        <f>IF(AQ194="2",BH194,0)</f>
        <v>0</v>
      </c>
      <c r="AG194" s="2">
        <f>IF(AQ194="2",BI194,0)</f>
        <v>0</v>
      </c>
      <c r="AH194" s="2">
        <f>IF(AQ194="0",BJ194,0)</f>
        <v>0</v>
      </c>
      <c r="AI194" s="33" t="s">
        <v>299</v>
      </c>
      <c r="AJ194" s="2">
        <f>IF(AN194=0,L194,0)</f>
        <v>0</v>
      </c>
      <c r="AK194" s="2">
        <f>IF(AN194=15,L194,0)</f>
        <v>0</v>
      </c>
      <c r="AL194" s="2">
        <f>IF(AN194=21,L194,0)</f>
        <v>0</v>
      </c>
      <c r="AN194" s="2">
        <v>21</v>
      </c>
      <c r="AO194" s="2">
        <f>I194*0.130431893687708</f>
        <v>0</v>
      </c>
      <c r="AP194" s="2">
        <f>I194*(1-0.130431893687708)</f>
        <v>0</v>
      </c>
      <c r="AQ194" s="44" t="s">
        <v>432</v>
      </c>
      <c r="AV194" s="2">
        <f>AW194+AX194</f>
        <v>0</v>
      </c>
      <c r="AW194" s="2">
        <f>H194*AO194</f>
        <v>0</v>
      </c>
      <c r="AX194" s="2">
        <f>H194*AP194</f>
        <v>0</v>
      </c>
      <c r="AY194" s="44" t="s">
        <v>234</v>
      </c>
      <c r="AZ194" s="44" t="s">
        <v>392</v>
      </c>
      <c r="BA194" s="33" t="s">
        <v>329</v>
      </c>
      <c r="BC194" s="2">
        <f>AW194+AX194</f>
        <v>0</v>
      </c>
      <c r="BD194" s="2">
        <f>I194/(100-BE194)*100</f>
        <v>0</v>
      </c>
      <c r="BE194" s="2">
        <v>0</v>
      </c>
      <c r="BF194" s="2">
        <f>202</f>
        <v>202</v>
      </c>
      <c r="BH194" s="2">
        <f>H194*AO194</f>
        <v>0</v>
      </c>
      <c r="BI194" s="2">
        <f>H194*AP194</f>
        <v>0</v>
      </c>
      <c r="BJ194" s="2">
        <f>H194*I194</f>
        <v>0</v>
      </c>
      <c r="BK194" s="2"/>
      <c r="BL194" s="2">
        <v>735</v>
      </c>
    </row>
    <row r="195" spans="1:64" ht="15" customHeight="1" x14ac:dyDescent="0.3">
      <c r="A195" s="47"/>
      <c r="B195" s="23"/>
      <c r="C195" s="1" t="s">
        <v>429</v>
      </c>
      <c r="F195" s="1" t="s">
        <v>425</v>
      </c>
      <c r="G195" s="23"/>
      <c r="H195" s="4">
        <v>1</v>
      </c>
      <c r="I195" s="23"/>
      <c r="J195" s="23"/>
      <c r="K195" s="23"/>
      <c r="L195" s="23"/>
      <c r="M195" s="38"/>
    </row>
    <row r="196" spans="1:64" ht="15" customHeight="1" x14ac:dyDescent="0.3">
      <c r="A196" s="47"/>
      <c r="B196" s="23"/>
      <c r="C196" s="1" t="s">
        <v>221</v>
      </c>
      <c r="F196" s="1" t="s">
        <v>62</v>
      </c>
      <c r="G196" s="23"/>
      <c r="H196" s="4">
        <v>5</v>
      </c>
      <c r="I196" s="23"/>
      <c r="J196" s="23"/>
      <c r="K196" s="23"/>
      <c r="L196" s="23"/>
      <c r="M196" s="38"/>
    </row>
    <row r="197" spans="1:64" ht="15" customHeight="1" x14ac:dyDescent="0.3">
      <c r="A197" s="11" t="s">
        <v>59</v>
      </c>
      <c r="B197" s="8" t="s">
        <v>134</v>
      </c>
      <c r="C197" s="51" t="s">
        <v>363</v>
      </c>
      <c r="D197" s="50"/>
      <c r="E197" s="50"/>
      <c r="F197" s="51"/>
      <c r="G197" s="8" t="s">
        <v>111</v>
      </c>
      <c r="H197" s="24">
        <v>6</v>
      </c>
      <c r="I197" s="24"/>
      <c r="J197" s="24">
        <f>H197*AO197</f>
        <v>0</v>
      </c>
      <c r="K197" s="24">
        <f>H197*AP197</f>
        <v>0</v>
      </c>
      <c r="L197" s="24">
        <f>H197*I197</f>
        <v>0</v>
      </c>
      <c r="M197" s="28" t="s">
        <v>365</v>
      </c>
      <c r="Z197" s="2">
        <f>IF(AQ197="5",BJ197,0)</f>
        <v>0</v>
      </c>
      <c r="AB197" s="2">
        <f>IF(AQ197="1",BH197,0)</f>
        <v>0</v>
      </c>
      <c r="AC197" s="2">
        <f>IF(AQ197="1",BI197,0)</f>
        <v>0</v>
      </c>
      <c r="AD197" s="2">
        <f>IF(AQ197="7",BH197,0)</f>
        <v>0</v>
      </c>
      <c r="AE197" s="2">
        <f>IF(AQ197="7",BI197,0)</f>
        <v>0</v>
      </c>
      <c r="AF197" s="2">
        <f>IF(AQ197="2",BH197,0)</f>
        <v>0</v>
      </c>
      <c r="AG197" s="2">
        <f>IF(AQ197="2",BI197,0)</f>
        <v>0</v>
      </c>
      <c r="AH197" s="2">
        <f>IF(AQ197="0",BJ197,0)</f>
        <v>0</v>
      </c>
      <c r="AI197" s="33" t="s">
        <v>299</v>
      </c>
      <c r="AJ197" s="2">
        <f>IF(AN197=0,L197,0)</f>
        <v>0</v>
      </c>
      <c r="AK197" s="2">
        <f>IF(AN197=15,L197,0)</f>
        <v>0</v>
      </c>
      <c r="AL197" s="2">
        <f>IF(AN197=21,L197,0)</f>
        <v>0</v>
      </c>
      <c r="AN197" s="2">
        <v>21</v>
      </c>
      <c r="AO197" s="2">
        <f>I197*0.376706443914081</f>
        <v>0</v>
      </c>
      <c r="AP197" s="2">
        <f>I197*(1-0.376706443914081)</f>
        <v>0</v>
      </c>
      <c r="AQ197" s="44" t="s">
        <v>432</v>
      </c>
      <c r="AV197" s="2">
        <f>AW197+AX197</f>
        <v>0</v>
      </c>
      <c r="AW197" s="2">
        <f>H197*AO197</f>
        <v>0</v>
      </c>
      <c r="AX197" s="2">
        <f>H197*AP197</f>
        <v>0</v>
      </c>
      <c r="AY197" s="44" t="s">
        <v>234</v>
      </c>
      <c r="AZ197" s="44" t="s">
        <v>392</v>
      </c>
      <c r="BA197" s="33" t="s">
        <v>329</v>
      </c>
      <c r="BC197" s="2">
        <f>AW197+AX197</f>
        <v>0</v>
      </c>
      <c r="BD197" s="2">
        <f>I197/(100-BE197)*100</f>
        <v>0</v>
      </c>
      <c r="BE197" s="2">
        <v>0</v>
      </c>
      <c r="BF197" s="2">
        <f>205</f>
        <v>205</v>
      </c>
      <c r="BH197" s="2">
        <f>H197*AO197</f>
        <v>0</v>
      </c>
      <c r="BI197" s="2">
        <f>H197*AP197</f>
        <v>0</v>
      </c>
      <c r="BJ197" s="2">
        <f>H197*I197</f>
        <v>0</v>
      </c>
      <c r="BK197" s="2"/>
      <c r="BL197" s="2">
        <v>735</v>
      </c>
    </row>
    <row r="198" spans="1:64" ht="15" customHeight="1" x14ac:dyDescent="0.3">
      <c r="A198" s="47"/>
      <c r="B198" s="23"/>
      <c r="C198" s="1" t="s">
        <v>429</v>
      </c>
      <c r="F198" s="1" t="s">
        <v>425</v>
      </c>
      <c r="G198" s="23"/>
      <c r="H198" s="4">
        <v>1</v>
      </c>
      <c r="I198" s="23"/>
      <c r="J198" s="23"/>
      <c r="K198" s="23"/>
      <c r="L198" s="23"/>
      <c r="M198" s="38"/>
    </row>
    <row r="199" spans="1:64" ht="15" customHeight="1" x14ac:dyDescent="0.3">
      <c r="A199" s="47"/>
      <c r="B199" s="23"/>
      <c r="C199" s="1" t="s">
        <v>221</v>
      </c>
      <c r="F199" s="1" t="s">
        <v>62</v>
      </c>
      <c r="G199" s="23"/>
      <c r="H199" s="4">
        <v>5</v>
      </c>
      <c r="I199" s="23"/>
      <c r="J199" s="23"/>
      <c r="K199" s="23"/>
      <c r="L199" s="23"/>
      <c r="M199" s="38"/>
    </row>
    <row r="200" spans="1:64" ht="15" customHeight="1" x14ac:dyDescent="0.3">
      <c r="A200" s="11" t="s">
        <v>162</v>
      </c>
      <c r="B200" s="8" t="s">
        <v>10</v>
      </c>
      <c r="C200" s="51" t="s">
        <v>343</v>
      </c>
      <c r="D200" s="50"/>
      <c r="E200" s="50"/>
      <c r="F200" s="51"/>
      <c r="G200" s="8" t="s">
        <v>111</v>
      </c>
      <c r="H200" s="24">
        <v>1</v>
      </c>
      <c r="I200" s="24"/>
      <c r="J200" s="24">
        <f>H200*AO200</f>
        <v>0</v>
      </c>
      <c r="K200" s="24">
        <f>H200*AP200</f>
        <v>0</v>
      </c>
      <c r="L200" s="24">
        <f>H200*I200</f>
        <v>0</v>
      </c>
      <c r="M200" s="28" t="s">
        <v>365</v>
      </c>
      <c r="Z200" s="2">
        <f>IF(AQ200="5",BJ200,0)</f>
        <v>0</v>
      </c>
      <c r="AB200" s="2">
        <f>IF(AQ200="1",BH200,0)</f>
        <v>0</v>
      </c>
      <c r="AC200" s="2">
        <f>IF(AQ200="1",BI200,0)</f>
        <v>0</v>
      </c>
      <c r="AD200" s="2">
        <f>IF(AQ200="7",BH200,0)</f>
        <v>0</v>
      </c>
      <c r="AE200" s="2">
        <f>IF(AQ200="7",BI200,0)</f>
        <v>0</v>
      </c>
      <c r="AF200" s="2">
        <f>IF(AQ200="2",BH200,0)</f>
        <v>0</v>
      </c>
      <c r="AG200" s="2">
        <f>IF(AQ200="2",BI200,0)</f>
        <v>0</v>
      </c>
      <c r="AH200" s="2">
        <f>IF(AQ200="0",BJ200,0)</f>
        <v>0</v>
      </c>
      <c r="AI200" s="33" t="s">
        <v>299</v>
      </c>
      <c r="AJ200" s="2">
        <f>IF(AN200=0,L200,0)</f>
        <v>0</v>
      </c>
      <c r="AK200" s="2">
        <f>IF(AN200=15,L200,0)</f>
        <v>0</v>
      </c>
      <c r="AL200" s="2">
        <f>IF(AN200=21,L200,0)</f>
        <v>0</v>
      </c>
      <c r="AN200" s="2">
        <v>21</v>
      </c>
      <c r="AO200" s="2">
        <f>I200*0.896671232876712</f>
        <v>0</v>
      </c>
      <c r="AP200" s="2">
        <f>I200*(1-0.896671232876712)</f>
        <v>0</v>
      </c>
      <c r="AQ200" s="44" t="s">
        <v>432</v>
      </c>
      <c r="AV200" s="2">
        <f>AW200+AX200</f>
        <v>0</v>
      </c>
      <c r="AW200" s="2">
        <f>H200*AO200</f>
        <v>0</v>
      </c>
      <c r="AX200" s="2">
        <f>H200*AP200</f>
        <v>0</v>
      </c>
      <c r="AY200" s="44" t="s">
        <v>234</v>
      </c>
      <c r="AZ200" s="44" t="s">
        <v>392</v>
      </c>
      <c r="BA200" s="33" t="s">
        <v>329</v>
      </c>
      <c r="BC200" s="2">
        <f>AW200+AX200</f>
        <v>0</v>
      </c>
      <c r="BD200" s="2">
        <f>I200/(100-BE200)*100</f>
        <v>0</v>
      </c>
      <c r="BE200" s="2">
        <v>0</v>
      </c>
      <c r="BF200" s="2">
        <f>208</f>
        <v>208</v>
      </c>
      <c r="BH200" s="2">
        <f>H200*AO200</f>
        <v>0</v>
      </c>
      <c r="BI200" s="2">
        <f>H200*AP200</f>
        <v>0</v>
      </c>
      <c r="BJ200" s="2">
        <f>H200*I200</f>
        <v>0</v>
      </c>
      <c r="BK200" s="2"/>
      <c r="BL200" s="2">
        <v>735</v>
      </c>
    </row>
    <row r="201" spans="1:64" ht="15" customHeight="1" x14ac:dyDescent="0.3">
      <c r="A201" s="47"/>
      <c r="B201" s="23"/>
      <c r="C201" s="1" t="s">
        <v>429</v>
      </c>
      <c r="F201" s="1" t="s">
        <v>299</v>
      </c>
      <c r="G201" s="23"/>
      <c r="H201" s="4">
        <v>1</v>
      </c>
      <c r="I201" s="23"/>
      <c r="J201" s="23"/>
      <c r="K201" s="23"/>
      <c r="L201" s="23"/>
      <c r="M201" s="38"/>
    </row>
    <row r="202" spans="1:64" ht="15" customHeight="1" x14ac:dyDescent="0.3">
      <c r="A202" s="11" t="s">
        <v>230</v>
      </c>
      <c r="B202" s="8" t="s">
        <v>428</v>
      </c>
      <c r="C202" s="51" t="s">
        <v>465</v>
      </c>
      <c r="D202" s="50"/>
      <c r="E202" s="50"/>
      <c r="F202" s="51"/>
      <c r="G202" s="8" t="s">
        <v>111</v>
      </c>
      <c r="H202" s="24">
        <v>2</v>
      </c>
      <c r="I202" s="24"/>
      <c r="J202" s="24">
        <f>H202*AO202</f>
        <v>0</v>
      </c>
      <c r="K202" s="24">
        <f>H202*AP202</f>
        <v>0</v>
      </c>
      <c r="L202" s="24">
        <f>H202*I202</f>
        <v>0</v>
      </c>
      <c r="M202" s="28" t="s">
        <v>365</v>
      </c>
      <c r="Z202" s="2">
        <f>IF(AQ202="5",BJ202,0)</f>
        <v>0</v>
      </c>
      <c r="AB202" s="2">
        <f>IF(AQ202="1",BH202,0)</f>
        <v>0</v>
      </c>
      <c r="AC202" s="2">
        <f>IF(AQ202="1",BI202,0)</f>
        <v>0</v>
      </c>
      <c r="AD202" s="2">
        <f>IF(AQ202="7",BH202,0)</f>
        <v>0</v>
      </c>
      <c r="AE202" s="2">
        <f>IF(AQ202="7",BI202,0)</f>
        <v>0</v>
      </c>
      <c r="AF202" s="2">
        <f>IF(AQ202="2",BH202,0)</f>
        <v>0</v>
      </c>
      <c r="AG202" s="2">
        <f>IF(AQ202="2",BI202,0)</f>
        <v>0</v>
      </c>
      <c r="AH202" s="2">
        <f>IF(AQ202="0",BJ202,0)</f>
        <v>0</v>
      </c>
      <c r="AI202" s="33" t="s">
        <v>299</v>
      </c>
      <c r="AJ202" s="2">
        <f>IF(AN202=0,L202,0)</f>
        <v>0</v>
      </c>
      <c r="AK202" s="2">
        <f>IF(AN202=15,L202,0)</f>
        <v>0</v>
      </c>
      <c r="AL202" s="2">
        <f>IF(AN202=21,L202,0)</f>
        <v>0</v>
      </c>
      <c r="AN202" s="2">
        <v>21</v>
      </c>
      <c r="AO202" s="2">
        <f>I202*0.911497674418605</f>
        <v>0</v>
      </c>
      <c r="AP202" s="2">
        <f>I202*(1-0.911497674418605)</f>
        <v>0</v>
      </c>
      <c r="AQ202" s="44" t="s">
        <v>432</v>
      </c>
      <c r="AV202" s="2">
        <f>AW202+AX202</f>
        <v>0</v>
      </c>
      <c r="AW202" s="2">
        <f>H202*AO202</f>
        <v>0</v>
      </c>
      <c r="AX202" s="2">
        <f>H202*AP202</f>
        <v>0</v>
      </c>
      <c r="AY202" s="44" t="s">
        <v>234</v>
      </c>
      <c r="AZ202" s="44" t="s">
        <v>392</v>
      </c>
      <c r="BA202" s="33" t="s">
        <v>329</v>
      </c>
      <c r="BC202" s="2">
        <f>AW202+AX202</f>
        <v>0</v>
      </c>
      <c r="BD202" s="2">
        <f>I202/(100-BE202)*100</f>
        <v>0</v>
      </c>
      <c r="BE202" s="2">
        <v>0</v>
      </c>
      <c r="BF202" s="2">
        <f>210</f>
        <v>210</v>
      </c>
      <c r="BH202" s="2">
        <f>H202*AO202</f>
        <v>0</v>
      </c>
      <c r="BI202" s="2">
        <f>H202*AP202</f>
        <v>0</v>
      </c>
      <c r="BJ202" s="2">
        <f>H202*I202</f>
        <v>0</v>
      </c>
      <c r="BK202" s="2"/>
      <c r="BL202" s="2">
        <v>735</v>
      </c>
    </row>
    <row r="203" spans="1:64" ht="15" customHeight="1" x14ac:dyDescent="0.3">
      <c r="A203" s="47"/>
      <c r="B203" s="23"/>
      <c r="C203" s="1" t="s">
        <v>297</v>
      </c>
      <c r="F203" s="1" t="s">
        <v>299</v>
      </c>
      <c r="G203" s="23"/>
      <c r="H203" s="4">
        <v>2</v>
      </c>
      <c r="I203" s="23"/>
      <c r="J203" s="23"/>
      <c r="K203" s="23"/>
      <c r="L203" s="23"/>
      <c r="M203" s="38"/>
    </row>
    <row r="204" spans="1:64" ht="15" customHeight="1" x14ac:dyDescent="0.3">
      <c r="A204" s="11" t="s">
        <v>57</v>
      </c>
      <c r="B204" s="8" t="s">
        <v>243</v>
      </c>
      <c r="C204" s="51" t="s">
        <v>47</v>
      </c>
      <c r="D204" s="50"/>
      <c r="E204" s="50"/>
      <c r="F204" s="51"/>
      <c r="G204" s="8" t="s">
        <v>111</v>
      </c>
      <c r="H204" s="24">
        <v>1</v>
      </c>
      <c r="I204" s="24"/>
      <c r="J204" s="24">
        <f>H204*AO204</f>
        <v>0</v>
      </c>
      <c r="K204" s="24">
        <f>H204*AP204</f>
        <v>0</v>
      </c>
      <c r="L204" s="24">
        <f>H204*I204</f>
        <v>0</v>
      </c>
      <c r="M204" s="28" t="s">
        <v>365</v>
      </c>
      <c r="Z204" s="2">
        <f>IF(AQ204="5",BJ204,0)</f>
        <v>0</v>
      </c>
      <c r="AB204" s="2">
        <f>IF(AQ204="1",BH204,0)</f>
        <v>0</v>
      </c>
      <c r="AC204" s="2">
        <f>IF(AQ204="1",BI204,0)</f>
        <v>0</v>
      </c>
      <c r="AD204" s="2">
        <f>IF(AQ204="7",BH204,0)</f>
        <v>0</v>
      </c>
      <c r="AE204" s="2">
        <f>IF(AQ204="7",BI204,0)</f>
        <v>0</v>
      </c>
      <c r="AF204" s="2">
        <f>IF(AQ204="2",BH204,0)</f>
        <v>0</v>
      </c>
      <c r="AG204" s="2">
        <f>IF(AQ204="2",BI204,0)</f>
        <v>0</v>
      </c>
      <c r="AH204" s="2">
        <f>IF(AQ204="0",BJ204,0)</f>
        <v>0</v>
      </c>
      <c r="AI204" s="33" t="s">
        <v>299</v>
      </c>
      <c r="AJ204" s="2">
        <f>IF(AN204=0,L204,0)</f>
        <v>0</v>
      </c>
      <c r="AK204" s="2">
        <f>IF(AN204=15,L204,0)</f>
        <v>0</v>
      </c>
      <c r="AL204" s="2">
        <f>IF(AN204=21,L204,0)</f>
        <v>0</v>
      </c>
      <c r="AN204" s="2">
        <v>21</v>
      </c>
      <c r="AO204" s="2">
        <f>I204*0.951587982832618</f>
        <v>0</v>
      </c>
      <c r="AP204" s="2">
        <f>I204*(1-0.951587982832618)</f>
        <v>0</v>
      </c>
      <c r="AQ204" s="44" t="s">
        <v>432</v>
      </c>
      <c r="AV204" s="2">
        <f>AW204+AX204</f>
        <v>0</v>
      </c>
      <c r="AW204" s="2">
        <f>H204*AO204</f>
        <v>0</v>
      </c>
      <c r="AX204" s="2">
        <f>H204*AP204</f>
        <v>0</v>
      </c>
      <c r="AY204" s="44" t="s">
        <v>234</v>
      </c>
      <c r="AZ204" s="44" t="s">
        <v>392</v>
      </c>
      <c r="BA204" s="33" t="s">
        <v>329</v>
      </c>
      <c r="BC204" s="2">
        <f>AW204+AX204</f>
        <v>0</v>
      </c>
      <c r="BD204" s="2">
        <f>I204/(100-BE204)*100</f>
        <v>0</v>
      </c>
      <c r="BE204" s="2">
        <v>0</v>
      </c>
      <c r="BF204" s="2">
        <f>212</f>
        <v>212</v>
      </c>
      <c r="BH204" s="2">
        <f>H204*AO204</f>
        <v>0</v>
      </c>
      <c r="BI204" s="2">
        <f>H204*AP204</f>
        <v>0</v>
      </c>
      <c r="BJ204" s="2">
        <f>H204*I204</f>
        <v>0</v>
      </c>
      <c r="BK204" s="2"/>
      <c r="BL204" s="2">
        <v>735</v>
      </c>
    </row>
    <row r="205" spans="1:64" ht="15" customHeight="1" x14ac:dyDescent="0.3">
      <c r="A205" s="47"/>
      <c r="B205" s="23"/>
      <c r="C205" s="1" t="s">
        <v>429</v>
      </c>
      <c r="F205" s="1" t="s">
        <v>299</v>
      </c>
      <c r="G205" s="23"/>
      <c r="H205" s="4">
        <v>1</v>
      </c>
      <c r="I205" s="23"/>
      <c r="J205" s="23"/>
      <c r="K205" s="23"/>
      <c r="L205" s="23"/>
      <c r="M205" s="38"/>
    </row>
    <row r="206" spans="1:64" ht="15" customHeight="1" x14ac:dyDescent="0.3">
      <c r="A206" s="11" t="s">
        <v>303</v>
      </c>
      <c r="B206" s="8" t="s">
        <v>324</v>
      </c>
      <c r="C206" s="51" t="s">
        <v>237</v>
      </c>
      <c r="D206" s="50"/>
      <c r="E206" s="50"/>
      <c r="F206" s="51"/>
      <c r="G206" s="8" t="s">
        <v>111</v>
      </c>
      <c r="H206" s="24">
        <v>1</v>
      </c>
      <c r="I206" s="24"/>
      <c r="J206" s="24">
        <f>H206*AO206</f>
        <v>0</v>
      </c>
      <c r="K206" s="24">
        <f>H206*AP206</f>
        <v>0</v>
      </c>
      <c r="L206" s="24">
        <f>H206*I206</f>
        <v>0</v>
      </c>
      <c r="M206" s="28" t="s">
        <v>365</v>
      </c>
      <c r="Z206" s="2">
        <f>IF(AQ206="5",BJ206,0)</f>
        <v>0</v>
      </c>
      <c r="AB206" s="2">
        <f>IF(AQ206="1",BH206,0)</f>
        <v>0</v>
      </c>
      <c r="AC206" s="2">
        <f>IF(AQ206="1",BI206,0)</f>
        <v>0</v>
      </c>
      <c r="AD206" s="2">
        <f>IF(AQ206="7",BH206,0)</f>
        <v>0</v>
      </c>
      <c r="AE206" s="2">
        <f>IF(AQ206="7",BI206,0)</f>
        <v>0</v>
      </c>
      <c r="AF206" s="2">
        <f>IF(AQ206="2",BH206,0)</f>
        <v>0</v>
      </c>
      <c r="AG206" s="2">
        <f>IF(AQ206="2",BI206,0)</f>
        <v>0</v>
      </c>
      <c r="AH206" s="2">
        <f>IF(AQ206="0",BJ206,0)</f>
        <v>0</v>
      </c>
      <c r="AI206" s="33" t="s">
        <v>299</v>
      </c>
      <c r="AJ206" s="2">
        <f>IF(AN206=0,L206,0)</f>
        <v>0</v>
      </c>
      <c r="AK206" s="2">
        <f>IF(AN206=15,L206,0)</f>
        <v>0</v>
      </c>
      <c r="AL206" s="2">
        <f>IF(AN206=21,L206,0)</f>
        <v>0</v>
      </c>
      <c r="AN206" s="2">
        <v>21</v>
      </c>
      <c r="AO206" s="2">
        <f>I206*0.935964131994261</f>
        <v>0</v>
      </c>
      <c r="AP206" s="2">
        <f>I206*(1-0.935964131994261)</f>
        <v>0</v>
      </c>
      <c r="AQ206" s="44" t="s">
        <v>432</v>
      </c>
      <c r="AV206" s="2">
        <f>AW206+AX206</f>
        <v>0</v>
      </c>
      <c r="AW206" s="2">
        <f>H206*AO206</f>
        <v>0</v>
      </c>
      <c r="AX206" s="2">
        <f>H206*AP206</f>
        <v>0</v>
      </c>
      <c r="AY206" s="44" t="s">
        <v>234</v>
      </c>
      <c r="AZ206" s="44" t="s">
        <v>392</v>
      </c>
      <c r="BA206" s="33" t="s">
        <v>329</v>
      </c>
      <c r="BC206" s="2">
        <f>AW206+AX206</f>
        <v>0</v>
      </c>
      <c r="BD206" s="2">
        <f>I206/(100-BE206)*100</f>
        <v>0</v>
      </c>
      <c r="BE206" s="2">
        <v>0</v>
      </c>
      <c r="BF206" s="2">
        <f>214</f>
        <v>214</v>
      </c>
      <c r="BH206" s="2">
        <f>H206*AO206</f>
        <v>0</v>
      </c>
      <c r="BI206" s="2">
        <f>H206*AP206</f>
        <v>0</v>
      </c>
      <c r="BJ206" s="2">
        <f>H206*I206</f>
        <v>0</v>
      </c>
      <c r="BK206" s="2"/>
      <c r="BL206" s="2">
        <v>735</v>
      </c>
    </row>
    <row r="207" spans="1:64" ht="15" customHeight="1" x14ac:dyDescent="0.3">
      <c r="A207" s="47"/>
      <c r="B207" s="23"/>
      <c r="C207" s="1" t="s">
        <v>429</v>
      </c>
      <c r="F207" s="1" t="s">
        <v>299</v>
      </c>
      <c r="G207" s="23"/>
      <c r="H207" s="4">
        <v>1</v>
      </c>
      <c r="I207" s="23"/>
      <c r="J207" s="23"/>
      <c r="K207" s="23"/>
      <c r="L207" s="23"/>
      <c r="M207" s="38"/>
    </row>
    <row r="208" spans="1:64" ht="15" customHeight="1" x14ac:dyDescent="0.3">
      <c r="A208" s="11" t="s">
        <v>194</v>
      </c>
      <c r="B208" s="8" t="s">
        <v>255</v>
      </c>
      <c r="C208" s="51" t="s">
        <v>354</v>
      </c>
      <c r="D208" s="50"/>
      <c r="E208" s="50"/>
      <c r="F208" s="51"/>
      <c r="G208" s="8" t="s">
        <v>111</v>
      </c>
      <c r="H208" s="24">
        <v>3</v>
      </c>
      <c r="I208" s="24"/>
      <c r="J208" s="24">
        <f>H208*AO208</f>
        <v>0</v>
      </c>
      <c r="K208" s="24">
        <f>H208*AP208</f>
        <v>0</v>
      </c>
      <c r="L208" s="24">
        <f>H208*I208</f>
        <v>0</v>
      </c>
      <c r="M208" s="28" t="s">
        <v>365</v>
      </c>
      <c r="Z208" s="2">
        <f>IF(AQ208="5",BJ208,0)</f>
        <v>0</v>
      </c>
      <c r="AB208" s="2">
        <f>IF(AQ208="1",BH208,0)</f>
        <v>0</v>
      </c>
      <c r="AC208" s="2">
        <f>IF(AQ208="1",BI208,0)</f>
        <v>0</v>
      </c>
      <c r="AD208" s="2">
        <f>IF(AQ208="7",BH208,0)</f>
        <v>0</v>
      </c>
      <c r="AE208" s="2">
        <f>IF(AQ208="7",BI208,0)</f>
        <v>0</v>
      </c>
      <c r="AF208" s="2">
        <f>IF(AQ208="2",BH208,0)</f>
        <v>0</v>
      </c>
      <c r="AG208" s="2">
        <f>IF(AQ208="2",BI208,0)</f>
        <v>0</v>
      </c>
      <c r="AH208" s="2">
        <f>IF(AQ208="0",BJ208,0)</f>
        <v>0</v>
      </c>
      <c r="AI208" s="33" t="s">
        <v>299</v>
      </c>
      <c r="AJ208" s="2">
        <f>IF(AN208=0,L208,0)</f>
        <v>0</v>
      </c>
      <c r="AK208" s="2">
        <f>IF(AN208=15,L208,0)</f>
        <v>0</v>
      </c>
      <c r="AL208" s="2">
        <f>IF(AN208=21,L208,0)</f>
        <v>0</v>
      </c>
      <c r="AN208" s="2">
        <v>21</v>
      </c>
      <c r="AO208" s="2">
        <f>I208*0.00927272727272727</f>
        <v>0</v>
      </c>
      <c r="AP208" s="2">
        <f>I208*(1-0.00927272727272727)</f>
        <v>0</v>
      </c>
      <c r="AQ208" s="44" t="s">
        <v>432</v>
      </c>
      <c r="AV208" s="2">
        <f>AW208+AX208</f>
        <v>0</v>
      </c>
      <c r="AW208" s="2">
        <f>H208*AO208</f>
        <v>0</v>
      </c>
      <c r="AX208" s="2">
        <f>H208*AP208</f>
        <v>0</v>
      </c>
      <c r="AY208" s="44" t="s">
        <v>234</v>
      </c>
      <c r="AZ208" s="44" t="s">
        <v>392</v>
      </c>
      <c r="BA208" s="33" t="s">
        <v>329</v>
      </c>
      <c r="BC208" s="2">
        <f>AW208+AX208</f>
        <v>0</v>
      </c>
      <c r="BD208" s="2">
        <f>I208/(100-BE208)*100</f>
        <v>0</v>
      </c>
      <c r="BE208" s="2">
        <v>0</v>
      </c>
      <c r="BF208" s="2">
        <f>216</f>
        <v>216</v>
      </c>
      <c r="BH208" s="2">
        <f>H208*AO208</f>
        <v>0</v>
      </c>
      <c r="BI208" s="2">
        <f>H208*AP208</f>
        <v>0</v>
      </c>
      <c r="BJ208" s="2">
        <f>H208*I208</f>
        <v>0</v>
      </c>
      <c r="BK208" s="2"/>
      <c r="BL208" s="2">
        <v>735</v>
      </c>
    </row>
    <row r="209" spans="1:64" ht="15" customHeight="1" x14ac:dyDescent="0.3">
      <c r="A209" s="47"/>
      <c r="B209" s="23"/>
      <c r="C209" s="1" t="s">
        <v>376</v>
      </c>
      <c r="F209" s="1" t="s">
        <v>299</v>
      </c>
      <c r="G209" s="23"/>
      <c r="H209" s="4">
        <v>3.0000000000000004</v>
      </c>
      <c r="I209" s="23"/>
      <c r="J209" s="23"/>
      <c r="K209" s="23"/>
      <c r="L209" s="23"/>
      <c r="M209" s="38"/>
    </row>
    <row r="210" spans="1:64" ht="15" customHeight="1" x14ac:dyDescent="0.3">
      <c r="A210" s="11" t="s">
        <v>357</v>
      </c>
      <c r="B210" s="8" t="s">
        <v>77</v>
      </c>
      <c r="C210" s="51" t="s">
        <v>121</v>
      </c>
      <c r="D210" s="50"/>
      <c r="E210" s="50"/>
      <c r="F210" s="51"/>
      <c r="G210" s="8" t="s">
        <v>111</v>
      </c>
      <c r="H210" s="24">
        <v>2</v>
      </c>
      <c r="I210" s="24"/>
      <c r="J210" s="24">
        <f>H210*AO210</f>
        <v>0</v>
      </c>
      <c r="K210" s="24">
        <f>H210*AP210</f>
        <v>0</v>
      </c>
      <c r="L210" s="24">
        <f>H210*I210</f>
        <v>0</v>
      </c>
      <c r="M210" s="28" t="s">
        <v>365</v>
      </c>
      <c r="Z210" s="2">
        <f>IF(AQ210="5",BJ210,0)</f>
        <v>0</v>
      </c>
      <c r="AB210" s="2">
        <f>IF(AQ210="1",BH210,0)</f>
        <v>0</v>
      </c>
      <c r="AC210" s="2">
        <f>IF(AQ210="1",BI210,0)</f>
        <v>0</v>
      </c>
      <c r="AD210" s="2">
        <f>IF(AQ210="7",BH210,0)</f>
        <v>0</v>
      </c>
      <c r="AE210" s="2">
        <f>IF(AQ210="7",BI210,0)</f>
        <v>0</v>
      </c>
      <c r="AF210" s="2">
        <f>IF(AQ210="2",BH210,0)</f>
        <v>0</v>
      </c>
      <c r="AG210" s="2">
        <f>IF(AQ210="2",BI210,0)</f>
        <v>0</v>
      </c>
      <c r="AH210" s="2">
        <f>IF(AQ210="0",BJ210,0)</f>
        <v>0</v>
      </c>
      <c r="AI210" s="33" t="s">
        <v>299</v>
      </c>
      <c r="AJ210" s="2">
        <f>IF(AN210=0,L210,0)</f>
        <v>0</v>
      </c>
      <c r="AK210" s="2">
        <f>IF(AN210=15,L210,0)</f>
        <v>0</v>
      </c>
      <c r="AL210" s="2">
        <f>IF(AN210=21,L210,0)</f>
        <v>0</v>
      </c>
      <c r="AN210" s="2">
        <v>21</v>
      </c>
      <c r="AO210" s="2">
        <f>I210*0.0100657894736842</f>
        <v>0</v>
      </c>
      <c r="AP210" s="2">
        <f>I210*(1-0.0100657894736842)</f>
        <v>0</v>
      </c>
      <c r="AQ210" s="44" t="s">
        <v>432</v>
      </c>
      <c r="AV210" s="2">
        <f>AW210+AX210</f>
        <v>0</v>
      </c>
      <c r="AW210" s="2">
        <f>H210*AO210</f>
        <v>0</v>
      </c>
      <c r="AX210" s="2">
        <f>H210*AP210</f>
        <v>0</v>
      </c>
      <c r="AY210" s="44" t="s">
        <v>234</v>
      </c>
      <c r="AZ210" s="44" t="s">
        <v>392</v>
      </c>
      <c r="BA210" s="33" t="s">
        <v>329</v>
      </c>
      <c r="BC210" s="2">
        <f>AW210+AX210</f>
        <v>0</v>
      </c>
      <c r="BD210" s="2">
        <f>I210/(100-BE210)*100</f>
        <v>0</v>
      </c>
      <c r="BE210" s="2">
        <v>0</v>
      </c>
      <c r="BF210" s="2">
        <f>218</f>
        <v>218</v>
      </c>
      <c r="BH210" s="2">
        <f>H210*AO210</f>
        <v>0</v>
      </c>
      <c r="BI210" s="2">
        <f>H210*AP210</f>
        <v>0</v>
      </c>
      <c r="BJ210" s="2">
        <f>H210*I210</f>
        <v>0</v>
      </c>
      <c r="BK210" s="2"/>
      <c r="BL210" s="2">
        <v>735</v>
      </c>
    </row>
    <row r="211" spans="1:64" ht="15" customHeight="1" x14ac:dyDescent="0.3">
      <c r="A211" s="47"/>
      <c r="B211" s="23"/>
      <c r="C211" s="1" t="s">
        <v>297</v>
      </c>
      <c r="F211" s="1" t="s">
        <v>299</v>
      </c>
      <c r="G211" s="23"/>
      <c r="H211" s="4">
        <v>2</v>
      </c>
      <c r="I211" s="23"/>
      <c r="J211" s="23"/>
      <c r="K211" s="23"/>
      <c r="L211" s="23"/>
      <c r="M211" s="38"/>
    </row>
    <row r="212" spans="1:64" ht="15" customHeight="1" x14ac:dyDescent="0.3">
      <c r="A212" s="11" t="s">
        <v>396</v>
      </c>
      <c r="B212" s="8" t="s">
        <v>352</v>
      </c>
      <c r="C212" s="51" t="s">
        <v>418</v>
      </c>
      <c r="D212" s="50"/>
      <c r="E212" s="50"/>
      <c r="F212" s="51"/>
      <c r="G212" s="8" t="s">
        <v>111</v>
      </c>
      <c r="H212" s="24">
        <v>1</v>
      </c>
      <c r="I212" s="24"/>
      <c r="J212" s="24">
        <f>H212*AO212</f>
        <v>0</v>
      </c>
      <c r="K212" s="24">
        <f>H212*AP212</f>
        <v>0</v>
      </c>
      <c r="L212" s="24">
        <f>H212*I212</f>
        <v>0</v>
      </c>
      <c r="M212" s="28" t="s">
        <v>365</v>
      </c>
      <c r="Z212" s="2">
        <f>IF(AQ212="5",BJ212,0)</f>
        <v>0</v>
      </c>
      <c r="AB212" s="2">
        <f>IF(AQ212="1",BH212,0)</f>
        <v>0</v>
      </c>
      <c r="AC212" s="2">
        <f>IF(AQ212="1",BI212,0)</f>
        <v>0</v>
      </c>
      <c r="AD212" s="2">
        <f>IF(AQ212="7",BH212,0)</f>
        <v>0</v>
      </c>
      <c r="AE212" s="2">
        <f>IF(AQ212="7",BI212,0)</f>
        <v>0</v>
      </c>
      <c r="AF212" s="2">
        <f>IF(AQ212="2",BH212,0)</f>
        <v>0</v>
      </c>
      <c r="AG212" s="2">
        <f>IF(AQ212="2",BI212,0)</f>
        <v>0</v>
      </c>
      <c r="AH212" s="2">
        <f>IF(AQ212="0",BJ212,0)</f>
        <v>0</v>
      </c>
      <c r="AI212" s="33" t="s">
        <v>299</v>
      </c>
      <c r="AJ212" s="2">
        <f>IF(AN212=0,L212,0)</f>
        <v>0</v>
      </c>
      <c r="AK212" s="2">
        <f>IF(AN212=15,L212,0)</f>
        <v>0</v>
      </c>
      <c r="AL212" s="2">
        <f>IF(AN212=21,L212,0)</f>
        <v>0</v>
      </c>
      <c r="AN212" s="2">
        <v>21</v>
      </c>
      <c r="AO212" s="2">
        <f>I212*0.00998907103825137</f>
        <v>0</v>
      </c>
      <c r="AP212" s="2">
        <f>I212*(1-0.00998907103825137)</f>
        <v>0</v>
      </c>
      <c r="AQ212" s="44" t="s">
        <v>432</v>
      </c>
      <c r="AV212" s="2">
        <f>AW212+AX212</f>
        <v>0</v>
      </c>
      <c r="AW212" s="2">
        <f>H212*AO212</f>
        <v>0</v>
      </c>
      <c r="AX212" s="2">
        <f>H212*AP212</f>
        <v>0</v>
      </c>
      <c r="AY212" s="44" t="s">
        <v>234</v>
      </c>
      <c r="AZ212" s="44" t="s">
        <v>392</v>
      </c>
      <c r="BA212" s="33" t="s">
        <v>329</v>
      </c>
      <c r="BC212" s="2">
        <f>AW212+AX212</f>
        <v>0</v>
      </c>
      <c r="BD212" s="2">
        <f>I212/(100-BE212)*100</f>
        <v>0</v>
      </c>
      <c r="BE212" s="2">
        <v>0</v>
      </c>
      <c r="BF212" s="2">
        <f>220</f>
        <v>220</v>
      </c>
      <c r="BH212" s="2">
        <f>H212*AO212</f>
        <v>0</v>
      </c>
      <c r="BI212" s="2">
        <f>H212*AP212</f>
        <v>0</v>
      </c>
      <c r="BJ212" s="2">
        <f>H212*I212</f>
        <v>0</v>
      </c>
      <c r="BK212" s="2"/>
      <c r="BL212" s="2">
        <v>735</v>
      </c>
    </row>
    <row r="213" spans="1:64" ht="15" customHeight="1" x14ac:dyDescent="0.3">
      <c r="A213" s="47"/>
      <c r="B213" s="23"/>
      <c r="C213" s="1" t="s">
        <v>429</v>
      </c>
      <c r="F213" s="1" t="s">
        <v>299</v>
      </c>
      <c r="G213" s="23"/>
      <c r="H213" s="4">
        <v>1</v>
      </c>
      <c r="I213" s="23"/>
      <c r="J213" s="23"/>
      <c r="K213" s="23"/>
      <c r="L213" s="23"/>
      <c r="M213" s="38"/>
    </row>
    <row r="214" spans="1:64" ht="15" customHeight="1" x14ac:dyDescent="0.3">
      <c r="A214" s="11" t="s">
        <v>380</v>
      </c>
      <c r="B214" s="8" t="s">
        <v>236</v>
      </c>
      <c r="C214" s="51" t="s">
        <v>405</v>
      </c>
      <c r="D214" s="50"/>
      <c r="E214" s="50"/>
      <c r="F214" s="51"/>
      <c r="G214" s="8" t="s">
        <v>111</v>
      </c>
      <c r="H214" s="24">
        <v>6</v>
      </c>
      <c r="I214" s="24"/>
      <c r="J214" s="24">
        <f>H214*AO214</f>
        <v>0</v>
      </c>
      <c r="K214" s="24">
        <f>H214*AP214</f>
        <v>0</v>
      </c>
      <c r="L214" s="24">
        <f>H214*I214</f>
        <v>0</v>
      </c>
      <c r="M214" s="28" t="s">
        <v>365</v>
      </c>
      <c r="Z214" s="2">
        <f>IF(AQ214="5",BJ214,0)</f>
        <v>0</v>
      </c>
      <c r="AB214" s="2">
        <f>IF(AQ214="1",BH214,0)</f>
        <v>0</v>
      </c>
      <c r="AC214" s="2">
        <f>IF(AQ214="1",BI214,0)</f>
        <v>0</v>
      </c>
      <c r="AD214" s="2">
        <f>IF(AQ214="7",BH214,0)</f>
        <v>0</v>
      </c>
      <c r="AE214" s="2">
        <f>IF(AQ214="7",BI214,0)</f>
        <v>0</v>
      </c>
      <c r="AF214" s="2">
        <f>IF(AQ214="2",BH214,0)</f>
        <v>0</v>
      </c>
      <c r="AG214" s="2">
        <f>IF(AQ214="2",BI214,0)</f>
        <v>0</v>
      </c>
      <c r="AH214" s="2">
        <f>IF(AQ214="0",BJ214,0)</f>
        <v>0</v>
      </c>
      <c r="AI214" s="33" t="s">
        <v>299</v>
      </c>
      <c r="AJ214" s="2">
        <f>IF(AN214=0,L214,0)</f>
        <v>0</v>
      </c>
      <c r="AK214" s="2">
        <f>IF(AN214=15,L214,0)</f>
        <v>0</v>
      </c>
      <c r="AL214" s="2">
        <f>IF(AN214=21,L214,0)</f>
        <v>0</v>
      </c>
      <c r="AN214" s="2">
        <v>21</v>
      </c>
      <c r="AO214" s="2">
        <f>I214*0</f>
        <v>0</v>
      </c>
      <c r="AP214" s="2">
        <f>I214*(1-0)</f>
        <v>0</v>
      </c>
      <c r="AQ214" s="44" t="s">
        <v>432</v>
      </c>
      <c r="AV214" s="2">
        <f>AW214+AX214</f>
        <v>0</v>
      </c>
      <c r="AW214" s="2">
        <f>H214*AO214</f>
        <v>0</v>
      </c>
      <c r="AX214" s="2">
        <f>H214*AP214</f>
        <v>0</v>
      </c>
      <c r="AY214" s="44" t="s">
        <v>234</v>
      </c>
      <c r="AZ214" s="44" t="s">
        <v>392</v>
      </c>
      <c r="BA214" s="33" t="s">
        <v>329</v>
      </c>
      <c r="BC214" s="2">
        <f>AW214+AX214</f>
        <v>0</v>
      </c>
      <c r="BD214" s="2">
        <f>I214/(100-BE214)*100</f>
        <v>0</v>
      </c>
      <c r="BE214" s="2">
        <v>0</v>
      </c>
      <c r="BF214" s="2">
        <f>222</f>
        <v>222</v>
      </c>
      <c r="BH214" s="2">
        <f>H214*AO214</f>
        <v>0</v>
      </c>
      <c r="BI214" s="2">
        <f>H214*AP214</f>
        <v>0</v>
      </c>
      <c r="BJ214" s="2">
        <f>H214*I214</f>
        <v>0</v>
      </c>
      <c r="BK214" s="2"/>
      <c r="BL214" s="2">
        <v>735</v>
      </c>
    </row>
    <row r="215" spans="1:64" ht="15" customHeight="1" x14ac:dyDescent="0.3">
      <c r="A215" s="47"/>
      <c r="B215" s="23"/>
      <c r="C215" s="1" t="s">
        <v>75</v>
      </c>
      <c r="F215" s="1" t="s">
        <v>299</v>
      </c>
      <c r="G215" s="23"/>
      <c r="H215" s="4">
        <v>6.0000000000000009</v>
      </c>
      <c r="I215" s="23"/>
      <c r="J215" s="23"/>
      <c r="K215" s="23"/>
      <c r="L215" s="23"/>
      <c r="M215" s="38"/>
    </row>
    <row r="216" spans="1:64" ht="15" customHeight="1" x14ac:dyDescent="0.3">
      <c r="A216" s="11" t="s">
        <v>6</v>
      </c>
      <c r="B216" s="8" t="s">
        <v>419</v>
      </c>
      <c r="C216" s="51" t="s">
        <v>84</v>
      </c>
      <c r="D216" s="50"/>
      <c r="E216" s="50"/>
      <c r="F216" s="51"/>
      <c r="G216" s="8" t="s">
        <v>424</v>
      </c>
      <c r="H216" s="24">
        <v>8.15</v>
      </c>
      <c r="I216" s="24"/>
      <c r="J216" s="24">
        <f>H216*AO216</f>
        <v>0</v>
      </c>
      <c r="K216" s="24">
        <f>H216*AP216</f>
        <v>0</v>
      </c>
      <c r="L216" s="24">
        <f>H216*I216</f>
        <v>0</v>
      </c>
      <c r="M216" s="28" t="s">
        <v>365</v>
      </c>
      <c r="Z216" s="2">
        <f>IF(AQ216="5",BJ216,0)</f>
        <v>0</v>
      </c>
      <c r="AB216" s="2">
        <f>IF(AQ216="1",BH216,0)</f>
        <v>0</v>
      </c>
      <c r="AC216" s="2">
        <f>IF(AQ216="1",BI216,0)</f>
        <v>0</v>
      </c>
      <c r="AD216" s="2">
        <f>IF(AQ216="7",BH216,0)</f>
        <v>0</v>
      </c>
      <c r="AE216" s="2">
        <f>IF(AQ216="7",BI216,0)</f>
        <v>0</v>
      </c>
      <c r="AF216" s="2">
        <f>IF(AQ216="2",BH216,0)</f>
        <v>0</v>
      </c>
      <c r="AG216" s="2">
        <f>IF(AQ216="2",BI216,0)</f>
        <v>0</v>
      </c>
      <c r="AH216" s="2">
        <f>IF(AQ216="0",BJ216,0)</f>
        <v>0</v>
      </c>
      <c r="AI216" s="33" t="s">
        <v>299</v>
      </c>
      <c r="AJ216" s="2">
        <f>IF(AN216=0,L216,0)</f>
        <v>0</v>
      </c>
      <c r="AK216" s="2">
        <f>IF(AN216=15,L216,0)</f>
        <v>0</v>
      </c>
      <c r="AL216" s="2">
        <f>IF(AN216=21,L216,0)</f>
        <v>0</v>
      </c>
      <c r="AN216" s="2">
        <v>21</v>
      </c>
      <c r="AO216" s="2">
        <f>I216*0</f>
        <v>0</v>
      </c>
      <c r="AP216" s="2">
        <f>I216*(1-0)</f>
        <v>0</v>
      </c>
      <c r="AQ216" s="44" t="s">
        <v>432</v>
      </c>
      <c r="AV216" s="2">
        <f>AW216+AX216</f>
        <v>0</v>
      </c>
      <c r="AW216" s="2">
        <f>H216*AO216</f>
        <v>0</v>
      </c>
      <c r="AX216" s="2">
        <f>H216*AP216</f>
        <v>0</v>
      </c>
      <c r="AY216" s="44" t="s">
        <v>234</v>
      </c>
      <c r="AZ216" s="44" t="s">
        <v>392</v>
      </c>
      <c r="BA216" s="33" t="s">
        <v>329</v>
      </c>
      <c r="BC216" s="2">
        <f>AW216+AX216</f>
        <v>0</v>
      </c>
      <c r="BD216" s="2">
        <f>I216/(100-BE216)*100</f>
        <v>0</v>
      </c>
      <c r="BE216" s="2">
        <v>0</v>
      </c>
      <c r="BF216" s="2">
        <f>224</f>
        <v>224</v>
      </c>
      <c r="BH216" s="2">
        <f>H216*AO216</f>
        <v>0</v>
      </c>
      <c r="BI216" s="2">
        <f>H216*AP216</f>
        <v>0</v>
      </c>
      <c r="BJ216" s="2">
        <f>H216*I216</f>
        <v>0</v>
      </c>
      <c r="BK216" s="2"/>
      <c r="BL216" s="2">
        <v>735</v>
      </c>
    </row>
    <row r="217" spans="1:64" ht="15" customHeight="1" x14ac:dyDescent="0.3">
      <c r="A217" s="47"/>
      <c r="B217" s="23"/>
      <c r="C217" s="1" t="s">
        <v>107</v>
      </c>
      <c r="F217" s="1" t="s">
        <v>299</v>
      </c>
      <c r="G217" s="23"/>
      <c r="H217" s="4">
        <v>8.15</v>
      </c>
      <c r="I217" s="23"/>
      <c r="J217" s="23"/>
      <c r="K217" s="23"/>
      <c r="L217" s="23"/>
      <c r="M217" s="38"/>
    </row>
    <row r="218" spans="1:64" ht="15" customHeight="1" x14ac:dyDescent="0.3">
      <c r="A218" s="11" t="s">
        <v>158</v>
      </c>
      <c r="B218" s="8" t="s">
        <v>89</v>
      </c>
      <c r="C218" s="51" t="s">
        <v>82</v>
      </c>
      <c r="D218" s="50"/>
      <c r="E218" s="50"/>
      <c r="F218" s="51"/>
      <c r="G218" s="8" t="s">
        <v>424</v>
      </c>
      <c r="H218" s="24">
        <v>11.1</v>
      </c>
      <c r="I218" s="24"/>
      <c r="J218" s="24">
        <f>H218*AO218</f>
        <v>0</v>
      </c>
      <c r="K218" s="24">
        <f>H218*AP218</f>
        <v>0</v>
      </c>
      <c r="L218" s="24">
        <f>H218*I218</f>
        <v>0</v>
      </c>
      <c r="M218" s="28" t="s">
        <v>365</v>
      </c>
      <c r="Z218" s="2">
        <f>IF(AQ218="5",BJ218,0)</f>
        <v>0</v>
      </c>
      <c r="AB218" s="2">
        <f>IF(AQ218="1",BH218,0)</f>
        <v>0</v>
      </c>
      <c r="AC218" s="2">
        <f>IF(AQ218="1",BI218,0)</f>
        <v>0</v>
      </c>
      <c r="AD218" s="2">
        <f>IF(AQ218="7",BH218,0)</f>
        <v>0</v>
      </c>
      <c r="AE218" s="2">
        <f>IF(AQ218="7",BI218,0)</f>
        <v>0</v>
      </c>
      <c r="AF218" s="2">
        <f>IF(AQ218="2",BH218,0)</f>
        <v>0</v>
      </c>
      <c r="AG218" s="2">
        <f>IF(AQ218="2",BI218,0)</f>
        <v>0</v>
      </c>
      <c r="AH218" s="2">
        <f>IF(AQ218="0",BJ218,0)</f>
        <v>0</v>
      </c>
      <c r="AI218" s="33" t="s">
        <v>299</v>
      </c>
      <c r="AJ218" s="2">
        <f>IF(AN218=0,L218,0)</f>
        <v>0</v>
      </c>
      <c r="AK218" s="2">
        <f>IF(AN218=15,L218,0)</f>
        <v>0</v>
      </c>
      <c r="AL218" s="2">
        <f>IF(AN218=21,L218,0)</f>
        <v>0</v>
      </c>
      <c r="AN218" s="2">
        <v>21</v>
      </c>
      <c r="AO218" s="2">
        <f>I218*0</f>
        <v>0</v>
      </c>
      <c r="AP218" s="2">
        <f>I218*(1-0)</f>
        <v>0</v>
      </c>
      <c r="AQ218" s="44" t="s">
        <v>432</v>
      </c>
      <c r="AV218" s="2">
        <f>AW218+AX218</f>
        <v>0</v>
      </c>
      <c r="AW218" s="2">
        <f>H218*AO218</f>
        <v>0</v>
      </c>
      <c r="AX218" s="2">
        <f>H218*AP218</f>
        <v>0</v>
      </c>
      <c r="AY218" s="44" t="s">
        <v>234</v>
      </c>
      <c r="AZ218" s="44" t="s">
        <v>392</v>
      </c>
      <c r="BA218" s="33" t="s">
        <v>329</v>
      </c>
      <c r="BC218" s="2">
        <f>AW218+AX218</f>
        <v>0</v>
      </c>
      <c r="BD218" s="2">
        <f>I218/(100-BE218)*100</f>
        <v>0</v>
      </c>
      <c r="BE218" s="2">
        <v>0</v>
      </c>
      <c r="BF218" s="2">
        <f>226</f>
        <v>226</v>
      </c>
      <c r="BH218" s="2">
        <f>H218*AO218</f>
        <v>0</v>
      </c>
      <c r="BI218" s="2">
        <f>H218*AP218</f>
        <v>0</v>
      </c>
      <c r="BJ218" s="2">
        <f>H218*I218</f>
        <v>0</v>
      </c>
      <c r="BK218" s="2"/>
      <c r="BL218" s="2">
        <v>735</v>
      </c>
    </row>
    <row r="219" spans="1:64" ht="15" customHeight="1" x14ac:dyDescent="0.3">
      <c r="A219" s="47"/>
      <c r="B219" s="23"/>
      <c r="C219" s="1" t="s">
        <v>485</v>
      </c>
      <c r="F219" s="1" t="s">
        <v>299</v>
      </c>
      <c r="G219" s="23"/>
      <c r="H219" s="4">
        <v>11.100000000000001</v>
      </c>
      <c r="I219" s="23"/>
      <c r="J219" s="23"/>
      <c r="K219" s="23"/>
      <c r="L219" s="23"/>
      <c r="M219" s="38"/>
    </row>
    <row r="220" spans="1:64" ht="15" customHeight="1" x14ac:dyDescent="0.3">
      <c r="A220" s="19" t="s">
        <v>299</v>
      </c>
      <c r="B220" s="34" t="s">
        <v>349</v>
      </c>
      <c r="C220" s="52" t="s">
        <v>173</v>
      </c>
      <c r="D220" s="52"/>
      <c r="E220" s="52"/>
      <c r="F220" s="52"/>
      <c r="G220" s="12" t="s">
        <v>400</v>
      </c>
      <c r="H220" s="12" t="s">
        <v>400</v>
      </c>
      <c r="I220" s="12" t="s">
        <v>400</v>
      </c>
      <c r="J220" s="15">
        <f>SUM(J221:J228)</f>
        <v>0</v>
      </c>
      <c r="K220" s="15">
        <f>SUM(K221:K228)</f>
        <v>0</v>
      </c>
      <c r="L220" s="15">
        <f>SUM(L221:L228)</f>
        <v>0</v>
      </c>
      <c r="M220" s="18" t="s">
        <v>299</v>
      </c>
      <c r="AI220" s="33" t="s">
        <v>299</v>
      </c>
      <c r="AS220" s="15">
        <f>SUM(AJ221:AJ228)</f>
        <v>0</v>
      </c>
      <c r="AT220" s="15">
        <f>SUM(AK221:AK228)</f>
        <v>0</v>
      </c>
      <c r="AU220" s="15">
        <f>SUM(AL221:AL228)</f>
        <v>0</v>
      </c>
    </row>
    <row r="221" spans="1:64" ht="15" customHeight="1" x14ac:dyDescent="0.3">
      <c r="A221" s="39" t="s">
        <v>471</v>
      </c>
      <c r="B221" s="9" t="s">
        <v>476</v>
      </c>
      <c r="C221" s="50" t="s">
        <v>51</v>
      </c>
      <c r="D221" s="50"/>
      <c r="E221" s="50"/>
      <c r="F221" s="50"/>
      <c r="G221" s="9" t="s">
        <v>424</v>
      </c>
      <c r="H221" s="2">
        <v>0.25</v>
      </c>
      <c r="I221" s="2"/>
      <c r="J221" s="2">
        <f>H221*AO221</f>
        <v>0</v>
      </c>
      <c r="K221" s="2">
        <f>H221*AP221</f>
        <v>0</v>
      </c>
      <c r="L221" s="2">
        <f>H221*I221</f>
        <v>0</v>
      </c>
      <c r="M221" s="36" t="s">
        <v>365</v>
      </c>
      <c r="Z221" s="2">
        <f>IF(AQ221="5",BJ221,0)</f>
        <v>0</v>
      </c>
      <c r="AB221" s="2">
        <f>IF(AQ221="1",BH221,0)</f>
        <v>0</v>
      </c>
      <c r="AC221" s="2">
        <f>IF(AQ221="1",BI221,0)</f>
        <v>0</v>
      </c>
      <c r="AD221" s="2">
        <f>IF(AQ221="7",BH221,0)</f>
        <v>0</v>
      </c>
      <c r="AE221" s="2">
        <f>IF(AQ221="7",BI221,0)</f>
        <v>0</v>
      </c>
      <c r="AF221" s="2">
        <f>IF(AQ221="2",BH221,0)</f>
        <v>0</v>
      </c>
      <c r="AG221" s="2">
        <f>IF(AQ221="2",BI221,0)</f>
        <v>0</v>
      </c>
      <c r="AH221" s="2">
        <f>IF(AQ221="0",BJ221,0)</f>
        <v>0</v>
      </c>
      <c r="AI221" s="33" t="s">
        <v>299</v>
      </c>
      <c r="AJ221" s="2">
        <f>IF(AN221=0,L221,0)</f>
        <v>0</v>
      </c>
      <c r="AK221" s="2">
        <f>IF(AN221=15,L221,0)</f>
        <v>0</v>
      </c>
      <c r="AL221" s="2">
        <f>IF(AN221=21,L221,0)</f>
        <v>0</v>
      </c>
      <c r="AN221" s="2">
        <v>21</v>
      </c>
      <c r="AO221" s="2">
        <f>I221*0</f>
        <v>0</v>
      </c>
      <c r="AP221" s="2">
        <f>I221*(1-0)</f>
        <v>0</v>
      </c>
      <c r="AQ221" s="44" t="s">
        <v>432</v>
      </c>
      <c r="AV221" s="2">
        <f>AW221+AX221</f>
        <v>0</v>
      </c>
      <c r="AW221" s="2">
        <f>H221*AO221</f>
        <v>0</v>
      </c>
      <c r="AX221" s="2">
        <f>H221*AP221</f>
        <v>0</v>
      </c>
      <c r="AY221" s="44" t="s">
        <v>184</v>
      </c>
      <c r="AZ221" s="44" t="s">
        <v>177</v>
      </c>
      <c r="BA221" s="33" t="s">
        <v>329</v>
      </c>
      <c r="BC221" s="2">
        <f>AW221+AX221</f>
        <v>0</v>
      </c>
      <c r="BD221" s="2">
        <f>I221/(100-BE221)*100</f>
        <v>0</v>
      </c>
      <c r="BE221" s="2">
        <v>0</v>
      </c>
      <c r="BF221" s="2">
        <f>230</f>
        <v>230</v>
      </c>
      <c r="BH221" s="2">
        <f>H221*AO221</f>
        <v>0</v>
      </c>
      <c r="BI221" s="2">
        <f>H221*AP221</f>
        <v>0</v>
      </c>
      <c r="BJ221" s="2">
        <f>H221*I221</f>
        <v>0</v>
      </c>
      <c r="BK221" s="2"/>
      <c r="BL221" s="2">
        <v>781</v>
      </c>
    </row>
    <row r="222" spans="1:64" ht="15" customHeight="1" x14ac:dyDescent="0.3">
      <c r="A222" s="6"/>
      <c r="C222" s="29" t="s">
        <v>256</v>
      </c>
      <c r="F222" s="29" t="s">
        <v>299</v>
      </c>
      <c r="H222" s="10">
        <v>0.25</v>
      </c>
      <c r="M222" s="41"/>
    </row>
    <row r="223" spans="1:64" ht="15" customHeight="1" x14ac:dyDescent="0.3">
      <c r="A223" s="39" t="s">
        <v>196</v>
      </c>
      <c r="B223" s="9" t="s">
        <v>333</v>
      </c>
      <c r="C223" s="50" t="s">
        <v>226</v>
      </c>
      <c r="D223" s="50"/>
      <c r="E223" s="50"/>
      <c r="F223" s="50"/>
      <c r="G223" s="9" t="s">
        <v>424</v>
      </c>
      <c r="H223" s="2">
        <v>0.25</v>
      </c>
      <c r="I223" s="2"/>
      <c r="J223" s="2">
        <f>H223*AO223</f>
        <v>0</v>
      </c>
      <c r="K223" s="2">
        <f>H223*AP223</f>
        <v>0</v>
      </c>
      <c r="L223" s="2">
        <f>H223*I223</f>
        <v>0</v>
      </c>
      <c r="M223" s="36" t="s">
        <v>365</v>
      </c>
      <c r="Z223" s="2">
        <f>IF(AQ223="5",BJ223,0)</f>
        <v>0</v>
      </c>
      <c r="AB223" s="2">
        <f>IF(AQ223="1",BH223,0)</f>
        <v>0</v>
      </c>
      <c r="AC223" s="2">
        <f>IF(AQ223="1",BI223,0)</f>
        <v>0</v>
      </c>
      <c r="AD223" s="2">
        <f>IF(AQ223="7",BH223,0)</f>
        <v>0</v>
      </c>
      <c r="AE223" s="2">
        <f>IF(AQ223="7",BI223,0)</f>
        <v>0</v>
      </c>
      <c r="AF223" s="2">
        <f>IF(AQ223="2",BH223,0)</f>
        <v>0</v>
      </c>
      <c r="AG223" s="2">
        <f>IF(AQ223="2",BI223,0)</f>
        <v>0</v>
      </c>
      <c r="AH223" s="2">
        <f>IF(AQ223="0",BJ223,0)</f>
        <v>0</v>
      </c>
      <c r="AI223" s="33" t="s">
        <v>299</v>
      </c>
      <c r="AJ223" s="2">
        <f>IF(AN223=0,L223,0)</f>
        <v>0</v>
      </c>
      <c r="AK223" s="2">
        <f>IF(AN223=15,L223,0)</f>
        <v>0</v>
      </c>
      <c r="AL223" s="2">
        <f>IF(AN223=21,L223,0)</f>
        <v>0</v>
      </c>
      <c r="AN223" s="2">
        <v>21</v>
      </c>
      <c r="AO223" s="2">
        <f>I223*0.524678111587983</f>
        <v>0</v>
      </c>
      <c r="AP223" s="2">
        <f>I223*(1-0.524678111587983)</f>
        <v>0</v>
      </c>
      <c r="AQ223" s="44" t="s">
        <v>432</v>
      </c>
      <c r="AV223" s="2">
        <f>AW223+AX223</f>
        <v>0</v>
      </c>
      <c r="AW223" s="2">
        <f>H223*AO223</f>
        <v>0</v>
      </c>
      <c r="AX223" s="2">
        <f>H223*AP223</f>
        <v>0</v>
      </c>
      <c r="AY223" s="44" t="s">
        <v>184</v>
      </c>
      <c r="AZ223" s="44" t="s">
        <v>177</v>
      </c>
      <c r="BA223" s="33" t="s">
        <v>329</v>
      </c>
      <c r="BC223" s="2">
        <f>AW223+AX223</f>
        <v>0</v>
      </c>
      <c r="BD223" s="2">
        <f>I223/(100-BE223)*100</f>
        <v>0</v>
      </c>
      <c r="BE223" s="2">
        <v>0</v>
      </c>
      <c r="BF223" s="2">
        <f>232</f>
        <v>232</v>
      </c>
      <c r="BH223" s="2">
        <f>H223*AO223</f>
        <v>0</v>
      </c>
      <c r="BI223" s="2">
        <f>H223*AP223</f>
        <v>0</v>
      </c>
      <c r="BJ223" s="2">
        <f>H223*I223</f>
        <v>0</v>
      </c>
      <c r="BK223" s="2"/>
      <c r="BL223" s="2">
        <v>781</v>
      </c>
    </row>
    <row r="224" spans="1:64" ht="15" customHeight="1" x14ac:dyDescent="0.3">
      <c r="A224" s="6"/>
      <c r="C224" s="29" t="s">
        <v>256</v>
      </c>
      <c r="F224" s="29" t="s">
        <v>299</v>
      </c>
      <c r="H224" s="10">
        <v>0.25</v>
      </c>
      <c r="M224" s="41"/>
    </row>
    <row r="225" spans="1:64" ht="15" customHeight="1" x14ac:dyDescent="0.3">
      <c r="A225" s="39" t="s">
        <v>358</v>
      </c>
      <c r="B225" s="9" t="s">
        <v>378</v>
      </c>
      <c r="C225" s="50" t="s">
        <v>4</v>
      </c>
      <c r="D225" s="50"/>
      <c r="E225" s="50"/>
      <c r="F225" s="50"/>
      <c r="G225" s="9" t="s">
        <v>424</v>
      </c>
      <c r="H225" s="2">
        <v>0.25</v>
      </c>
      <c r="I225" s="2"/>
      <c r="J225" s="2">
        <f>H225*AO225</f>
        <v>0</v>
      </c>
      <c r="K225" s="2">
        <f>H225*AP225</f>
        <v>0</v>
      </c>
      <c r="L225" s="2">
        <f>H225*I225</f>
        <v>0</v>
      </c>
      <c r="M225" s="36" t="s">
        <v>365</v>
      </c>
      <c r="Z225" s="2">
        <f>IF(AQ225="5",BJ225,0)</f>
        <v>0</v>
      </c>
      <c r="AB225" s="2">
        <f>IF(AQ225="1",BH225,0)</f>
        <v>0</v>
      </c>
      <c r="AC225" s="2">
        <f>IF(AQ225="1",BI225,0)</f>
        <v>0</v>
      </c>
      <c r="AD225" s="2">
        <f>IF(AQ225="7",BH225,0)</f>
        <v>0</v>
      </c>
      <c r="AE225" s="2">
        <f>IF(AQ225="7",BI225,0)</f>
        <v>0</v>
      </c>
      <c r="AF225" s="2">
        <f>IF(AQ225="2",BH225,0)</f>
        <v>0</v>
      </c>
      <c r="AG225" s="2">
        <f>IF(AQ225="2",BI225,0)</f>
        <v>0</v>
      </c>
      <c r="AH225" s="2">
        <f>IF(AQ225="0",BJ225,0)</f>
        <v>0</v>
      </c>
      <c r="AI225" s="33" t="s">
        <v>299</v>
      </c>
      <c r="AJ225" s="2">
        <f>IF(AN225=0,L225,0)</f>
        <v>0</v>
      </c>
      <c r="AK225" s="2">
        <f>IF(AN225=15,L225,0)</f>
        <v>0</v>
      </c>
      <c r="AL225" s="2">
        <f>IF(AN225=21,L225,0)</f>
        <v>0</v>
      </c>
      <c r="AN225" s="2">
        <v>21</v>
      </c>
      <c r="AO225" s="2">
        <f>I225*0.160653846153846</f>
        <v>0</v>
      </c>
      <c r="AP225" s="2">
        <f>I225*(1-0.160653846153846)</f>
        <v>0</v>
      </c>
      <c r="AQ225" s="44" t="s">
        <v>432</v>
      </c>
      <c r="AV225" s="2">
        <f>AW225+AX225</f>
        <v>0</v>
      </c>
      <c r="AW225" s="2">
        <f>H225*AO225</f>
        <v>0</v>
      </c>
      <c r="AX225" s="2">
        <f>H225*AP225</f>
        <v>0</v>
      </c>
      <c r="AY225" s="44" t="s">
        <v>184</v>
      </c>
      <c r="AZ225" s="44" t="s">
        <v>177</v>
      </c>
      <c r="BA225" s="33" t="s">
        <v>329</v>
      </c>
      <c r="BC225" s="2">
        <f>AW225+AX225</f>
        <v>0</v>
      </c>
      <c r="BD225" s="2">
        <f>I225/(100-BE225)*100</f>
        <v>0</v>
      </c>
      <c r="BE225" s="2">
        <v>0</v>
      </c>
      <c r="BF225" s="2">
        <f>234</f>
        <v>234</v>
      </c>
      <c r="BH225" s="2">
        <f>H225*AO225</f>
        <v>0</v>
      </c>
      <c r="BI225" s="2">
        <f>H225*AP225</f>
        <v>0</v>
      </c>
      <c r="BJ225" s="2">
        <f>H225*I225</f>
        <v>0</v>
      </c>
      <c r="BK225" s="2"/>
      <c r="BL225" s="2">
        <v>781</v>
      </c>
    </row>
    <row r="226" spans="1:64" ht="15" customHeight="1" x14ac:dyDescent="0.3">
      <c r="A226" s="6"/>
      <c r="C226" s="29" t="s">
        <v>256</v>
      </c>
      <c r="F226" s="29" t="s">
        <v>299</v>
      </c>
      <c r="H226" s="10">
        <v>0.25</v>
      </c>
      <c r="M226" s="41"/>
    </row>
    <row r="227" spans="1:64" ht="15" customHeight="1" x14ac:dyDescent="0.3">
      <c r="A227" s="39" t="s">
        <v>187</v>
      </c>
      <c r="B227" s="9" t="s">
        <v>11</v>
      </c>
      <c r="C227" s="50" t="s">
        <v>403</v>
      </c>
      <c r="D227" s="50"/>
      <c r="E227" s="50"/>
      <c r="F227" s="50"/>
      <c r="G227" s="9" t="s">
        <v>424</v>
      </c>
      <c r="H227" s="2">
        <v>0.25</v>
      </c>
      <c r="I227" s="2"/>
      <c r="J227" s="2">
        <f>H227*AO227</f>
        <v>0</v>
      </c>
      <c r="K227" s="2">
        <f>H227*AP227</f>
        <v>0</v>
      </c>
      <c r="L227" s="2">
        <f>H227*I227</f>
        <v>0</v>
      </c>
      <c r="M227" s="36" t="s">
        <v>365</v>
      </c>
      <c r="Z227" s="2">
        <f>IF(AQ227="5",BJ227,0)</f>
        <v>0</v>
      </c>
      <c r="AB227" s="2">
        <f>IF(AQ227="1",BH227,0)</f>
        <v>0</v>
      </c>
      <c r="AC227" s="2">
        <f>IF(AQ227="1",BI227,0)</f>
        <v>0</v>
      </c>
      <c r="AD227" s="2">
        <f>IF(AQ227="7",BH227,0)</f>
        <v>0</v>
      </c>
      <c r="AE227" s="2">
        <f>IF(AQ227="7",BI227,0)</f>
        <v>0</v>
      </c>
      <c r="AF227" s="2">
        <f>IF(AQ227="2",BH227,0)</f>
        <v>0</v>
      </c>
      <c r="AG227" s="2">
        <f>IF(AQ227="2",BI227,0)</f>
        <v>0</v>
      </c>
      <c r="AH227" s="2">
        <f>IF(AQ227="0",BJ227,0)</f>
        <v>0</v>
      </c>
      <c r="AI227" s="33" t="s">
        <v>299</v>
      </c>
      <c r="AJ227" s="2">
        <f>IF(AN227=0,L227,0)</f>
        <v>0</v>
      </c>
      <c r="AK227" s="2">
        <f>IF(AN227=15,L227,0)</f>
        <v>0</v>
      </c>
      <c r="AL227" s="2">
        <f>IF(AN227=21,L227,0)</f>
        <v>0</v>
      </c>
      <c r="AN227" s="2">
        <v>21</v>
      </c>
      <c r="AO227" s="2">
        <f>I227*0</f>
        <v>0</v>
      </c>
      <c r="AP227" s="2">
        <f>I227*(1-0)</f>
        <v>0</v>
      </c>
      <c r="AQ227" s="44" t="s">
        <v>432</v>
      </c>
      <c r="AV227" s="2">
        <f>AW227+AX227</f>
        <v>0</v>
      </c>
      <c r="AW227" s="2">
        <f>H227*AO227</f>
        <v>0</v>
      </c>
      <c r="AX227" s="2">
        <f>H227*AP227</f>
        <v>0</v>
      </c>
      <c r="AY227" s="44" t="s">
        <v>184</v>
      </c>
      <c r="AZ227" s="44" t="s">
        <v>177</v>
      </c>
      <c r="BA227" s="33" t="s">
        <v>329</v>
      </c>
      <c r="BC227" s="2">
        <f>AW227+AX227</f>
        <v>0</v>
      </c>
      <c r="BD227" s="2">
        <f>I227/(100-BE227)*100</f>
        <v>0</v>
      </c>
      <c r="BE227" s="2">
        <v>0</v>
      </c>
      <c r="BF227" s="2">
        <f>236</f>
        <v>236</v>
      </c>
      <c r="BH227" s="2">
        <f>H227*AO227</f>
        <v>0</v>
      </c>
      <c r="BI227" s="2">
        <f>H227*AP227</f>
        <v>0</v>
      </c>
      <c r="BJ227" s="2">
        <f>H227*I227</f>
        <v>0</v>
      </c>
      <c r="BK227" s="2"/>
      <c r="BL227" s="2">
        <v>781</v>
      </c>
    </row>
    <row r="228" spans="1:64" ht="15" customHeight="1" x14ac:dyDescent="0.3">
      <c r="A228" s="6"/>
      <c r="C228" s="29" t="s">
        <v>256</v>
      </c>
      <c r="F228" s="29" t="s">
        <v>299</v>
      </c>
      <c r="H228" s="10">
        <v>0.25</v>
      </c>
      <c r="M228" s="41"/>
    </row>
    <row r="229" spans="1:64" ht="15" customHeight="1" x14ac:dyDescent="0.3">
      <c r="A229" s="19" t="s">
        <v>299</v>
      </c>
      <c r="B229" s="34" t="s">
        <v>238</v>
      </c>
      <c r="C229" s="52" t="s">
        <v>344</v>
      </c>
      <c r="D229" s="52"/>
      <c r="E229" s="52"/>
      <c r="F229" s="52"/>
      <c r="G229" s="12" t="s">
        <v>400</v>
      </c>
      <c r="H229" s="12" t="s">
        <v>400</v>
      </c>
      <c r="I229" s="12" t="s">
        <v>400</v>
      </c>
      <c r="J229" s="15">
        <f>SUM(J230:J230)</f>
        <v>0</v>
      </c>
      <c r="K229" s="15">
        <f>SUM(K230:K230)</f>
        <v>0</v>
      </c>
      <c r="L229" s="15">
        <f>SUM(L230:L230)</f>
        <v>0</v>
      </c>
      <c r="M229" s="18" t="s">
        <v>299</v>
      </c>
      <c r="AI229" s="33" t="s">
        <v>299</v>
      </c>
      <c r="AS229" s="15">
        <f>SUM(AJ230:AJ230)</f>
        <v>0</v>
      </c>
      <c r="AT229" s="15">
        <f>SUM(AK230:AK230)</f>
        <v>0</v>
      </c>
      <c r="AU229" s="15">
        <f>SUM(AL230:AL230)</f>
        <v>0</v>
      </c>
    </row>
    <row r="230" spans="1:64" ht="15" customHeight="1" x14ac:dyDescent="0.3">
      <c r="A230" s="39" t="s">
        <v>464</v>
      </c>
      <c r="B230" s="9" t="s">
        <v>346</v>
      </c>
      <c r="C230" s="50" t="s">
        <v>258</v>
      </c>
      <c r="D230" s="50"/>
      <c r="E230" s="50"/>
      <c r="F230" s="50"/>
      <c r="G230" s="9" t="s">
        <v>424</v>
      </c>
      <c r="H230" s="2">
        <v>7.2</v>
      </c>
      <c r="I230" s="2"/>
      <c r="J230" s="2">
        <f>H230*AO230</f>
        <v>0</v>
      </c>
      <c r="K230" s="2">
        <f>H230*AP230</f>
        <v>0</v>
      </c>
      <c r="L230" s="2">
        <f>H230*I230</f>
        <v>0</v>
      </c>
      <c r="M230" s="36" t="s">
        <v>365</v>
      </c>
      <c r="Z230" s="2">
        <f>IF(AQ230="5",BJ230,0)</f>
        <v>0</v>
      </c>
      <c r="AB230" s="2">
        <f>IF(AQ230="1",BH230,0)</f>
        <v>0</v>
      </c>
      <c r="AC230" s="2">
        <f>IF(AQ230="1",BI230,0)</f>
        <v>0</v>
      </c>
      <c r="AD230" s="2">
        <f>IF(AQ230="7",BH230,0)</f>
        <v>0</v>
      </c>
      <c r="AE230" s="2">
        <f>IF(AQ230="7",BI230,0)</f>
        <v>0</v>
      </c>
      <c r="AF230" s="2">
        <f>IF(AQ230="2",BH230,0)</f>
        <v>0</v>
      </c>
      <c r="AG230" s="2">
        <f>IF(AQ230="2",BI230,0)</f>
        <v>0</v>
      </c>
      <c r="AH230" s="2">
        <f>IF(AQ230="0",BJ230,0)</f>
        <v>0</v>
      </c>
      <c r="AI230" s="33" t="s">
        <v>299</v>
      </c>
      <c r="AJ230" s="2">
        <f>IF(AN230=0,L230,0)</f>
        <v>0</v>
      </c>
      <c r="AK230" s="2">
        <f>IF(AN230=15,L230,0)</f>
        <v>0</v>
      </c>
      <c r="AL230" s="2">
        <f>IF(AN230=21,L230,0)</f>
        <v>0</v>
      </c>
      <c r="AN230" s="2">
        <v>21</v>
      </c>
      <c r="AO230" s="2">
        <f>I230*0.450577949444883</f>
        <v>0</v>
      </c>
      <c r="AP230" s="2">
        <f>I230*(1-0.450577949444883)</f>
        <v>0</v>
      </c>
      <c r="AQ230" s="44" t="s">
        <v>432</v>
      </c>
      <c r="AV230" s="2">
        <f>AW230+AX230</f>
        <v>0</v>
      </c>
      <c r="AW230" s="2">
        <f>H230*AO230</f>
        <v>0</v>
      </c>
      <c r="AX230" s="2">
        <f>H230*AP230</f>
        <v>0</v>
      </c>
      <c r="AY230" s="44" t="s">
        <v>103</v>
      </c>
      <c r="AZ230" s="44" t="s">
        <v>177</v>
      </c>
      <c r="BA230" s="33" t="s">
        <v>329</v>
      </c>
      <c r="BC230" s="2">
        <f>AW230+AX230</f>
        <v>0</v>
      </c>
      <c r="BD230" s="2">
        <f>I230/(100-BE230)*100</f>
        <v>0</v>
      </c>
      <c r="BE230" s="2">
        <v>0</v>
      </c>
      <c r="BF230" s="2">
        <f>240</f>
        <v>240</v>
      </c>
      <c r="BH230" s="2">
        <f>H230*AO230</f>
        <v>0</v>
      </c>
      <c r="BI230" s="2">
        <f>H230*AP230</f>
        <v>0</v>
      </c>
      <c r="BJ230" s="2">
        <f>H230*I230</f>
        <v>0</v>
      </c>
      <c r="BK230" s="2"/>
      <c r="BL230" s="2">
        <v>783</v>
      </c>
    </row>
    <row r="231" spans="1:64" ht="15" customHeight="1" x14ac:dyDescent="0.3">
      <c r="A231" s="6"/>
      <c r="C231" s="29" t="s">
        <v>127</v>
      </c>
      <c r="F231" s="29" t="s">
        <v>299</v>
      </c>
      <c r="H231" s="10">
        <v>7.2</v>
      </c>
      <c r="M231" s="41"/>
    </row>
    <row r="232" spans="1:64" ht="15" customHeight="1" x14ac:dyDescent="0.3">
      <c r="A232" s="19" t="s">
        <v>299</v>
      </c>
      <c r="B232" s="34" t="s">
        <v>450</v>
      </c>
      <c r="C232" s="52" t="s">
        <v>137</v>
      </c>
      <c r="D232" s="52"/>
      <c r="E232" s="52"/>
      <c r="F232" s="52"/>
      <c r="G232" s="12" t="s">
        <v>400</v>
      </c>
      <c r="H232" s="12" t="s">
        <v>400</v>
      </c>
      <c r="I232" s="12" t="s">
        <v>400</v>
      </c>
      <c r="J232" s="15">
        <f>SUM(J233:J235)</f>
        <v>0</v>
      </c>
      <c r="K232" s="15">
        <f>SUM(K233:K235)</f>
        <v>0</v>
      </c>
      <c r="L232" s="15">
        <f>SUM(L233:L235)</f>
        <v>0</v>
      </c>
      <c r="M232" s="18" t="s">
        <v>299</v>
      </c>
      <c r="AI232" s="33" t="s">
        <v>299</v>
      </c>
      <c r="AS232" s="15">
        <f>SUM(AJ233:AJ235)</f>
        <v>0</v>
      </c>
      <c r="AT232" s="15">
        <f>SUM(AK233:AK235)</f>
        <v>0</v>
      </c>
      <c r="AU232" s="15">
        <f>SUM(AL233:AL235)</f>
        <v>0</v>
      </c>
    </row>
    <row r="233" spans="1:64" ht="15" customHeight="1" x14ac:dyDescent="0.3">
      <c r="A233" s="39" t="s">
        <v>304</v>
      </c>
      <c r="B233" s="9" t="s">
        <v>214</v>
      </c>
      <c r="C233" s="50" t="s">
        <v>39</v>
      </c>
      <c r="D233" s="50"/>
      <c r="E233" s="50"/>
      <c r="F233" s="50"/>
      <c r="G233" s="9" t="s">
        <v>178</v>
      </c>
      <c r="H233" s="2">
        <v>4</v>
      </c>
      <c r="I233" s="2"/>
      <c r="J233" s="2">
        <f>H233*AO233</f>
        <v>0</v>
      </c>
      <c r="K233" s="2">
        <f>H233*AP233</f>
        <v>0</v>
      </c>
      <c r="L233" s="2">
        <f>H233*I233</f>
        <v>0</v>
      </c>
      <c r="M233" s="36" t="s">
        <v>365</v>
      </c>
      <c r="Z233" s="2">
        <f>IF(AQ233="5",BJ233,0)</f>
        <v>0</v>
      </c>
      <c r="AB233" s="2">
        <f>IF(AQ233="1",BH233,0)</f>
        <v>0</v>
      </c>
      <c r="AC233" s="2">
        <f>IF(AQ233="1",BI233,0)</f>
        <v>0</v>
      </c>
      <c r="AD233" s="2">
        <f>IF(AQ233="7",BH233,0)</f>
        <v>0</v>
      </c>
      <c r="AE233" s="2">
        <f>IF(AQ233="7",BI233,0)</f>
        <v>0</v>
      </c>
      <c r="AF233" s="2">
        <f>IF(AQ233="2",BH233,0)</f>
        <v>0</v>
      </c>
      <c r="AG233" s="2">
        <f>IF(AQ233="2",BI233,0)</f>
        <v>0</v>
      </c>
      <c r="AH233" s="2">
        <f>IF(AQ233="0",BJ233,0)</f>
        <v>0</v>
      </c>
      <c r="AI233" s="33" t="s">
        <v>299</v>
      </c>
      <c r="AJ233" s="2">
        <f>IF(AN233=0,L233,0)</f>
        <v>0</v>
      </c>
      <c r="AK233" s="2">
        <f>IF(AN233=15,L233,0)</f>
        <v>0</v>
      </c>
      <c r="AL233" s="2">
        <f>IF(AN233=21,L233,0)</f>
        <v>0</v>
      </c>
      <c r="AN233" s="2">
        <v>21</v>
      </c>
      <c r="AO233" s="2">
        <f>I233*0</f>
        <v>0</v>
      </c>
      <c r="AP233" s="2">
        <f>I233*(1-0)</f>
        <v>0</v>
      </c>
      <c r="AQ233" s="44" t="s">
        <v>429</v>
      </c>
      <c r="AV233" s="2">
        <f>AW233+AX233</f>
        <v>0</v>
      </c>
      <c r="AW233" s="2">
        <f>H233*AO233</f>
        <v>0</v>
      </c>
      <c r="AX233" s="2">
        <f>H233*AP233</f>
        <v>0</v>
      </c>
      <c r="AY233" s="44" t="s">
        <v>124</v>
      </c>
      <c r="AZ233" s="44" t="s">
        <v>151</v>
      </c>
      <c r="BA233" s="33" t="s">
        <v>329</v>
      </c>
      <c r="BC233" s="2">
        <f>AW233+AX233</f>
        <v>0</v>
      </c>
      <c r="BD233" s="2">
        <f>I233/(100-BE233)*100</f>
        <v>0</v>
      </c>
      <c r="BE233" s="2">
        <v>0</v>
      </c>
      <c r="BF233" s="2">
        <f>243</f>
        <v>243</v>
      </c>
      <c r="BH233" s="2">
        <f>H233*AO233</f>
        <v>0</v>
      </c>
      <c r="BI233" s="2">
        <f>H233*AP233</f>
        <v>0</v>
      </c>
      <c r="BJ233" s="2">
        <f>H233*I233</f>
        <v>0</v>
      </c>
      <c r="BK233" s="2"/>
      <c r="BL233" s="2">
        <v>90</v>
      </c>
    </row>
    <row r="234" spans="1:64" ht="15" customHeight="1" x14ac:dyDescent="0.3">
      <c r="A234" s="6"/>
      <c r="C234" s="29" t="s">
        <v>56</v>
      </c>
      <c r="F234" s="29" t="s">
        <v>299</v>
      </c>
      <c r="H234" s="10">
        <v>4</v>
      </c>
      <c r="M234" s="41"/>
    </row>
    <row r="235" spans="1:64" ht="15" customHeight="1" x14ac:dyDescent="0.3">
      <c r="A235" s="39" t="s">
        <v>470</v>
      </c>
      <c r="B235" s="9" t="s">
        <v>239</v>
      </c>
      <c r="C235" s="50" t="s">
        <v>266</v>
      </c>
      <c r="D235" s="50"/>
      <c r="E235" s="50"/>
      <c r="F235" s="50"/>
      <c r="G235" s="9" t="s">
        <v>178</v>
      </c>
      <c r="H235" s="2">
        <v>8</v>
      </c>
      <c r="I235" s="2"/>
      <c r="J235" s="2">
        <f>H235*AO235</f>
        <v>0</v>
      </c>
      <c r="K235" s="2">
        <f>H235*AP235</f>
        <v>0</v>
      </c>
      <c r="L235" s="2">
        <f>H235*I235</f>
        <v>0</v>
      </c>
      <c r="M235" s="36" t="s">
        <v>365</v>
      </c>
      <c r="Z235" s="2">
        <f>IF(AQ235="5",BJ235,0)</f>
        <v>0</v>
      </c>
      <c r="AB235" s="2">
        <f>IF(AQ235="1",BH235,0)</f>
        <v>0</v>
      </c>
      <c r="AC235" s="2">
        <f>IF(AQ235="1",BI235,0)</f>
        <v>0</v>
      </c>
      <c r="AD235" s="2">
        <f>IF(AQ235="7",BH235,0)</f>
        <v>0</v>
      </c>
      <c r="AE235" s="2">
        <f>IF(AQ235="7",BI235,0)</f>
        <v>0</v>
      </c>
      <c r="AF235" s="2">
        <f>IF(AQ235="2",BH235,0)</f>
        <v>0</v>
      </c>
      <c r="AG235" s="2">
        <f>IF(AQ235="2",BI235,0)</f>
        <v>0</v>
      </c>
      <c r="AH235" s="2">
        <f>IF(AQ235="0",BJ235,0)</f>
        <v>0</v>
      </c>
      <c r="AI235" s="33" t="s">
        <v>299</v>
      </c>
      <c r="AJ235" s="2">
        <f>IF(AN235=0,L235,0)</f>
        <v>0</v>
      </c>
      <c r="AK235" s="2">
        <f>IF(AN235=15,L235,0)</f>
        <v>0</v>
      </c>
      <c r="AL235" s="2">
        <f>IF(AN235=21,L235,0)</f>
        <v>0</v>
      </c>
      <c r="AN235" s="2">
        <v>21</v>
      </c>
      <c r="AO235" s="2">
        <f>I235*0</f>
        <v>0</v>
      </c>
      <c r="AP235" s="2">
        <f>I235*(1-0)</f>
        <v>0</v>
      </c>
      <c r="AQ235" s="44" t="s">
        <v>429</v>
      </c>
      <c r="AV235" s="2">
        <f>AW235+AX235</f>
        <v>0</v>
      </c>
      <c r="AW235" s="2">
        <f>H235*AO235</f>
        <v>0</v>
      </c>
      <c r="AX235" s="2">
        <f>H235*AP235</f>
        <v>0</v>
      </c>
      <c r="AY235" s="44" t="s">
        <v>124</v>
      </c>
      <c r="AZ235" s="44" t="s">
        <v>151</v>
      </c>
      <c r="BA235" s="33" t="s">
        <v>329</v>
      </c>
      <c r="BC235" s="2">
        <f>AW235+AX235</f>
        <v>0</v>
      </c>
      <c r="BD235" s="2">
        <f>I235/(100-BE235)*100</f>
        <v>0</v>
      </c>
      <c r="BE235" s="2">
        <v>0</v>
      </c>
      <c r="BF235" s="2">
        <f>245</f>
        <v>245</v>
      </c>
      <c r="BH235" s="2">
        <f>H235*AO235</f>
        <v>0</v>
      </c>
      <c r="BI235" s="2">
        <f>H235*AP235</f>
        <v>0</v>
      </c>
      <c r="BJ235" s="2">
        <f>H235*I235</f>
        <v>0</v>
      </c>
      <c r="BK235" s="2"/>
      <c r="BL235" s="2">
        <v>90</v>
      </c>
    </row>
    <row r="236" spans="1:64" ht="15" customHeight="1" x14ac:dyDescent="0.3">
      <c r="A236" s="6"/>
      <c r="C236" s="29" t="s">
        <v>340</v>
      </c>
      <c r="F236" s="29" t="s">
        <v>299</v>
      </c>
      <c r="H236" s="10">
        <v>8</v>
      </c>
      <c r="M236" s="41"/>
    </row>
    <row r="237" spans="1:64" ht="15" customHeight="1" x14ac:dyDescent="0.3">
      <c r="A237" s="19" t="s">
        <v>299</v>
      </c>
      <c r="B237" s="34" t="s">
        <v>57</v>
      </c>
      <c r="C237" s="52" t="s">
        <v>478</v>
      </c>
      <c r="D237" s="52"/>
      <c r="E237" s="52"/>
      <c r="F237" s="52"/>
      <c r="G237" s="12" t="s">
        <v>400</v>
      </c>
      <c r="H237" s="12" t="s">
        <v>400</v>
      </c>
      <c r="I237" s="12" t="s">
        <v>400</v>
      </c>
      <c r="J237" s="15">
        <f>SUM(J238:J259)</f>
        <v>0</v>
      </c>
      <c r="K237" s="15">
        <f>SUM(K238:K259)</f>
        <v>0</v>
      </c>
      <c r="L237" s="15">
        <f>SUM(L238:L259)</f>
        <v>0</v>
      </c>
      <c r="M237" s="18" t="s">
        <v>299</v>
      </c>
      <c r="AI237" s="33" t="s">
        <v>299</v>
      </c>
      <c r="AS237" s="15">
        <f>SUM(AJ238:AJ259)</f>
        <v>0</v>
      </c>
      <c r="AT237" s="15">
        <f>SUM(AK238:AK259)</f>
        <v>0</v>
      </c>
      <c r="AU237" s="15">
        <f>SUM(AL238:AL259)</f>
        <v>0</v>
      </c>
    </row>
    <row r="238" spans="1:64" ht="15" customHeight="1" x14ac:dyDescent="0.3">
      <c r="A238" s="11" t="s">
        <v>411</v>
      </c>
      <c r="B238" s="8" t="s">
        <v>182</v>
      </c>
      <c r="C238" s="51" t="s">
        <v>379</v>
      </c>
      <c r="D238" s="50"/>
      <c r="E238" s="50"/>
      <c r="F238" s="51"/>
      <c r="G238" s="8" t="s">
        <v>111</v>
      </c>
      <c r="H238" s="24">
        <v>1</v>
      </c>
      <c r="I238" s="24"/>
      <c r="J238" s="24">
        <f>H238*AO238</f>
        <v>0</v>
      </c>
      <c r="K238" s="24">
        <f>H238*AP238</f>
        <v>0</v>
      </c>
      <c r="L238" s="24">
        <f>H238*I238</f>
        <v>0</v>
      </c>
      <c r="M238" s="28" t="s">
        <v>365</v>
      </c>
      <c r="Z238" s="2">
        <f>IF(AQ238="5",BJ238,0)</f>
        <v>0</v>
      </c>
      <c r="AB238" s="2">
        <f>IF(AQ238="1",BH238,0)</f>
        <v>0</v>
      </c>
      <c r="AC238" s="2">
        <f>IF(AQ238="1",BI238,0)</f>
        <v>0</v>
      </c>
      <c r="AD238" s="2">
        <f>IF(AQ238="7",BH238,0)</f>
        <v>0</v>
      </c>
      <c r="AE238" s="2">
        <f>IF(AQ238="7",BI238,0)</f>
        <v>0</v>
      </c>
      <c r="AF238" s="2">
        <f>IF(AQ238="2",BH238,0)</f>
        <v>0</v>
      </c>
      <c r="AG238" s="2">
        <f>IF(AQ238="2",BI238,0)</f>
        <v>0</v>
      </c>
      <c r="AH238" s="2">
        <f>IF(AQ238="0",BJ238,0)</f>
        <v>0</v>
      </c>
      <c r="AI238" s="33" t="s">
        <v>299</v>
      </c>
      <c r="AJ238" s="2">
        <f>IF(AN238=0,L238,0)</f>
        <v>0</v>
      </c>
      <c r="AK238" s="2">
        <f>IF(AN238=15,L238,0)</f>
        <v>0</v>
      </c>
      <c r="AL238" s="2">
        <f>IF(AN238=21,L238,0)</f>
        <v>0</v>
      </c>
      <c r="AN238" s="2">
        <v>21</v>
      </c>
      <c r="AO238" s="2">
        <f>I238*0</f>
        <v>0</v>
      </c>
      <c r="AP238" s="2">
        <f>I238*(1-0)</f>
        <v>0</v>
      </c>
      <c r="AQ238" s="44" t="s">
        <v>429</v>
      </c>
      <c r="AV238" s="2">
        <f>AW238+AX238</f>
        <v>0</v>
      </c>
      <c r="AW238" s="2">
        <f>H238*AO238</f>
        <v>0</v>
      </c>
      <c r="AX238" s="2">
        <f>H238*AP238</f>
        <v>0</v>
      </c>
      <c r="AY238" s="44" t="s">
        <v>133</v>
      </c>
      <c r="AZ238" s="44" t="s">
        <v>151</v>
      </c>
      <c r="BA238" s="33" t="s">
        <v>329</v>
      </c>
      <c r="BC238" s="2">
        <f>AW238+AX238</f>
        <v>0</v>
      </c>
      <c r="BD238" s="2">
        <f>I238/(100-BE238)*100</f>
        <v>0</v>
      </c>
      <c r="BE238" s="2">
        <v>0</v>
      </c>
      <c r="BF238" s="2">
        <f>251</f>
        <v>251</v>
      </c>
      <c r="BH238" s="2">
        <f>H238*AO238</f>
        <v>0</v>
      </c>
      <c r="BI238" s="2">
        <f>H238*AP238</f>
        <v>0</v>
      </c>
      <c r="BJ238" s="2">
        <f>H238*I238</f>
        <v>0</v>
      </c>
      <c r="BK238" s="2"/>
      <c r="BL238" s="2">
        <v>97</v>
      </c>
    </row>
    <row r="239" spans="1:64" ht="15" customHeight="1" x14ac:dyDescent="0.3">
      <c r="A239" s="47"/>
      <c r="B239" s="23"/>
      <c r="C239" s="1" t="s">
        <v>429</v>
      </c>
      <c r="F239" s="1" t="s">
        <v>482</v>
      </c>
      <c r="G239" s="23"/>
      <c r="H239" s="4">
        <v>1</v>
      </c>
      <c r="I239" s="23"/>
      <c r="J239" s="23"/>
      <c r="K239" s="23"/>
      <c r="L239" s="23"/>
      <c r="M239" s="38"/>
    </row>
    <row r="240" spans="1:64" ht="15" customHeight="1" x14ac:dyDescent="0.3">
      <c r="A240" s="11" t="s">
        <v>216</v>
      </c>
      <c r="B240" s="8" t="s">
        <v>474</v>
      </c>
      <c r="C240" s="51" t="s">
        <v>394</v>
      </c>
      <c r="D240" s="50"/>
      <c r="E240" s="50"/>
      <c r="F240" s="51"/>
      <c r="G240" s="8" t="s">
        <v>111</v>
      </c>
      <c r="H240" s="24">
        <v>4</v>
      </c>
      <c r="I240" s="24"/>
      <c r="J240" s="24">
        <f>H240*AO240</f>
        <v>0</v>
      </c>
      <c r="K240" s="24">
        <f>H240*AP240</f>
        <v>0</v>
      </c>
      <c r="L240" s="24">
        <f>H240*I240</f>
        <v>0</v>
      </c>
      <c r="M240" s="28" t="s">
        <v>365</v>
      </c>
      <c r="Z240" s="2">
        <f>IF(AQ240="5",BJ240,0)</f>
        <v>0</v>
      </c>
      <c r="AB240" s="2">
        <f>IF(AQ240="1",BH240,0)</f>
        <v>0</v>
      </c>
      <c r="AC240" s="2">
        <f>IF(AQ240="1",BI240,0)</f>
        <v>0</v>
      </c>
      <c r="AD240" s="2">
        <f>IF(AQ240="7",BH240,0)</f>
        <v>0</v>
      </c>
      <c r="AE240" s="2">
        <f>IF(AQ240="7",BI240,0)</f>
        <v>0</v>
      </c>
      <c r="AF240" s="2">
        <f>IF(AQ240="2",BH240,0)</f>
        <v>0</v>
      </c>
      <c r="AG240" s="2">
        <f>IF(AQ240="2",BI240,0)</f>
        <v>0</v>
      </c>
      <c r="AH240" s="2">
        <f>IF(AQ240="0",BJ240,0)</f>
        <v>0</v>
      </c>
      <c r="AI240" s="33" t="s">
        <v>299</v>
      </c>
      <c r="AJ240" s="2">
        <f>IF(AN240=0,L240,0)</f>
        <v>0</v>
      </c>
      <c r="AK240" s="2">
        <f>IF(AN240=15,L240,0)</f>
        <v>0</v>
      </c>
      <c r="AL240" s="2">
        <f>IF(AN240=21,L240,0)</f>
        <v>0</v>
      </c>
      <c r="AN240" s="2">
        <v>21</v>
      </c>
      <c r="AO240" s="2">
        <f>I240*0</f>
        <v>0</v>
      </c>
      <c r="AP240" s="2">
        <f>I240*(1-0)</f>
        <v>0</v>
      </c>
      <c r="AQ240" s="44" t="s">
        <v>429</v>
      </c>
      <c r="AV240" s="2">
        <f>AW240+AX240</f>
        <v>0</v>
      </c>
      <c r="AW240" s="2">
        <f>H240*AO240</f>
        <v>0</v>
      </c>
      <c r="AX240" s="2">
        <f>H240*AP240</f>
        <v>0</v>
      </c>
      <c r="AY240" s="44" t="s">
        <v>133</v>
      </c>
      <c r="AZ240" s="44" t="s">
        <v>151</v>
      </c>
      <c r="BA240" s="33" t="s">
        <v>329</v>
      </c>
      <c r="BC240" s="2">
        <f>AW240+AX240</f>
        <v>0</v>
      </c>
      <c r="BD240" s="2">
        <f>I240/(100-BE240)*100</f>
        <v>0</v>
      </c>
      <c r="BE240" s="2">
        <v>0</v>
      </c>
      <c r="BF240" s="2">
        <f>253</f>
        <v>253</v>
      </c>
      <c r="BH240" s="2">
        <f>H240*AO240</f>
        <v>0</v>
      </c>
      <c r="BI240" s="2">
        <f>H240*AP240</f>
        <v>0</v>
      </c>
      <c r="BJ240" s="2">
        <f>H240*I240</f>
        <v>0</v>
      </c>
      <c r="BK240" s="2"/>
      <c r="BL240" s="2">
        <v>97</v>
      </c>
    </row>
    <row r="241" spans="1:64" ht="15" customHeight="1" x14ac:dyDescent="0.3">
      <c r="A241" s="47"/>
      <c r="B241" s="23"/>
      <c r="C241" s="1" t="s">
        <v>56</v>
      </c>
      <c r="F241" s="1" t="s">
        <v>215</v>
      </c>
      <c r="G241" s="23"/>
      <c r="H241" s="4">
        <v>4</v>
      </c>
      <c r="I241" s="23"/>
      <c r="J241" s="23"/>
      <c r="K241" s="23"/>
      <c r="L241" s="23"/>
      <c r="M241" s="38"/>
    </row>
    <row r="242" spans="1:64" ht="15" customHeight="1" x14ac:dyDescent="0.3">
      <c r="A242" s="11" t="s">
        <v>191</v>
      </c>
      <c r="B242" s="8" t="s">
        <v>421</v>
      </c>
      <c r="C242" s="51" t="s">
        <v>270</v>
      </c>
      <c r="D242" s="50"/>
      <c r="E242" s="50"/>
      <c r="F242" s="51"/>
      <c r="G242" s="8" t="s">
        <v>111</v>
      </c>
      <c r="H242" s="24">
        <v>2</v>
      </c>
      <c r="I242" s="24"/>
      <c r="J242" s="24">
        <f>H242*AO242</f>
        <v>0</v>
      </c>
      <c r="K242" s="24">
        <f>H242*AP242</f>
        <v>0</v>
      </c>
      <c r="L242" s="24">
        <f>H242*I242</f>
        <v>0</v>
      </c>
      <c r="M242" s="28" t="s">
        <v>365</v>
      </c>
      <c r="Z242" s="2">
        <f>IF(AQ242="5",BJ242,0)</f>
        <v>0</v>
      </c>
      <c r="AB242" s="2">
        <f>IF(AQ242="1",BH242,0)</f>
        <v>0</v>
      </c>
      <c r="AC242" s="2">
        <f>IF(AQ242="1",BI242,0)</f>
        <v>0</v>
      </c>
      <c r="AD242" s="2">
        <f>IF(AQ242="7",BH242,0)</f>
        <v>0</v>
      </c>
      <c r="AE242" s="2">
        <f>IF(AQ242="7",BI242,0)</f>
        <v>0</v>
      </c>
      <c r="AF242" s="2">
        <f>IF(AQ242="2",BH242,0)</f>
        <v>0</v>
      </c>
      <c r="AG242" s="2">
        <f>IF(AQ242="2",BI242,0)</f>
        <v>0</v>
      </c>
      <c r="AH242" s="2">
        <f>IF(AQ242="0",BJ242,0)</f>
        <v>0</v>
      </c>
      <c r="AI242" s="33" t="s">
        <v>299</v>
      </c>
      <c r="AJ242" s="2">
        <f>IF(AN242=0,L242,0)</f>
        <v>0</v>
      </c>
      <c r="AK242" s="2">
        <f>IF(AN242=15,L242,0)</f>
        <v>0</v>
      </c>
      <c r="AL242" s="2">
        <f>IF(AN242=21,L242,0)</f>
        <v>0</v>
      </c>
      <c r="AN242" s="2">
        <v>21</v>
      </c>
      <c r="AO242" s="2">
        <f>I242*0</f>
        <v>0</v>
      </c>
      <c r="AP242" s="2">
        <f>I242*(1-0)</f>
        <v>0</v>
      </c>
      <c r="AQ242" s="44" t="s">
        <v>429</v>
      </c>
      <c r="AV242" s="2">
        <f>AW242+AX242</f>
        <v>0</v>
      </c>
      <c r="AW242" s="2">
        <f>H242*AO242</f>
        <v>0</v>
      </c>
      <c r="AX242" s="2">
        <f>H242*AP242</f>
        <v>0</v>
      </c>
      <c r="AY242" s="44" t="s">
        <v>133</v>
      </c>
      <c r="AZ242" s="44" t="s">
        <v>151</v>
      </c>
      <c r="BA242" s="33" t="s">
        <v>329</v>
      </c>
      <c r="BC242" s="2">
        <f>AW242+AX242</f>
        <v>0</v>
      </c>
      <c r="BD242" s="2">
        <f>I242/(100-BE242)*100</f>
        <v>0</v>
      </c>
      <c r="BE242" s="2">
        <v>0</v>
      </c>
      <c r="BF242" s="2">
        <f>255</f>
        <v>255</v>
      </c>
      <c r="BH242" s="2">
        <f>H242*AO242</f>
        <v>0</v>
      </c>
      <c r="BI242" s="2">
        <f>H242*AP242</f>
        <v>0</v>
      </c>
      <c r="BJ242" s="2">
        <f>H242*I242</f>
        <v>0</v>
      </c>
      <c r="BK242" s="2"/>
      <c r="BL242" s="2">
        <v>97</v>
      </c>
    </row>
    <row r="243" spans="1:64" ht="15" customHeight="1" x14ac:dyDescent="0.3">
      <c r="A243" s="47"/>
      <c r="B243" s="23"/>
      <c r="C243" s="1" t="s">
        <v>297</v>
      </c>
      <c r="F243" s="1" t="s">
        <v>215</v>
      </c>
      <c r="G243" s="23"/>
      <c r="H243" s="4">
        <v>2</v>
      </c>
      <c r="I243" s="23"/>
      <c r="J243" s="23"/>
      <c r="K243" s="23"/>
      <c r="L243" s="23"/>
      <c r="M243" s="38"/>
    </row>
    <row r="244" spans="1:64" ht="15" customHeight="1" x14ac:dyDescent="0.3">
      <c r="A244" s="11" t="s">
        <v>167</v>
      </c>
      <c r="B244" s="8" t="s">
        <v>233</v>
      </c>
      <c r="C244" s="51" t="s">
        <v>459</v>
      </c>
      <c r="D244" s="50"/>
      <c r="E244" s="50"/>
      <c r="F244" s="51"/>
      <c r="G244" s="8" t="s">
        <v>111</v>
      </c>
      <c r="H244" s="24">
        <v>3</v>
      </c>
      <c r="I244" s="24"/>
      <c r="J244" s="24">
        <f>H244*AO244</f>
        <v>0</v>
      </c>
      <c r="K244" s="24">
        <f>H244*AP244</f>
        <v>0</v>
      </c>
      <c r="L244" s="24">
        <f>H244*I244</f>
        <v>0</v>
      </c>
      <c r="M244" s="28" t="s">
        <v>365</v>
      </c>
      <c r="Z244" s="2">
        <f>IF(AQ244="5",BJ244,0)</f>
        <v>0</v>
      </c>
      <c r="AB244" s="2">
        <f>IF(AQ244="1",BH244,0)</f>
        <v>0</v>
      </c>
      <c r="AC244" s="2">
        <f>IF(AQ244="1",BI244,0)</f>
        <v>0</v>
      </c>
      <c r="AD244" s="2">
        <f>IF(AQ244="7",BH244,0)</f>
        <v>0</v>
      </c>
      <c r="AE244" s="2">
        <f>IF(AQ244="7",BI244,0)</f>
        <v>0</v>
      </c>
      <c r="AF244" s="2">
        <f>IF(AQ244="2",BH244,0)</f>
        <v>0</v>
      </c>
      <c r="AG244" s="2">
        <f>IF(AQ244="2",BI244,0)</f>
        <v>0</v>
      </c>
      <c r="AH244" s="2">
        <f>IF(AQ244="0",BJ244,0)</f>
        <v>0</v>
      </c>
      <c r="AI244" s="33" t="s">
        <v>299</v>
      </c>
      <c r="AJ244" s="2">
        <f>IF(AN244=0,L244,0)</f>
        <v>0</v>
      </c>
      <c r="AK244" s="2">
        <f>IF(AN244=15,L244,0)</f>
        <v>0</v>
      </c>
      <c r="AL244" s="2">
        <f>IF(AN244=21,L244,0)</f>
        <v>0</v>
      </c>
      <c r="AN244" s="2">
        <v>21</v>
      </c>
      <c r="AO244" s="2">
        <f>I244*0</f>
        <v>0</v>
      </c>
      <c r="AP244" s="2">
        <f>I244*(1-0)</f>
        <v>0</v>
      </c>
      <c r="AQ244" s="44" t="s">
        <v>429</v>
      </c>
      <c r="AV244" s="2">
        <f>AW244+AX244</f>
        <v>0</v>
      </c>
      <c r="AW244" s="2">
        <f>H244*AO244</f>
        <v>0</v>
      </c>
      <c r="AX244" s="2">
        <f>H244*AP244</f>
        <v>0</v>
      </c>
      <c r="AY244" s="44" t="s">
        <v>133</v>
      </c>
      <c r="AZ244" s="44" t="s">
        <v>151</v>
      </c>
      <c r="BA244" s="33" t="s">
        <v>329</v>
      </c>
      <c r="BC244" s="2">
        <f>AW244+AX244</f>
        <v>0</v>
      </c>
      <c r="BD244" s="2">
        <f>I244/(100-BE244)*100</f>
        <v>0</v>
      </c>
      <c r="BE244" s="2">
        <v>0</v>
      </c>
      <c r="BF244" s="2">
        <f>257</f>
        <v>257</v>
      </c>
      <c r="BH244" s="2">
        <f>H244*AO244</f>
        <v>0</v>
      </c>
      <c r="BI244" s="2">
        <f>H244*AP244</f>
        <v>0</v>
      </c>
      <c r="BJ244" s="2">
        <f>H244*I244</f>
        <v>0</v>
      </c>
      <c r="BK244" s="2"/>
      <c r="BL244" s="2">
        <v>97</v>
      </c>
    </row>
    <row r="245" spans="1:64" ht="15" customHeight="1" x14ac:dyDescent="0.3">
      <c r="A245" s="47"/>
      <c r="B245" s="23"/>
      <c r="C245" s="1" t="s">
        <v>376</v>
      </c>
      <c r="F245" s="1" t="s">
        <v>319</v>
      </c>
      <c r="G245" s="23"/>
      <c r="H245" s="4">
        <v>3.0000000000000004</v>
      </c>
      <c r="I245" s="23"/>
      <c r="J245" s="23"/>
      <c r="K245" s="23"/>
      <c r="L245" s="23"/>
      <c r="M245" s="38"/>
    </row>
    <row r="246" spans="1:64" ht="15" customHeight="1" x14ac:dyDescent="0.3">
      <c r="A246" s="11" t="s">
        <v>81</v>
      </c>
      <c r="B246" s="8" t="s">
        <v>467</v>
      </c>
      <c r="C246" s="51" t="s">
        <v>130</v>
      </c>
      <c r="D246" s="50"/>
      <c r="E246" s="50"/>
      <c r="F246" s="51"/>
      <c r="G246" s="8" t="s">
        <v>111</v>
      </c>
      <c r="H246" s="24">
        <v>6</v>
      </c>
      <c r="I246" s="24"/>
      <c r="J246" s="24">
        <f>H246*AO246</f>
        <v>0</v>
      </c>
      <c r="K246" s="24">
        <f>H246*AP246</f>
        <v>0</v>
      </c>
      <c r="L246" s="24">
        <f>H246*I246</f>
        <v>0</v>
      </c>
      <c r="M246" s="28" t="s">
        <v>365</v>
      </c>
      <c r="Z246" s="2">
        <f>IF(AQ246="5",BJ246,0)</f>
        <v>0</v>
      </c>
      <c r="AB246" s="2">
        <f>IF(AQ246="1",BH246,0)</f>
        <v>0</v>
      </c>
      <c r="AC246" s="2">
        <f>IF(AQ246="1",BI246,0)</f>
        <v>0</v>
      </c>
      <c r="AD246" s="2">
        <f>IF(AQ246="7",BH246,0)</f>
        <v>0</v>
      </c>
      <c r="AE246" s="2">
        <f>IF(AQ246="7",BI246,0)</f>
        <v>0</v>
      </c>
      <c r="AF246" s="2">
        <f>IF(AQ246="2",BH246,0)</f>
        <v>0</v>
      </c>
      <c r="AG246" s="2">
        <f>IF(AQ246="2",BI246,0)</f>
        <v>0</v>
      </c>
      <c r="AH246" s="2">
        <f>IF(AQ246="0",BJ246,0)</f>
        <v>0</v>
      </c>
      <c r="AI246" s="33" t="s">
        <v>299</v>
      </c>
      <c r="AJ246" s="2">
        <f>IF(AN246=0,L246,0)</f>
        <v>0</v>
      </c>
      <c r="AK246" s="2">
        <f>IF(AN246=15,L246,0)</f>
        <v>0</v>
      </c>
      <c r="AL246" s="2">
        <f>IF(AN246=21,L246,0)</f>
        <v>0</v>
      </c>
      <c r="AN246" s="2">
        <v>21</v>
      </c>
      <c r="AO246" s="2">
        <f>I246*0</f>
        <v>0</v>
      </c>
      <c r="AP246" s="2">
        <f>I246*(1-0)</f>
        <v>0</v>
      </c>
      <c r="AQ246" s="44" t="s">
        <v>429</v>
      </c>
      <c r="AV246" s="2">
        <f>AW246+AX246</f>
        <v>0</v>
      </c>
      <c r="AW246" s="2">
        <f>H246*AO246</f>
        <v>0</v>
      </c>
      <c r="AX246" s="2">
        <f>H246*AP246</f>
        <v>0</v>
      </c>
      <c r="AY246" s="44" t="s">
        <v>133</v>
      </c>
      <c r="AZ246" s="44" t="s">
        <v>151</v>
      </c>
      <c r="BA246" s="33" t="s">
        <v>329</v>
      </c>
      <c r="BC246" s="2">
        <f>AW246+AX246</f>
        <v>0</v>
      </c>
      <c r="BD246" s="2">
        <f>I246/(100-BE246)*100</f>
        <v>0</v>
      </c>
      <c r="BE246" s="2">
        <v>0</v>
      </c>
      <c r="BF246" s="2">
        <f>259</f>
        <v>259</v>
      </c>
      <c r="BH246" s="2">
        <f>H246*AO246</f>
        <v>0</v>
      </c>
      <c r="BI246" s="2">
        <f>H246*AP246</f>
        <v>0</v>
      </c>
      <c r="BJ246" s="2">
        <f>H246*I246</f>
        <v>0</v>
      </c>
      <c r="BK246" s="2"/>
      <c r="BL246" s="2">
        <v>97</v>
      </c>
    </row>
    <row r="247" spans="1:64" ht="15" customHeight="1" x14ac:dyDescent="0.3">
      <c r="A247" s="47"/>
      <c r="B247" s="23"/>
      <c r="C247" s="1" t="s">
        <v>75</v>
      </c>
      <c r="F247" s="1" t="s">
        <v>204</v>
      </c>
      <c r="G247" s="23"/>
      <c r="H247" s="4">
        <v>6.0000000000000009</v>
      </c>
      <c r="I247" s="23"/>
      <c r="J247" s="23"/>
      <c r="K247" s="23"/>
      <c r="L247" s="23"/>
      <c r="M247" s="38"/>
    </row>
    <row r="248" spans="1:64" ht="15" customHeight="1" x14ac:dyDescent="0.3">
      <c r="A248" s="11" t="s">
        <v>98</v>
      </c>
      <c r="B248" s="8" t="s">
        <v>160</v>
      </c>
      <c r="C248" s="51" t="s">
        <v>460</v>
      </c>
      <c r="D248" s="50"/>
      <c r="E248" s="50"/>
      <c r="F248" s="51"/>
      <c r="G248" s="8" t="s">
        <v>111</v>
      </c>
      <c r="H248" s="24">
        <v>1</v>
      </c>
      <c r="I248" s="24"/>
      <c r="J248" s="24">
        <f>H248*AO248</f>
        <v>0</v>
      </c>
      <c r="K248" s="24">
        <f>H248*AP248</f>
        <v>0</v>
      </c>
      <c r="L248" s="24">
        <f>H248*I248</f>
        <v>0</v>
      </c>
      <c r="M248" s="28" t="s">
        <v>365</v>
      </c>
      <c r="Z248" s="2">
        <f>IF(AQ248="5",BJ248,0)</f>
        <v>0</v>
      </c>
      <c r="AB248" s="2">
        <f>IF(AQ248="1",BH248,0)</f>
        <v>0</v>
      </c>
      <c r="AC248" s="2">
        <f>IF(AQ248="1",BI248,0)</f>
        <v>0</v>
      </c>
      <c r="AD248" s="2">
        <f>IF(AQ248="7",BH248,0)</f>
        <v>0</v>
      </c>
      <c r="AE248" s="2">
        <f>IF(AQ248="7",BI248,0)</f>
        <v>0</v>
      </c>
      <c r="AF248" s="2">
        <f>IF(AQ248="2",BH248,0)</f>
        <v>0</v>
      </c>
      <c r="AG248" s="2">
        <f>IF(AQ248="2",BI248,0)</f>
        <v>0</v>
      </c>
      <c r="AH248" s="2">
        <f>IF(AQ248="0",BJ248,0)</f>
        <v>0</v>
      </c>
      <c r="AI248" s="33" t="s">
        <v>299</v>
      </c>
      <c r="AJ248" s="2">
        <f>IF(AN248=0,L248,0)</f>
        <v>0</v>
      </c>
      <c r="AK248" s="2">
        <f>IF(AN248=15,L248,0)</f>
        <v>0</v>
      </c>
      <c r="AL248" s="2">
        <f>IF(AN248=21,L248,0)</f>
        <v>0</v>
      </c>
      <c r="AN248" s="2">
        <v>21</v>
      </c>
      <c r="AO248" s="2">
        <f>I248*0</f>
        <v>0</v>
      </c>
      <c r="AP248" s="2">
        <f>I248*(1-0)</f>
        <v>0</v>
      </c>
      <c r="AQ248" s="44" t="s">
        <v>429</v>
      </c>
      <c r="AV248" s="2">
        <f>AW248+AX248</f>
        <v>0</v>
      </c>
      <c r="AW248" s="2">
        <f>H248*AO248</f>
        <v>0</v>
      </c>
      <c r="AX248" s="2">
        <f>H248*AP248</f>
        <v>0</v>
      </c>
      <c r="AY248" s="44" t="s">
        <v>133</v>
      </c>
      <c r="AZ248" s="44" t="s">
        <v>151</v>
      </c>
      <c r="BA248" s="33" t="s">
        <v>329</v>
      </c>
      <c r="BC248" s="2">
        <f>AW248+AX248</f>
        <v>0</v>
      </c>
      <c r="BD248" s="2">
        <f>I248/(100-BE248)*100</f>
        <v>0</v>
      </c>
      <c r="BE248" s="2">
        <v>0</v>
      </c>
      <c r="BF248" s="2">
        <f>261</f>
        <v>261</v>
      </c>
      <c r="BH248" s="2">
        <f>H248*AO248</f>
        <v>0</v>
      </c>
      <c r="BI248" s="2">
        <f>H248*AP248</f>
        <v>0</v>
      </c>
      <c r="BJ248" s="2">
        <f>H248*I248</f>
        <v>0</v>
      </c>
      <c r="BK248" s="2"/>
      <c r="BL248" s="2">
        <v>97</v>
      </c>
    </row>
    <row r="249" spans="1:64" ht="15" customHeight="1" x14ac:dyDescent="0.3">
      <c r="A249" s="47"/>
      <c r="B249" s="23"/>
      <c r="C249" s="1" t="s">
        <v>429</v>
      </c>
      <c r="F249" s="1" t="s">
        <v>482</v>
      </c>
      <c r="G249" s="23"/>
      <c r="H249" s="4">
        <v>1</v>
      </c>
      <c r="I249" s="23"/>
      <c r="J249" s="23"/>
      <c r="K249" s="23"/>
      <c r="L249" s="23"/>
      <c r="M249" s="38"/>
    </row>
    <row r="250" spans="1:64" ht="15" customHeight="1" x14ac:dyDescent="0.3">
      <c r="A250" s="11" t="s">
        <v>58</v>
      </c>
      <c r="B250" s="8" t="s">
        <v>371</v>
      </c>
      <c r="C250" s="51" t="s">
        <v>455</v>
      </c>
      <c r="D250" s="50"/>
      <c r="E250" s="50"/>
      <c r="F250" s="51"/>
      <c r="G250" s="8" t="s">
        <v>111</v>
      </c>
      <c r="H250" s="24">
        <v>1</v>
      </c>
      <c r="I250" s="24"/>
      <c r="J250" s="24">
        <f>H250*AO250</f>
        <v>0</v>
      </c>
      <c r="K250" s="24">
        <f>H250*AP250</f>
        <v>0</v>
      </c>
      <c r="L250" s="24">
        <f>H250*I250</f>
        <v>0</v>
      </c>
      <c r="M250" s="28" t="s">
        <v>365</v>
      </c>
      <c r="Z250" s="2">
        <f>IF(AQ250="5",BJ250,0)</f>
        <v>0</v>
      </c>
      <c r="AB250" s="2">
        <f>IF(AQ250="1",BH250,0)</f>
        <v>0</v>
      </c>
      <c r="AC250" s="2">
        <f>IF(AQ250="1",BI250,0)</f>
        <v>0</v>
      </c>
      <c r="AD250" s="2">
        <f>IF(AQ250="7",BH250,0)</f>
        <v>0</v>
      </c>
      <c r="AE250" s="2">
        <f>IF(AQ250="7",BI250,0)</f>
        <v>0</v>
      </c>
      <c r="AF250" s="2">
        <f>IF(AQ250="2",BH250,0)</f>
        <v>0</v>
      </c>
      <c r="AG250" s="2">
        <f>IF(AQ250="2",BI250,0)</f>
        <v>0</v>
      </c>
      <c r="AH250" s="2">
        <f>IF(AQ250="0",BJ250,0)</f>
        <v>0</v>
      </c>
      <c r="AI250" s="33" t="s">
        <v>299</v>
      </c>
      <c r="AJ250" s="2">
        <f>IF(AN250=0,L250,0)</f>
        <v>0</v>
      </c>
      <c r="AK250" s="2">
        <f>IF(AN250=15,L250,0)</f>
        <v>0</v>
      </c>
      <c r="AL250" s="2">
        <f>IF(AN250=21,L250,0)</f>
        <v>0</v>
      </c>
      <c r="AN250" s="2">
        <v>21</v>
      </c>
      <c r="AO250" s="2">
        <f>I250*0.132764505119454</f>
        <v>0</v>
      </c>
      <c r="AP250" s="2">
        <f>I250*(1-0.132764505119454)</f>
        <v>0</v>
      </c>
      <c r="AQ250" s="44" t="s">
        <v>429</v>
      </c>
      <c r="AV250" s="2">
        <f>AW250+AX250</f>
        <v>0</v>
      </c>
      <c r="AW250" s="2">
        <f>H250*AO250</f>
        <v>0</v>
      </c>
      <c r="AX250" s="2">
        <f>H250*AP250</f>
        <v>0</v>
      </c>
      <c r="AY250" s="44" t="s">
        <v>133</v>
      </c>
      <c r="AZ250" s="44" t="s">
        <v>151</v>
      </c>
      <c r="BA250" s="33" t="s">
        <v>329</v>
      </c>
      <c r="BC250" s="2">
        <f>AW250+AX250</f>
        <v>0</v>
      </c>
      <c r="BD250" s="2">
        <f>I250/(100-BE250)*100</f>
        <v>0</v>
      </c>
      <c r="BE250" s="2">
        <v>0</v>
      </c>
      <c r="BF250" s="2">
        <f>263</f>
        <v>263</v>
      </c>
      <c r="BH250" s="2">
        <f>H250*AO250</f>
        <v>0</v>
      </c>
      <c r="BI250" s="2">
        <f>H250*AP250</f>
        <v>0</v>
      </c>
      <c r="BJ250" s="2">
        <f>H250*I250</f>
        <v>0</v>
      </c>
      <c r="BK250" s="2"/>
      <c r="BL250" s="2">
        <v>97</v>
      </c>
    </row>
    <row r="251" spans="1:64" ht="15" customHeight="1" x14ac:dyDescent="0.3">
      <c r="A251" s="47"/>
      <c r="B251" s="23"/>
      <c r="C251" s="1" t="s">
        <v>429</v>
      </c>
      <c r="F251" s="1" t="s">
        <v>204</v>
      </c>
      <c r="G251" s="23"/>
      <c r="H251" s="4">
        <v>1</v>
      </c>
      <c r="I251" s="23"/>
      <c r="J251" s="23"/>
      <c r="K251" s="23"/>
      <c r="L251" s="23"/>
      <c r="M251" s="38"/>
    </row>
    <row r="252" spans="1:64" ht="15" customHeight="1" x14ac:dyDescent="0.3">
      <c r="A252" s="11" t="s">
        <v>68</v>
      </c>
      <c r="B252" s="8" t="s">
        <v>15</v>
      </c>
      <c r="C252" s="51" t="s">
        <v>142</v>
      </c>
      <c r="D252" s="50"/>
      <c r="E252" s="50"/>
      <c r="F252" s="51"/>
      <c r="G252" s="8" t="s">
        <v>361</v>
      </c>
      <c r="H252" s="24">
        <v>1.8</v>
      </c>
      <c r="I252" s="24"/>
      <c r="J252" s="24">
        <f>H252*AO252</f>
        <v>0</v>
      </c>
      <c r="K252" s="24">
        <f>H252*AP252</f>
        <v>0</v>
      </c>
      <c r="L252" s="24">
        <f>H252*I252</f>
        <v>0</v>
      </c>
      <c r="M252" s="28" t="s">
        <v>365</v>
      </c>
      <c r="Z252" s="2">
        <f>IF(AQ252="5",BJ252,0)</f>
        <v>0</v>
      </c>
      <c r="AB252" s="2">
        <f>IF(AQ252="1",BH252,0)</f>
        <v>0</v>
      </c>
      <c r="AC252" s="2">
        <f>IF(AQ252="1",BI252,0)</f>
        <v>0</v>
      </c>
      <c r="AD252" s="2">
        <f>IF(AQ252="7",BH252,0)</f>
        <v>0</v>
      </c>
      <c r="AE252" s="2">
        <f>IF(AQ252="7",BI252,0)</f>
        <v>0</v>
      </c>
      <c r="AF252" s="2">
        <f>IF(AQ252="2",BH252,0)</f>
        <v>0</v>
      </c>
      <c r="AG252" s="2">
        <f>IF(AQ252="2",BI252,0)</f>
        <v>0</v>
      </c>
      <c r="AH252" s="2">
        <f>IF(AQ252="0",BJ252,0)</f>
        <v>0</v>
      </c>
      <c r="AI252" s="33" t="s">
        <v>299</v>
      </c>
      <c r="AJ252" s="2">
        <f>IF(AN252=0,L252,0)</f>
        <v>0</v>
      </c>
      <c r="AK252" s="2">
        <f>IF(AN252=15,L252,0)</f>
        <v>0</v>
      </c>
      <c r="AL252" s="2">
        <f>IF(AN252=21,L252,0)</f>
        <v>0</v>
      </c>
      <c r="AN252" s="2">
        <v>21</v>
      </c>
      <c r="AO252" s="2">
        <f>I252*0</f>
        <v>0</v>
      </c>
      <c r="AP252" s="2">
        <f>I252*(1-0)</f>
        <v>0</v>
      </c>
      <c r="AQ252" s="44" t="s">
        <v>429</v>
      </c>
      <c r="AV252" s="2">
        <f>AW252+AX252</f>
        <v>0</v>
      </c>
      <c r="AW252" s="2">
        <f>H252*AO252</f>
        <v>0</v>
      </c>
      <c r="AX252" s="2">
        <f>H252*AP252</f>
        <v>0</v>
      </c>
      <c r="AY252" s="44" t="s">
        <v>133</v>
      </c>
      <c r="AZ252" s="44" t="s">
        <v>151</v>
      </c>
      <c r="BA252" s="33" t="s">
        <v>329</v>
      </c>
      <c r="BC252" s="2">
        <f>AW252+AX252</f>
        <v>0</v>
      </c>
      <c r="BD252" s="2">
        <f>I252/(100-BE252)*100</f>
        <v>0</v>
      </c>
      <c r="BE252" s="2">
        <v>0</v>
      </c>
      <c r="BF252" s="2">
        <f>265</f>
        <v>265</v>
      </c>
      <c r="BH252" s="2">
        <f>H252*AO252</f>
        <v>0</v>
      </c>
      <c r="BI252" s="2">
        <f>H252*AP252</f>
        <v>0</v>
      </c>
      <c r="BJ252" s="2">
        <f>H252*I252</f>
        <v>0</v>
      </c>
      <c r="BK252" s="2"/>
      <c r="BL252" s="2">
        <v>97</v>
      </c>
    </row>
    <row r="253" spans="1:64" ht="15" customHeight="1" x14ac:dyDescent="0.3">
      <c r="A253" s="47"/>
      <c r="B253" s="23"/>
      <c r="C253" s="1" t="s">
        <v>362</v>
      </c>
      <c r="F253" s="1" t="s">
        <v>482</v>
      </c>
      <c r="G253" s="23"/>
      <c r="H253" s="4">
        <v>1.8</v>
      </c>
      <c r="I253" s="23"/>
      <c r="J253" s="23"/>
      <c r="K253" s="23"/>
      <c r="L253" s="23"/>
      <c r="M253" s="38"/>
    </row>
    <row r="254" spans="1:64" ht="15" customHeight="1" x14ac:dyDescent="0.3">
      <c r="A254" s="11" t="s">
        <v>402</v>
      </c>
      <c r="B254" s="8" t="s">
        <v>120</v>
      </c>
      <c r="C254" s="51" t="s">
        <v>461</v>
      </c>
      <c r="D254" s="50"/>
      <c r="E254" s="50"/>
      <c r="F254" s="51"/>
      <c r="G254" s="8" t="s">
        <v>361</v>
      </c>
      <c r="H254" s="24">
        <v>6.5</v>
      </c>
      <c r="I254" s="24"/>
      <c r="J254" s="24">
        <f>H254*AO254</f>
        <v>0</v>
      </c>
      <c r="K254" s="24">
        <f>H254*AP254</f>
        <v>0</v>
      </c>
      <c r="L254" s="24">
        <f>H254*I254</f>
        <v>0</v>
      </c>
      <c r="M254" s="28" t="s">
        <v>365</v>
      </c>
      <c r="Z254" s="2">
        <f>IF(AQ254="5",BJ254,0)</f>
        <v>0</v>
      </c>
      <c r="AB254" s="2">
        <f>IF(AQ254="1",BH254,0)</f>
        <v>0</v>
      </c>
      <c r="AC254" s="2">
        <f>IF(AQ254="1",BI254,0)</f>
        <v>0</v>
      </c>
      <c r="AD254" s="2">
        <f>IF(AQ254="7",BH254,0)</f>
        <v>0</v>
      </c>
      <c r="AE254" s="2">
        <f>IF(AQ254="7",BI254,0)</f>
        <v>0</v>
      </c>
      <c r="AF254" s="2">
        <f>IF(AQ254="2",BH254,0)</f>
        <v>0</v>
      </c>
      <c r="AG254" s="2">
        <f>IF(AQ254="2",BI254,0)</f>
        <v>0</v>
      </c>
      <c r="AH254" s="2">
        <f>IF(AQ254="0",BJ254,0)</f>
        <v>0</v>
      </c>
      <c r="AI254" s="33" t="s">
        <v>299</v>
      </c>
      <c r="AJ254" s="2">
        <f>IF(AN254=0,L254,0)</f>
        <v>0</v>
      </c>
      <c r="AK254" s="2">
        <f>IF(AN254=15,L254,0)</f>
        <v>0</v>
      </c>
      <c r="AL254" s="2">
        <f>IF(AN254=21,L254,0)</f>
        <v>0</v>
      </c>
      <c r="AN254" s="2">
        <v>21</v>
      </c>
      <c r="AO254" s="2">
        <f>I254*0.052893142704951</f>
        <v>0</v>
      </c>
      <c r="AP254" s="2">
        <f>I254*(1-0.052893142704951)</f>
        <v>0</v>
      </c>
      <c r="AQ254" s="44" t="s">
        <v>429</v>
      </c>
      <c r="AV254" s="2">
        <f>AW254+AX254</f>
        <v>0</v>
      </c>
      <c r="AW254" s="2">
        <f>H254*AO254</f>
        <v>0</v>
      </c>
      <c r="AX254" s="2">
        <f>H254*AP254</f>
        <v>0</v>
      </c>
      <c r="AY254" s="44" t="s">
        <v>133</v>
      </c>
      <c r="AZ254" s="44" t="s">
        <v>151</v>
      </c>
      <c r="BA254" s="33" t="s">
        <v>329</v>
      </c>
      <c r="BC254" s="2">
        <f>AW254+AX254</f>
        <v>0</v>
      </c>
      <c r="BD254" s="2">
        <f>I254/(100-BE254)*100</f>
        <v>0</v>
      </c>
      <c r="BE254" s="2">
        <v>0</v>
      </c>
      <c r="BF254" s="2">
        <f>267</f>
        <v>267</v>
      </c>
      <c r="BH254" s="2">
        <f>H254*AO254</f>
        <v>0</v>
      </c>
      <c r="BI254" s="2">
        <f>H254*AP254</f>
        <v>0</v>
      </c>
      <c r="BJ254" s="2">
        <f>H254*I254</f>
        <v>0</v>
      </c>
      <c r="BK254" s="2"/>
      <c r="BL254" s="2">
        <v>97</v>
      </c>
    </row>
    <row r="255" spans="1:64" ht="15" customHeight="1" x14ac:dyDescent="0.3">
      <c r="A255" s="47"/>
      <c r="B255" s="23"/>
      <c r="C255" s="1" t="s">
        <v>308</v>
      </c>
      <c r="F255" s="1" t="s">
        <v>482</v>
      </c>
      <c r="G255" s="23"/>
      <c r="H255" s="4">
        <v>6.5000000000000009</v>
      </c>
      <c r="I255" s="23"/>
      <c r="J255" s="23"/>
      <c r="K255" s="23"/>
      <c r="L255" s="23"/>
      <c r="M255" s="38"/>
    </row>
    <row r="256" spans="1:64" ht="15" customHeight="1" x14ac:dyDescent="0.3">
      <c r="A256" s="11" t="s">
        <v>314</v>
      </c>
      <c r="B256" s="8" t="s">
        <v>101</v>
      </c>
      <c r="C256" s="51" t="s">
        <v>242</v>
      </c>
      <c r="D256" s="50"/>
      <c r="E256" s="50"/>
      <c r="F256" s="51"/>
      <c r="G256" s="8" t="s">
        <v>361</v>
      </c>
      <c r="H256" s="24">
        <v>37</v>
      </c>
      <c r="I256" s="24"/>
      <c r="J256" s="24">
        <f>H256*AO256</f>
        <v>0</v>
      </c>
      <c r="K256" s="24">
        <f>H256*AP256</f>
        <v>0</v>
      </c>
      <c r="L256" s="24">
        <f>H256*I256</f>
        <v>0</v>
      </c>
      <c r="M256" s="28" t="s">
        <v>365</v>
      </c>
      <c r="Z256" s="2">
        <f>IF(AQ256="5",BJ256,0)</f>
        <v>0</v>
      </c>
      <c r="AB256" s="2">
        <f>IF(AQ256="1",BH256,0)</f>
        <v>0</v>
      </c>
      <c r="AC256" s="2">
        <f>IF(AQ256="1",BI256,0)</f>
        <v>0</v>
      </c>
      <c r="AD256" s="2">
        <f>IF(AQ256="7",BH256,0)</f>
        <v>0</v>
      </c>
      <c r="AE256" s="2">
        <f>IF(AQ256="7",BI256,0)</f>
        <v>0</v>
      </c>
      <c r="AF256" s="2">
        <f>IF(AQ256="2",BH256,0)</f>
        <v>0</v>
      </c>
      <c r="AG256" s="2">
        <f>IF(AQ256="2",BI256,0)</f>
        <v>0</v>
      </c>
      <c r="AH256" s="2">
        <f>IF(AQ256="0",BJ256,0)</f>
        <v>0</v>
      </c>
      <c r="AI256" s="33" t="s">
        <v>299</v>
      </c>
      <c r="AJ256" s="2">
        <f>IF(AN256=0,L256,0)</f>
        <v>0</v>
      </c>
      <c r="AK256" s="2">
        <f>IF(AN256=15,L256,0)</f>
        <v>0</v>
      </c>
      <c r="AL256" s="2">
        <f>IF(AN256=21,L256,0)</f>
        <v>0</v>
      </c>
      <c r="AN256" s="2">
        <v>21</v>
      </c>
      <c r="AO256" s="2">
        <f>I256*0.0588524590163934</f>
        <v>0</v>
      </c>
      <c r="AP256" s="2">
        <f>I256*(1-0.0588524590163934)</f>
        <v>0</v>
      </c>
      <c r="AQ256" s="44" t="s">
        <v>429</v>
      </c>
      <c r="AV256" s="2">
        <f>AW256+AX256</f>
        <v>0</v>
      </c>
      <c r="AW256" s="2">
        <f>H256*AO256</f>
        <v>0</v>
      </c>
      <c r="AX256" s="2">
        <f>H256*AP256</f>
        <v>0</v>
      </c>
      <c r="AY256" s="44" t="s">
        <v>133</v>
      </c>
      <c r="AZ256" s="44" t="s">
        <v>151</v>
      </c>
      <c r="BA256" s="33" t="s">
        <v>329</v>
      </c>
      <c r="BC256" s="2">
        <f>AW256+AX256</f>
        <v>0</v>
      </c>
      <c r="BD256" s="2">
        <f>I256/(100-BE256)*100</f>
        <v>0</v>
      </c>
      <c r="BE256" s="2">
        <v>0</v>
      </c>
      <c r="BF256" s="2">
        <f>269</f>
        <v>269</v>
      </c>
      <c r="BH256" s="2">
        <f>H256*AO256</f>
        <v>0</v>
      </c>
      <c r="BI256" s="2">
        <f>H256*AP256</f>
        <v>0</v>
      </c>
      <c r="BJ256" s="2">
        <f>H256*I256</f>
        <v>0</v>
      </c>
      <c r="BK256" s="2"/>
      <c r="BL256" s="2">
        <v>97</v>
      </c>
    </row>
    <row r="257" spans="1:64" ht="15" customHeight="1" x14ac:dyDescent="0.3">
      <c r="A257" s="47"/>
      <c r="B257" s="23"/>
      <c r="C257" s="1" t="s">
        <v>7</v>
      </c>
      <c r="F257" s="1" t="s">
        <v>319</v>
      </c>
      <c r="G257" s="23"/>
      <c r="H257" s="4">
        <v>14.500000000000002</v>
      </c>
      <c r="I257" s="23"/>
      <c r="J257" s="23"/>
      <c r="K257" s="23"/>
      <c r="L257" s="23"/>
      <c r="M257" s="38"/>
    </row>
    <row r="258" spans="1:64" ht="15" customHeight="1" x14ac:dyDescent="0.3">
      <c r="A258" s="47"/>
      <c r="B258" s="23"/>
      <c r="C258" s="1" t="s">
        <v>105</v>
      </c>
      <c r="F258" s="1" t="s">
        <v>215</v>
      </c>
      <c r="G258" s="23"/>
      <c r="H258" s="4">
        <v>22.500000000000004</v>
      </c>
      <c r="I258" s="23"/>
      <c r="J258" s="23"/>
      <c r="K258" s="23"/>
      <c r="L258" s="23"/>
      <c r="M258" s="38"/>
    </row>
    <row r="259" spans="1:64" ht="15" customHeight="1" x14ac:dyDescent="0.3">
      <c r="A259" s="11" t="s">
        <v>198</v>
      </c>
      <c r="B259" s="8" t="s">
        <v>175</v>
      </c>
      <c r="C259" s="51" t="s">
        <v>94</v>
      </c>
      <c r="D259" s="50"/>
      <c r="E259" s="50"/>
      <c r="F259" s="51"/>
      <c r="G259" s="8" t="s">
        <v>414</v>
      </c>
      <c r="H259" s="24">
        <v>0.95284000000000002</v>
      </c>
      <c r="I259" s="24"/>
      <c r="J259" s="24">
        <f>H259*AO259</f>
        <v>0</v>
      </c>
      <c r="K259" s="24">
        <f>H259*AP259</f>
        <v>0</v>
      </c>
      <c r="L259" s="24">
        <f>H259*I259</f>
        <v>0</v>
      </c>
      <c r="M259" s="28" t="s">
        <v>365</v>
      </c>
      <c r="Z259" s="2">
        <f>IF(AQ259="5",BJ259,0)</f>
        <v>0</v>
      </c>
      <c r="AB259" s="2">
        <f>IF(AQ259="1",BH259,0)</f>
        <v>0</v>
      </c>
      <c r="AC259" s="2">
        <f>IF(AQ259="1",BI259,0)</f>
        <v>0</v>
      </c>
      <c r="AD259" s="2">
        <f>IF(AQ259="7",BH259,0)</f>
        <v>0</v>
      </c>
      <c r="AE259" s="2">
        <f>IF(AQ259="7",BI259,0)</f>
        <v>0</v>
      </c>
      <c r="AF259" s="2">
        <f>IF(AQ259="2",BH259,0)</f>
        <v>0</v>
      </c>
      <c r="AG259" s="2">
        <f>IF(AQ259="2",BI259,0)</f>
        <v>0</v>
      </c>
      <c r="AH259" s="2">
        <f>IF(AQ259="0",BJ259,0)</f>
        <v>0</v>
      </c>
      <c r="AI259" s="33" t="s">
        <v>299</v>
      </c>
      <c r="AJ259" s="2">
        <f>IF(AN259=0,L259,0)</f>
        <v>0</v>
      </c>
      <c r="AK259" s="2">
        <f>IF(AN259=15,L259,0)</f>
        <v>0</v>
      </c>
      <c r="AL259" s="2">
        <f>IF(AN259=21,L259,0)</f>
        <v>0</v>
      </c>
      <c r="AN259" s="2">
        <v>21</v>
      </c>
      <c r="AO259" s="2">
        <f>I259*0</f>
        <v>0</v>
      </c>
      <c r="AP259" s="2">
        <f>I259*(1-0)</f>
        <v>0</v>
      </c>
      <c r="AQ259" s="44" t="s">
        <v>429</v>
      </c>
      <c r="AV259" s="2">
        <f>AW259+AX259</f>
        <v>0</v>
      </c>
      <c r="AW259" s="2">
        <f>H259*AO259</f>
        <v>0</v>
      </c>
      <c r="AX259" s="2">
        <f>H259*AP259</f>
        <v>0</v>
      </c>
      <c r="AY259" s="44" t="s">
        <v>133</v>
      </c>
      <c r="AZ259" s="44" t="s">
        <v>151</v>
      </c>
      <c r="BA259" s="33" t="s">
        <v>329</v>
      </c>
      <c r="BC259" s="2">
        <f>AW259+AX259</f>
        <v>0</v>
      </c>
      <c r="BD259" s="2">
        <f>I259/(100-BE259)*100</f>
        <v>0</v>
      </c>
      <c r="BE259" s="2">
        <v>0</v>
      </c>
      <c r="BF259" s="2">
        <f>272</f>
        <v>272</v>
      </c>
      <c r="BH259" s="2">
        <f>H259*AO259</f>
        <v>0</v>
      </c>
      <c r="BI259" s="2">
        <f>H259*AP259</f>
        <v>0</v>
      </c>
      <c r="BJ259" s="2">
        <f>H259*I259</f>
        <v>0</v>
      </c>
      <c r="BK259" s="2"/>
      <c r="BL259" s="2">
        <v>97</v>
      </c>
    </row>
    <row r="260" spans="1:64" ht="15" customHeight="1" x14ac:dyDescent="0.3">
      <c r="A260" s="47"/>
      <c r="B260" s="23"/>
      <c r="C260" s="1" t="s">
        <v>12</v>
      </c>
      <c r="F260" s="1" t="s">
        <v>482</v>
      </c>
      <c r="G260" s="23"/>
      <c r="H260" s="4">
        <v>0.16987000000000002</v>
      </c>
      <c r="I260" s="23"/>
      <c r="J260" s="23"/>
      <c r="K260" s="23"/>
      <c r="L260" s="23"/>
      <c r="M260" s="38"/>
    </row>
    <row r="261" spans="1:64" ht="15" customHeight="1" x14ac:dyDescent="0.3">
      <c r="A261" s="47"/>
      <c r="B261" s="23"/>
      <c r="C261" s="1" t="s">
        <v>447</v>
      </c>
      <c r="F261" s="1" t="s">
        <v>319</v>
      </c>
      <c r="G261" s="23"/>
      <c r="H261" s="4">
        <v>0.29270000000000002</v>
      </c>
      <c r="I261" s="23"/>
      <c r="J261" s="23"/>
      <c r="K261" s="23"/>
      <c r="L261" s="23"/>
      <c r="M261" s="38"/>
    </row>
    <row r="262" spans="1:64" ht="15" customHeight="1" x14ac:dyDescent="0.3">
      <c r="A262" s="47"/>
      <c r="B262" s="23"/>
      <c r="C262" s="1" t="s">
        <v>395</v>
      </c>
      <c r="F262" s="1" t="s">
        <v>215</v>
      </c>
      <c r="G262" s="23"/>
      <c r="H262" s="4">
        <v>0.45990000000000003</v>
      </c>
      <c r="I262" s="23"/>
      <c r="J262" s="23"/>
      <c r="K262" s="23"/>
      <c r="L262" s="23"/>
      <c r="M262" s="38"/>
    </row>
    <row r="263" spans="1:64" ht="15" customHeight="1" x14ac:dyDescent="0.3">
      <c r="A263" s="47"/>
      <c r="B263" s="23"/>
      <c r="C263" s="1" t="s">
        <v>93</v>
      </c>
      <c r="F263" s="1" t="s">
        <v>204</v>
      </c>
      <c r="G263" s="23"/>
      <c r="H263" s="4">
        <v>3.0370000000000001E-2</v>
      </c>
      <c r="I263" s="23"/>
      <c r="J263" s="23"/>
      <c r="K263" s="23"/>
      <c r="L263" s="23"/>
      <c r="M263" s="38"/>
    </row>
    <row r="264" spans="1:64" ht="15" customHeight="1" x14ac:dyDescent="0.3">
      <c r="J264" s="48" t="s">
        <v>341</v>
      </c>
      <c r="K264" s="48"/>
      <c r="L264" s="3" t="e">
        <f>L12+L15+L18+L29+L49+L81+L112+L117+L173+L182+L189+L220+L229+L232+#REF!+L237+#REF!+#REF!</f>
        <v>#REF!</v>
      </c>
    </row>
    <row r="265" spans="1:64" ht="15" customHeight="1" x14ac:dyDescent="0.3">
      <c r="A265" s="32" t="s">
        <v>41</v>
      </c>
    </row>
    <row r="266" spans="1:64" ht="12.75" customHeight="1" x14ac:dyDescent="0.3">
      <c r="A266" s="49" t="s">
        <v>299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</row>
  </sheetData>
  <mergeCells count="159">
    <mergeCell ref="A1:M1"/>
    <mergeCell ref="A2:B3"/>
    <mergeCell ref="A4:B5"/>
    <mergeCell ref="A6:B7"/>
    <mergeCell ref="A8:B9"/>
    <mergeCell ref="E2:F3"/>
    <mergeCell ref="E4:F5"/>
    <mergeCell ref="E6:F7"/>
    <mergeCell ref="E8:F9"/>
    <mergeCell ref="I2:I3"/>
    <mergeCell ref="C11:F11"/>
    <mergeCell ref="J10:L10"/>
    <mergeCell ref="C12:F12"/>
    <mergeCell ref="C13:F13"/>
    <mergeCell ref="C15:F15"/>
    <mergeCell ref="C16:F16"/>
    <mergeCell ref="G8:H9"/>
    <mergeCell ref="J2:M3"/>
    <mergeCell ref="J4:M5"/>
    <mergeCell ref="J6:M7"/>
    <mergeCell ref="J8:M9"/>
    <mergeCell ref="C10:F10"/>
    <mergeCell ref="I4:I5"/>
    <mergeCell ref="I6:I7"/>
    <mergeCell ref="I8:I9"/>
    <mergeCell ref="C2:D3"/>
    <mergeCell ref="C4:D5"/>
    <mergeCell ref="C6:D7"/>
    <mergeCell ref="C8:D9"/>
    <mergeCell ref="G2:H3"/>
    <mergeCell ref="G4:H5"/>
    <mergeCell ref="G6:H7"/>
    <mergeCell ref="C29:F29"/>
    <mergeCell ref="C30:F30"/>
    <mergeCell ref="C32:F32"/>
    <mergeCell ref="C34:F34"/>
    <mergeCell ref="C36:F36"/>
    <mergeCell ref="C18:F18"/>
    <mergeCell ref="C19:F19"/>
    <mergeCell ref="C21:F21"/>
    <mergeCell ref="C23:F23"/>
    <mergeCell ref="C25:F25"/>
    <mergeCell ref="C27:F27"/>
    <mergeCell ref="C49:F49"/>
    <mergeCell ref="C50:F50"/>
    <mergeCell ref="C52:F52"/>
    <mergeCell ref="C55:F55"/>
    <mergeCell ref="C57:F57"/>
    <mergeCell ref="C59:F59"/>
    <mergeCell ref="C38:F38"/>
    <mergeCell ref="C40:F40"/>
    <mergeCell ref="C42:F42"/>
    <mergeCell ref="C44:F44"/>
    <mergeCell ref="C47:F47"/>
    <mergeCell ref="C73:F73"/>
    <mergeCell ref="C75:F75"/>
    <mergeCell ref="C77:F77"/>
    <mergeCell ref="C79:F79"/>
    <mergeCell ref="C81:F81"/>
    <mergeCell ref="C61:F61"/>
    <mergeCell ref="C63:F63"/>
    <mergeCell ref="C65:F65"/>
    <mergeCell ref="C67:F67"/>
    <mergeCell ref="C69:F69"/>
    <mergeCell ref="C71:F71"/>
    <mergeCell ref="C94:F94"/>
    <mergeCell ref="C96:F96"/>
    <mergeCell ref="C98:F98"/>
    <mergeCell ref="C100:F100"/>
    <mergeCell ref="C102:F102"/>
    <mergeCell ref="C104:F104"/>
    <mergeCell ref="C82:F82"/>
    <mergeCell ref="C84:F84"/>
    <mergeCell ref="C86:F86"/>
    <mergeCell ref="C88:F88"/>
    <mergeCell ref="C90:F90"/>
    <mergeCell ref="C92:F92"/>
    <mergeCell ref="C115:F115"/>
    <mergeCell ref="C117:F117"/>
    <mergeCell ref="C118:F118"/>
    <mergeCell ref="C120:F120"/>
    <mergeCell ref="C122:F122"/>
    <mergeCell ref="C106:F106"/>
    <mergeCell ref="C108:F108"/>
    <mergeCell ref="C110:F110"/>
    <mergeCell ref="C112:F112"/>
    <mergeCell ref="C113:F113"/>
    <mergeCell ref="C137:F137"/>
    <mergeCell ref="C139:F139"/>
    <mergeCell ref="C141:F141"/>
    <mergeCell ref="C143:F143"/>
    <mergeCell ref="C145:F145"/>
    <mergeCell ref="C147:F147"/>
    <mergeCell ref="C124:F124"/>
    <mergeCell ref="C126:F126"/>
    <mergeCell ref="C128:F128"/>
    <mergeCell ref="C130:F130"/>
    <mergeCell ref="C133:F133"/>
    <mergeCell ref="C135:F135"/>
    <mergeCell ref="C161:F161"/>
    <mergeCell ref="C163:F163"/>
    <mergeCell ref="C165:F165"/>
    <mergeCell ref="C167:F167"/>
    <mergeCell ref="C169:F169"/>
    <mergeCell ref="C171:F171"/>
    <mergeCell ref="C149:F149"/>
    <mergeCell ref="C151:F151"/>
    <mergeCell ref="C153:F153"/>
    <mergeCell ref="C155:F155"/>
    <mergeCell ref="C157:F157"/>
    <mergeCell ref="C159:F159"/>
    <mergeCell ref="C182:F182"/>
    <mergeCell ref="C183:F183"/>
    <mergeCell ref="C185:F185"/>
    <mergeCell ref="C187:F187"/>
    <mergeCell ref="C173:F173"/>
    <mergeCell ref="C174:F174"/>
    <mergeCell ref="C176:F176"/>
    <mergeCell ref="C178:F178"/>
    <mergeCell ref="C180:F180"/>
    <mergeCell ref="C202:F202"/>
    <mergeCell ref="C204:F204"/>
    <mergeCell ref="C206:F206"/>
    <mergeCell ref="C208:F208"/>
    <mergeCell ref="C210:F210"/>
    <mergeCell ref="C212:F212"/>
    <mergeCell ref="C189:F189"/>
    <mergeCell ref="C190:F190"/>
    <mergeCell ref="C192:F192"/>
    <mergeCell ref="C194:F194"/>
    <mergeCell ref="C197:F197"/>
    <mergeCell ref="C200:F200"/>
    <mergeCell ref="C223:F223"/>
    <mergeCell ref="C225:F225"/>
    <mergeCell ref="C227:F227"/>
    <mergeCell ref="C229:F229"/>
    <mergeCell ref="C230:F230"/>
    <mergeCell ref="C214:F214"/>
    <mergeCell ref="C216:F216"/>
    <mergeCell ref="C218:F218"/>
    <mergeCell ref="C220:F220"/>
    <mergeCell ref="C221:F221"/>
    <mergeCell ref="C238:F238"/>
    <mergeCell ref="C240:F240"/>
    <mergeCell ref="C242:F242"/>
    <mergeCell ref="C244:F244"/>
    <mergeCell ref="C246:F246"/>
    <mergeCell ref="C248:F248"/>
    <mergeCell ref="C232:F232"/>
    <mergeCell ref="C233:F233"/>
    <mergeCell ref="C235:F235"/>
    <mergeCell ref="C237:F237"/>
    <mergeCell ref="J264:K264"/>
    <mergeCell ref="A266:M266"/>
    <mergeCell ref="C250:F250"/>
    <mergeCell ref="C252:F252"/>
    <mergeCell ref="C254:F254"/>
    <mergeCell ref="C256:F256"/>
    <mergeCell ref="C259:F259"/>
  </mergeCells>
  <pageMargins left="0.39400000000000002" right="0.39400000000000002" top="0.59099999999999997" bottom="0.59099999999999997" header="0" footer="0"/>
  <pageSetup paperSize="0" firstPageNumber="0" fitToHeight="0" orientation="landscape" useFirstPageNumber="1" horizontalDpi="0" verticalDpi="0" copies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E7D77EFF8AB41A0607DE0F4246384" ma:contentTypeVersion="11" ma:contentTypeDescription="Vytvoří nový dokument" ma:contentTypeScope="" ma:versionID="545a86e318d6642f5b239eb9dff5a5ff">
  <xsd:schema xmlns:xsd="http://www.w3.org/2001/XMLSchema" xmlns:xs="http://www.w3.org/2001/XMLSchema" xmlns:p="http://schemas.microsoft.com/office/2006/metadata/properties" xmlns:ns2="efe1f877-807d-494b-a850-2116e5bfd4ad" xmlns:ns3="c228455c-afac-4083-9b02-7d5fdeb1dfe0" targetNamespace="http://schemas.microsoft.com/office/2006/metadata/properties" ma:root="true" ma:fieldsID="0e02cdae966951e6501423e913875177" ns2:_="" ns3:_="">
    <xsd:import namespace="efe1f877-807d-494b-a850-2116e5bfd4ad"/>
    <xsd:import namespace="c228455c-afac-4083-9b02-7d5fdeb1d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1f877-807d-494b-a850-2116e5bfd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8455c-afac-4083-9b02-7d5fdeb1dfe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0e8002-dc78-43cd-af29-c5aef48a3bd6}" ma:internalName="TaxCatchAll" ma:showField="CatchAllData" ma:web="c228455c-afac-4083-9b02-7d5fdeb1d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e1f877-807d-494b-a850-2116e5bfd4ad">
      <Terms xmlns="http://schemas.microsoft.com/office/infopath/2007/PartnerControls"/>
    </lcf76f155ced4ddcb4097134ff3c332f>
    <TaxCatchAll xmlns="c228455c-afac-4083-9b02-7d5fdeb1dfe0"/>
  </documentManagement>
</p:properties>
</file>

<file path=customXml/itemProps1.xml><?xml version="1.0" encoding="utf-8"?>
<ds:datastoreItem xmlns:ds="http://schemas.openxmlformats.org/officeDocument/2006/customXml" ds:itemID="{5C2306E2-7D29-496B-A16B-4556913B28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E297B-2422-4223-BF33-328BEA6D9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1f877-807d-494b-a850-2116e5bfd4ad"/>
    <ds:schemaRef ds:uri="c228455c-afac-4083-9b02-7d5fdeb1d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23CECE-A195-4E96-931F-62091D8FA07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fe1f877-807d-494b-a850-2116e5bfd4ad"/>
    <ds:schemaRef ds:uri="http://purl.org/dc/elements/1.1/"/>
    <ds:schemaRef ds:uri="http://schemas.microsoft.com/office/2006/metadata/properties"/>
    <ds:schemaRef ds:uri="c228455c-afac-4083-9b02-7d5fdeb1df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Stavební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Uživatel</cp:lastModifiedBy>
  <dcterms:created xsi:type="dcterms:W3CDTF">2021-06-10T20:06:38Z</dcterms:created>
  <dcterms:modified xsi:type="dcterms:W3CDTF">2023-03-20T10:18:42Z</dcterms:modified>
</cp:coreProperties>
</file>