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<sst xmlns="http://schemas.openxmlformats.org/spreadsheetml/2006/main" count="538" uniqueCount="284">
  <si>
    <t>KRYCÍ LIST ROZPOČTU</t>
  </si>
  <si>
    <t>Název stavby</t>
  </si>
  <si>
    <t>oprava terasy</t>
  </si>
  <si>
    <t>JKSO</t>
  </si>
  <si>
    <t xml:space="preserve"> </t>
  </si>
  <si>
    <t>Kód stavby</t>
  </si>
  <si>
    <t>528-sbdpraha</t>
  </si>
  <si>
    <t>Název objektu</t>
  </si>
  <si>
    <t>EČO</t>
  </si>
  <si>
    <t>Kód objektu</t>
  </si>
  <si>
    <t>Název části</t>
  </si>
  <si>
    <t>Místo</t>
  </si>
  <si>
    <t>Petržílkova 29, Praha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</si>
  <si>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</si>
  <si>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</si>
  <si>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</si>
  <si>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</si>
  <si>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</si>
  <si>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</si>
  <si>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</si>
  <si>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</si>
  <si>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</si>
  <si>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</si>
  <si>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</si>
  <si>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Tomáš Kirschner</t>
  </si>
  <si>
    <t>05.12.2012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</si>
  <si>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</si>
  <si>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</si>
  <si>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</si>
  <si>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</si>
  <si>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</si>
  <si>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</si>
  <si>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</si>
  <si>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</si>
  <si>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</si>
  <si>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</si>
  <si>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</si>
  <si>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</si>
  <si>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</si>
  <si>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</si>
  <si>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</si>
  <si>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</si>
  <si>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</si>
  <si>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</si>
  <si>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</si>
  <si>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</si>
  <si>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</si>
  <si>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</si>
  <si>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</si>
  <si>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</si>
  <si>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</si>
  <si>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</si>
  <si>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</si>
  <si>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</si>
  <si>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</si>
  <si>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</si>
  <si>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</si>
  <si>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</si>
  <si>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</si>
  <si>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</si>
  <si>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</si>
  <si>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</si>
  <si>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</si>
  <si>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</si>
  <si>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</si>
  <si>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</si>
  <si>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</si>
  <si>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</si>
  <si>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</si>
  <si>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</si>
  <si>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</si>
  <si>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</si>
  <si>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</si>
  <si>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</si>
  <si>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</si>
  <si>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</si>
  <si>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</si>
  <si>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</si>
  <si>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</si>
  <si>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</si>
  <si>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</si>
  <si>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</si>
  <si>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19.2.2013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</si>
  <si>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</si>
  <si>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</si>
  <si>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</si>
  <si>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</si>
  <si>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</si>
  <si>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</si>
  <si>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</si>
  <si>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</si>
  <si>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</si>
  <si>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</si>
  <si>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</si>
  <si>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</si>
  <si>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</si>
  <si>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</si>
  <si>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</si>
  <si>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</si>
  <si>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</si>
  <si>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</si>
  <si>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</si>
  <si>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</si>
  <si>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</si>
  <si>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</si>
  <si>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</si>
  <si>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2</t>
  </si>
  <si>
    <t>Zakládání</t>
  </si>
  <si>
    <t>1</t>
  </si>
  <si>
    <t>K</t>
  </si>
  <si>
    <t>002</t>
  </si>
  <si>
    <t>289971211</t>
  </si>
  <si>
    <t>Vrstvy z geotextilií ve sklonu do 1:5 š do 3 m</t>
  </si>
  <si>
    <t>m2</t>
  </si>
  <si>
    <t>M</t>
  </si>
  <si>
    <t>MAT</t>
  </si>
  <si>
    <t>693951100</t>
  </si>
  <si>
    <t>Polyesterová tkanina 0,12 g/m2</t>
  </si>
  <si>
    <t>469</t>
  </si>
  <si>
    <t>Stavební práce při elektromontážích</t>
  </si>
  <si>
    <t>3</t>
  </si>
  <si>
    <t>965042000</t>
  </si>
  <si>
    <t>Bourání podlah a mazanin betonových tloušťky do 30 cm</t>
  </si>
  <si>
    <t>6</t>
  </si>
  <si>
    <t>Úpravy povrchu, podlahy, osazení</t>
  </si>
  <si>
    <t>4</t>
  </si>
  <si>
    <t>011</t>
  </si>
  <si>
    <t>611000001</t>
  </si>
  <si>
    <t>Demontáž, oprava zpětná montáž uvolněných kamenných desek</t>
  </si>
  <si>
    <t>soubor</t>
  </si>
  <si>
    <t>5</t>
  </si>
  <si>
    <t>611000002</t>
  </si>
  <si>
    <t>Sanace stávajícího ocelového sloupu schodiště dle TZ</t>
  </si>
  <si>
    <t>611421133</t>
  </si>
  <si>
    <t>Vnitřní omítka vápenná nebo vápenocementová stropů rovných štuková</t>
  </si>
  <si>
    <t>7</t>
  </si>
  <si>
    <t>620471401</t>
  </si>
  <si>
    <t>Vnější omítka akrylátová tenkovrstvá mozaiková tl. do 4 mm</t>
  </si>
  <si>
    <t>8</t>
  </si>
  <si>
    <t>015</t>
  </si>
  <si>
    <t>622903111</t>
  </si>
  <si>
    <t>Očištění zdiva nebo betonu zdí a valů před započetím oprav ručně</t>
  </si>
  <si>
    <t>9</t>
  </si>
  <si>
    <t>631312811.1</t>
  </si>
  <si>
    <t>Mazanina tl do 80 mm z polystyrenbetonu tř. C 20/25 s vodotěsnou přísadou WATERSEAL</t>
  </si>
  <si>
    <t>m3</t>
  </si>
  <si>
    <t>10</t>
  </si>
  <si>
    <t>631312811.2</t>
  </si>
  <si>
    <t>Provedení spojovacího můstku</t>
  </si>
  <si>
    <t>11</t>
  </si>
  <si>
    <t>631362021</t>
  </si>
  <si>
    <t>Výztuž mazanin svařovanými sítěmi Kari</t>
  </si>
  <si>
    <t>t</t>
  </si>
  <si>
    <t>12</t>
  </si>
  <si>
    <t>632450121</t>
  </si>
  <si>
    <t>Vyrovnávací cementový potěr provedený v pásu ze suchých směsí tl 20 mm</t>
  </si>
  <si>
    <t>13</t>
  </si>
  <si>
    <t>634601111</t>
  </si>
  <si>
    <t>Zaplnění dilatačních spár š do 10 mm v mazaninách tl do 100 mm</t>
  </si>
  <si>
    <t>m</t>
  </si>
  <si>
    <t>Trubní vedení</t>
  </si>
  <si>
    <t>14</t>
  </si>
  <si>
    <t>271</t>
  </si>
  <si>
    <t>877315261</t>
  </si>
  <si>
    <t>Montáž dvorní vpusti z tvrdého PVC-systém KG DN 150 včetně napojení na stávající kanalizaci</t>
  </si>
  <si>
    <t>kus</t>
  </si>
  <si>
    <t>15</t>
  </si>
  <si>
    <t>286118160</t>
  </si>
  <si>
    <t>vpusť dvorní pro plastové potrubí KGHL 606 DN 150</t>
  </si>
  <si>
    <t>Ostatní konstrukce a práce-bourání</t>
  </si>
  <si>
    <t>16</t>
  </si>
  <si>
    <t>013</t>
  </si>
  <si>
    <t>965081213</t>
  </si>
  <si>
    <t>Bourání podlah z dlaždic keramických nebo xylolitových tl do 10 mm pl přes 1 m2</t>
  </si>
  <si>
    <t>17</t>
  </si>
  <si>
    <t>972054341</t>
  </si>
  <si>
    <t>Vybourání otvorů v ŽB stropech nebo klenbách pl do 0,25 m2 tl do 150 mm</t>
  </si>
  <si>
    <t>18</t>
  </si>
  <si>
    <t>976085311.1</t>
  </si>
  <si>
    <t>Vybourání rámů čistících rohoží</t>
  </si>
  <si>
    <t>19</t>
  </si>
  <si>
    <t>978011191</t>
  </si>
  <si>
    <t>Otlučení vnitřních omítek MV nebo MVC stropů o rozsahu do 100 %</t>
  </si>
  <si>
    <t>20</t>
  </si>
  <si>
    <t>978036391</t>
  </si>
  <si>
    <t>Otlučení vnějších omítek z umělého kamene o rozsahu do 100 %</t>
  </si>
  <si>
    <t>21</t>
  </si>
  <si>
    <t>979081111</t>
  </si>
  <si>
    <t>Odvoz suti a vybouraných hmot na skládku do 1 km</t>
  </si>
  <si>
    <t>22</t>
  </si>
  <si>
    <t>979081121</t>
  </si>
  <si>
    <t>Odvoz suti a vybouraných hmot na skládku ZKD 1 km přes 1 km</t>
  </si>
  <si>
    <t>23</t>
  </si>
  <si>
    <t>979082111</t>
  </si>
  <si>
    <t>Vnitrostaveništní vodorovná doprava suti a vybouraných hmot do 10 m</t>
  </si>
  <si>
    <t>24</t>
  </si>
  <si>
    <t>979082121</t>
  </si>
  <si>
    <t>Vnitrostaveništní vodorovná doprava suti a vybouraných hmot ZKD 5 m přes 10 m</t>
  </si>
  <si>
    <t>25</t>
  </si>
  <si>
    <t>979098191</t>
  </si>
  <si>
    <t>Poplatek za skládku netříděné suti</t>
  </si>
  <si>
    <t>99</t>
  </si>
  <si>
    <t>Přesun hmot</t>
  </si>
  <si>
    <t>26</t>
  </si>
  <si>
    <t>014</t>
  </si>
  <si>
    <t>999281111</t>
  </si>
  <si>
    <t>Přesun hmot pro opravy a údržbu budov v do 25 m</t>
  </si>
  <si>
    <t>Práce a dodávky PSV</t>
  </si>
  <si>
    <t>711</t>
  </si>
  <si>
    <t>Izolace proti vodě, vlhkosti a plynům</t>
  </si>
  <si>
    <t>27</t>
  </si>
  <si>
    <t>711111001</t>
  </si>
  <si>
    <t>Provedení izolace proti zemní vlhkosti vodorovné za studena nátěrem penetračním</t>
  </si>
  <si>
    <t>28</t>
  </si>
  <si>
    <t>111631520.1</t>
  </si>
  <si>
    <t>penetrační nátěr DEKPRIMER</t>
  </si>
  <si>
    <t>kg</t>
  </si>
  <si>
    <t>29</t>
  </si>
  <si>
    <t>711113111.1</t>
  </si>
  <si>
    <t>Izolace proti zemní vlhkosti na vodorovné ploše nátěrem SIKALASTIC 152</t>
  </si>
  <si>
    <t>30</t>
  </si>
  <si>
    <t>711141559</t>
  </si>
  <si>
    <t>Provedení izolace proti zemní vlhkosti pásy přitavením vodorovné NAIP</t>
  </si>
  <si>
    <t>31</t>
  </si>
  <si>
    <t>628311550.1</t>
  </si>
  <si>
    <t>pás asfaltovaný ELASTODEK 50 SP</t>
  </si>
  <si>
    <t>32</t>
  </si>
  <si>
    <t>998711101</t>
  </si>
  <si>
    <t>Přesun hmot pro izolace proti vodě, vlhkosti a plynům v objektech výšky do 6 m</t>
  </si>
  <si>
    <t>713</t>
  </si>
  <si>
    <t>Izolace tepelné</t>
  </si>
  <si>
    <t>33</t>
  </si>
  <si>
    <t>713121111</t>
  </si>
  <si>
    <t>Montáž izolace tepelné podlah volně kladenými rohožemi, pásy, dílci, deskami 1 vrstva</t>
  </si>
  <si>
    <t>34</t>
  </si>
  <si>
    <t>283763660</t>
  </si>
  <si>
    <t>polystyren extrudovaný URSA XPS III - (S,G,NF,) - 1250 x 600 x 50 mm</t>
  </si>
  <si>
    <t>35</t>
  </si>
  <si>
    <t>713191131</t>
  </si>
  <si>
    <t>Izolace tepelné podlah, stropů vrchem a střech překrytí PE fólií tl. 0,2 mm</t>
  </si>
  <si>
    <t>36</t>
  </si>
  <si>
    <t>998713101</t>
  </si>
  <si>
    <t>Přesun hmot pro izolace tepelné v objektech v do 6 m</t>
  </si>
  <si>
    <t>721</t>
  </si>
  <si>
    <t>Zdravotechnika - vnitřní kanalizace</t>
  </si>
  <si>
    <t>37</t>
  </si>
  <si>
    <t>721173706</t>
  </si>
  <si>
    <t>Potrubí kanalizační z PE odpadní DN 100</t>
  </si>
  <si>
    <t>38</t>
  </si>
  <si>
    <t>721210824</t>
  </si>
  <si>
    <t>Demontáž vpustí střešních DN 150</t>
  </si>
  <si>
    <t>39</t>
  </si>
  <si>
    <t>998721101</t>
  </si>
  <si>
    <t>Přesun hmot pro vnitřní kanalizace v objektech v do 6 m</t>
  </si>
  <si>
    <t>767</t>
  </si>
  <si>
    <t>Konstrukce zámečnické</t>
  </si>
  <si>
    <t>40</t>
  </si>
  <si>
    <t>767531111</t>
  </si>
  <si>
    <t>Montáž vstupních kovových nebo plastových rohoží čistících zón</t>
  </si>
  <si>
    <t>41</t>
  </si>
  <si>
    <t>697520040</t>
  </si>
  <si>
    <t>rohož vstupní TOPWELL provedení hliník standard 17 mm</t>
  </si>
  <si>
    <t>42</t>
  </si>
  <si>
    <t>998767101</t>
  </si>
  <si>
    <t>Přesun hmot pro zámečnické konstrukce v objektech v do 6 m</t>
  </si>
  <si>
    <t>771</t>
  </si>
  <si>
    <t>Podlahy z dlaždic</t>
  </si>
  <si>
    <t>43</t>
  </si>
  <si>
    <t>771571112.1</t>
  </si>
  <si>
    <t>Montáž podlah z keramických dlaždic mrazuvzdorných do flexibilního tmelu včetně párování a dilatací</t>
  </si>
  <si>
    <t>44</t>
  </si>
  <si>
    <t>597614100</t>
  </si>
  <si>
    <t>dlaždice keramické slinuté neglazované mrazuvzdorné TAURUS Color Green S 29,8 x 29,8 x 0,9 cm</t>
  </si>
  <si>
    <t>45</t>
  </si>
  <si>
    <t>998771101</t>
  </si>
  <si>
    <t>Přesun hmot pro podlahy z dlaždic v objektech v do 6 m</t>
  </si>
  <si>
    <t>784</t>
  </si>
  <si>
    <t>Dokončovací práce - malby</t>
  </si>
  <si>
    <t>46</t>
  </si>
  <si>
    <t>784453621</t>
  </si>
  <si>
    <t>Malby směsi PRIMALEX tekuté disperzní bílé omyvatelné dvojnásobné s penetrací místnost v do 3,8 m</t>
  </si>
  <si>
    <t>47</t>
  </si>
  <si>
    <t>784496500</t>
  </si>
  <si>
    <t>Napuštění disperzí Sokrat 2802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</si>
</sst>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6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Font="1" applyAlignment="1">
      <alignment horizontal="right" vertical="center"/>
    </xf>
    <xf numFmtId="167" fontId="19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7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7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7" fontId="20" fillId="0" borderId="0" xfId="0" applyFont="1" applyAlignment="1">
      <alignment horizontal="right" vertical="center"/>
    </xf>
    <xf numFmtId="166" fontId="20" fillId="0" borderId="0" xfId="0" applyFont="1" applyAlignment="1">
      <alignment horizontal="right" vertical="center"/>
    </xf>
    <xf numFmtId="168" fontId="20" fillId="0" borderId="0" xfId="0" applyFont="1" applyAlignment="1">
      <alignment horizontal="right" vertical="center"/>
    </xf>
    <xf numFmtId="169" fontId="20" fillId="0" borderId="0" xfId="0" applyFont="1" applyAlignment="1">
      <alignment horizontal="right" vertical="center"/>
    </xf>
    <xf numFmtId="165" fontId="2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 t="s">
        <v>12</v>
      </c>
      <c r="Q9" s="31"/>
      <c r="R9" s="29"/>
      <c r="S9" s="21"/>
    </row>
    <row r="10" spans="1:19" ht="17.25" customHeight="1" hidden="1">
      <c r="A10" s="15"/>
      <c r="B10" s="16" t="s">
        <v>13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19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20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7" t="s">
        <v>23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 t="s">
        <v>24</v>
      </c>
      <c r="H31" s="39"/>
      <c r="I31" s="40"/>
      <c r="J31" s="16"/>
      <c r="K31" s="16"/>
      <c r="L31" s="16"/>
      <c r="M31" s="16"/>
      <c r="N31" s="16"/>
      <c r="O31" s="41" t="s">
        <v>25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26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27</v>
      </c>
      <c r="B34" s="51"/>
      <c r="C34" s="51"/>
      <c r="D34" s="52"/>
      <c r="E34" s="53" t="s">
        <v>28</v>
      </c>
      <c r="F34" s="52"/>
      <c r="G34" s="53" t="s">
        <v>29</v>
      </c>
      <c r="H34" s="51"/>
      <c r="I34" s="52"/>
      <c r="J34" s="53" t="s">
        <v>30</v>
      </c>
      <c r="K34" s="51"/>
      <c r="L34" s="53" t="s">
        <v>31</v>
      </c>
      <c r="M34" s="51"/>
      <c r="N34" s="51"/>
      <c r="O34" s="52"/>
      <c r="P34" s="53" t="s">
        <v>32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33</v>
      </c>
      <c r="F36" s="47"/>
      <c r="G36" s="47"/>
      <c r="H36" s="47"/>
      <c r="I36" s="47"/>
      <c r="J36" s="64" t="s">
        <v>34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35</v>
      </c>
      <c r="B37" s="66"/>
      <c r="C37" s="67" t="s">
        <v>36</v>
      </c>
      <c r="D37" s="68"/>
      <c r="E37" s="68"/>
      <c r="F37" s="69"/>
      <c r="G37" s="65" t="s">
        <v>37</v>
      </c>
      <c r="H37" s="70"/>
      <c r="I37" s="67" t="s">
        <v>38</v>
      </c>
      <c r="J37" s="68"/>
      <c r="K37" s="68"/>
      <c r="L37" s="65" t="s">
        <v>39</v>
      </c>
      <c r="M37" s="70"/>
      <c r="N37" s="67" t="s">
        <v>40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41</v>
      </c>
      <c r="C38" s="19"/>
      <c r="D38" s="73" t="s">
        <v>42</v>
      </c>
      <c r="E38" s="74">
        <f>SUMIF(Rozpocet!O5:O65535,8,Rozpocet!I5:I65535)</f>
        <v>20724.3</v>
      </c>
      <c r="F38" s="75"/>
      <c r="G38" s="71">
        <v>8</v>
      </c>
      <c r="H38" s="76" t="s">
        <v>43</v>
      </c>
      <c r="I38" s="36"/>
      <c r="J38" s="77">
        <v>0</v>
      </c>
      <c r="K38" s="78"/>
      <c r="L38" s="71">
        <v>13</v>
      </c>
      <c r="M38" s="34" t="s">
        <v>44</v>
      </c>
      <c r="N38" s="39"/>
      <c r="O38" s="39"/>
      <c r="P38" s="79">
        <f>M49</f>
        <v>20</v>
      </c>
      <c r="Q38" s="80" t="s">
        <v>45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46</v>
      </c>
      <c r="E39" s="74">
        <f>SUMIF(Rozpocet!O10:O65536,4,Rozpocet!I10:I65536)</f>
        <v>1098485.96</v>
      </c>
      <c r="F39" s="75"/>
      <c r="G39" s="71">
        <v>9</v>
      </c>
      <c r="H39" s="16" t="s">
        <v>47</v>
      </c>
      <c r="I39" s="73"/>
      <c r="J39" s="77">
        <v>0</v>
      </c>
      <c r="K39" s="78"/>
      <c r="L39" s="71">
        <v>14</v>
      </c>
      <c r="M39" s="34" t="s">
        <v>48</v>
      </c>
      <c r="N39" s="39"/>
      <c r="O39" s="39"/>
      <c r="P39" s="79">
        <f>M49</f>
        <v>20</v>
      </c>
      <c r="Q39" s="80" t="s">
        <v>45</v>
      </c>
      <c r="R39" s="74">
        <v>0</v>
      </c>
      <c r="S39" s="75"/>
    </row>
    <row r="40" spans="1:19" ht="20.25" customHeight="1">
      <c r="A40" s="71">
        <v>3</v>
      </c>
      <c r="B40" s="72" t="s">
        <v>49</v>
      </c>
      <c r="C40" s="19"/>
      <c r="D40" s="73" t="s">
        <v>42</v>
      </c>
      <c r="E40" s="74">
        <f>SUMIF(Rozpocet!O11:O65536,32,Rozpocet!I11:I65536)</f>
        <v>275315.8</v>
      </c>
      <c r="F40" s="75"/>
      <c r="G40" s="71">
        <v>10</v>
      </c>
      <c r="H40" s="76" t="s">
        <v>50</v>
      </c>
      <c r="I40" s="36"/>
      <c r="J40" s="77">
        <v>0</v>
      </c>
      <c r="K40" s="78"/>
      <c r="L40" s="71">
        <v>15</v>
      </c>
      <c r="M40" s="34" t="s">
        <v>51</v>
      </c>
      <c r="N40" s="39"/>
      <c r="O40" s="39"/>
      <c r="P40" s="79">
        <f>M49</f>
        <v>20</v>
      </c>
      <c r="Q40" s="80" t="s">
        <v>45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46</v>
      </c>
      <c r="E41" s="74">
        <f>SUMIF(Rozpocet!O12:O65536,16,Rozpocet!I12:I65536)+SUMIF(Rozpocet!O12:O65536,128,Rozpocet!I12:I65536)</f>
        <v>237315.89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52</v>
      </c>
      <c r="N41" s="39"/>
      <c r="O41" s="39"/>
      <c r="P41" s="79">
        <f>M49</f>
        <v>20</v>
      </c>
      <c r="Q41" s="80" t="s">
        <v>45</v>
      </c>
      <c r="R41" s="74">
        <v>0</v>
      </c>
      <c r="S41" s="75"/>
    </row>
    <row r="42" spans="1:19" ht="20.25" customHeight="1">
      <c r="A42" s="71">
        <v>5</v>
      </c>
      <c r="B42" s="72" t="s">
        <v>53</v>
      </c>
      <c r="C42" s="19"/>
      <c r="D42" s="73" t="s">
        <v>42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54</v>
      </c>
      <c r="N42" s="39"/>
      <c r="O42" s="39"/>
      <c r="P42" s="79">
        <f>M49</f>
        <v>20</v>
      </c>
      <c r="Q42" s="80" t="s">
        <v>45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46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55</v>
      </c>
      <c r="N43" s="39"/>
      <c r="O43" s="39"/>
      <c r="P43" s="39"/>
      <c r="Q43" s="36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56</v>
      </c>
      <c r="C44" s="39"/>
      <c r="D44" s="36"/>
      <c r="E44" s="85">
        <f>SUM(E38:E43)</f>
        <v>1631841.9500000002</v>
      </c>
      <c r="F44" s="49"/>
      <c r="G44" s="71">
        <v>12</v>
      </c>
      <c r="H44" s="84" t="s">
        <v>57</v>
      </c>
      <c r="I44" s="36"/>
      <c r="J44" s="86">
        <f>SUM(J38:J41)</f>
        <v>0</v>
      </c>
      <c r="K44" s="87"/>
      <c r="L44" s="71">
        <v>19</v>
      </c>
      <c r="M44" s="72" t="s">
        <v>58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59</v>
      </c>
      <c r="C45" s="91"/>
      <c r="D45" s="92"/>
      <c r="E45" s="93">
        <f>SUMIF(Rozpocet!O14:O65536,512,Rozpocet!I14:I65536)</f>
        <v>0</v>
      </c>
      <c r="F45" s="45"/>
      <c r="G45" s="89">
        <v>21</v>
      </c>
      <c r="H45" s="90" t="s">
        <v>60</v>
      </c>
      <c r="I45" s="92"/>
      <c r="J45" s="94">
        <v>0</v>
      </c>
      <c r="K45" s="95">
        <f>M49</f>
        <v>20</v>
      </c>
      <c r="L45" s="89">
        <v>22</v>
      </c>
      <c r="M45" s="90" t="s">
        <v>61</v>
      </c>
      <c r="N45" s="91"/>
      <c r="O45" s="91"/>
      <c r="P45" s="91"/>
      <c r="Q45" s="92"/>
      <c r="R45" s="93">
        <f>SUMIF(Rozpocet!O14:O65536,"&lt;4",Rozpocet!I14:I65536)+SUMIF(Rozpocet!O14:O65536,"&gt;1024",Rozpocet!I14:I65536)</f>
        <v>0</v>
      </c>
      <c r="S45" s="45"/>
    </row>
    <row r="46" spans="1:19" ht="20.25" customHeight="1">
      <c r="A46" s="96" t="s">
        <v>19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62</v>
      </c>
      <c r="M46" s="52"/>
      <c r="N46" s="67" t="s">
        <v>63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64</v>
      </c>
      <c r="N47" s="39"/>
      <c r="O47" s="39"/>
      <c r="P47" s="39"/>
      <c r="Q47" s="75"/>
      <c r="R47" s="85">
        <f>ROUND(E44+J44+R44+E45+J45+R45,2)</f>
        <v>1631841.95</v>
      </c>
      <c r="S47" s="49"/>
    </row>
    <row r="48" spans="1:19" ht="20.25" customHeight="1">
      <c r="A48" s="100" t="s">
        <v>65</v>
      </c>
      <c r="B48" s="28"/>
      <c r="C48" s="28"/>
      <c r="D48" s="28"/>
      <c r="E48" s="28"/>
      <c r="F48" s="29"/>
      <c r="G48" s="101" t="s">
        <v>66</v>
      </c>
      <c r="H48" s="28"/>
      <c r="I48" s="28"/>
      <c r="J48" s="28"/>
      <c r="K48" s="28"/>
      <c r="L48" s="71">
        <v>24</v>
      </c>
      <c r="M48" s="102">
        <v>20</v>
      </c>
      <c r="N48" s="29" t="s">
        <v>45</v>
      </c>
      <c r="O48" s="103">
        <f>R47-O49</f>
        <v>0</v>
      </c>
      <c r="P48" s="39" t="s">
        <v>67</v>
      </c>
      <c r="Q48" s="36"/>
      <c r="R48" s="104">
        <f>ROUNDUP(O48*M48/100,2)</f>
        <v>0</v>
      </c>
      <c r="S48" s="105"/>
    </row>
    <row r="49" spans="1:19" ht="20.25" customHeight="1">
      <c r="A49" s="106" t="s">
        <v>18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20</v>
      </c>
      <c r="N49" s="36" t="s">
        <v>45</v>
      </c>
      <c r="O49" s="103">
        <f>SUMIF(Rozpocet!N14:N65536,M49,Rozpocet!I14:I65536)+SUMIF(P38:P42,M49,R38:R42)+IF(K45=M49,J45,0)</f>
        <v>1631841.95</v>
      </c>
      <c r="P49" s="39" t="s">
        <v>67</v>
      </c>
      <c r="Q49" s="36"/>
      <c r="R49" s="74">
        <f>ROUNDUP(O49*M49/100,2)</f>
        <v>326368.39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68</v>
      </c>
      <c r="N50" s="91"/>
      <c r="O50" s="91"/>
      <c r="P50" s="91"/>
      <c r="Q50" s="110"/>
      <c r="R50" s="111">
        <f>R47+R48+R49</f>
        <v>1958210.3399999999</v>
      </c>
      <c r="S50" s="112"/>
    </row>
    <row r="51" spans="1:19" ht="20.25" customHeight="1">
      <c r="A51" s="100" t="s">
        <v>65</v>
      </c>
      <c r="B51" s="28"/>
      <c r="C51" s="28"/>
      <c r="D51" s="28"/>
      <c r="E51" s="28"/>
      <c r="F51" s="29"/>
      <c r="G51" s="101" t="s">
        <v>66</v>
      </c>
      <c r="H51" s="28"/>
      <c r="I51" s="28"/>
      <c r="J51" s="28"/>
      <c r="K51" s="28"/>
      <c r="L51" s="65" t="s">
        <v>69</v>
      </c>
      <c r="M51" s="52"/>
      <c r="N51" s="67" t="s">
        <v>70</v>
      </c>
      <c r="O51" s="51"/>
      <c r="P51" s="51"/>
      <c r="Q51" s="51"/>
      <c r="R51" s="113"/>
      <c r="S51" s="54"/>
    </row>
    <row r="52" spans="1:19" ht="20.25" customHeight="1">
      <c r="A52" s="106" t="s">
        <v>20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71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72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65</v>
      </c>
      <c r="B54" s="44"/>
      <c r="C54" s="44"/>
      <c r="D54" s="44"/>
      <c r="E54" s="44"/>
      <c r="F54" s="115"/>
      <c r="G54" s="116" t="s">
        <v>66</v>
      </c>
      <c r="H54" s="44"/>
      <c r="I54" s="44"/>
      <c r="J54" s="44"/>
      <c r="K54" s="44"/>
      <c r="L54" s="89">
        <v>29</v>
      </c>
      <c r="M54" s="90" t="s">
        <v>73</v>
      </c>
      <c r="N54" s="91"/>
      <c r="O54" s="91"/>
      <c r="P54" s="91"/>
      <c r="Q54" s="92"/>
      <c r="R54" s="58">
        <v>0</v>
      </c>
      <c r="S54" s="117"/>
    </row>
  </sheetData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74</v>
      </c>
      <c r="B1" s="119"/>
      <c r="C1" s="119"/>
      <c r="D1" s="119"/>
      <c r="E1" s="119"/>
    </row>
    <row r="2" spans="1:5" ht="12" customHeight="1">
      <c r="A2" s="120" t="s">
        <v>75</v>
      </c>
      <c r="B2" s="121" t="str">
        <f>'Krycí list'!E5</f>
        <v>oprava terasy</v>
      </c>
      <c r="C2" s="122"/>
      <c r="D2" s="122"/>
      <c r="E2" s="122"/>
    </row>
    <row r="3" spans="1:5" ht="12" customHeight="1">
      <c r="A3" s="120" t="s">
        <v>76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77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78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79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80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81</v>
      </c>
      <c r="B9" s="121" t="s">
        <v>82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83</v>
      </c>
      <c r="B11" s="126" t="s">
        <v>84</v>
      </c>
      <c r="C11" s="127" t="s">
        <v>85</v>
      </c>
      <c r="D11" s="128" t="s">
        <v>86</v>
      </c>
      <c r="E11" s="127" t="s">
        <v>87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1119210.26</v>
      </c>
      <c r="D14" s="140">
        <f>Rozpocet!K14</f>
        <v>572.9024075</v>
      </c>
      <c r="E14" s="140">
        <f>Rozpocet!M14</f>
        <v>154.054</v>
      </c>
    </row>
    <row r="15" spans="1:5" s="136" customFormat="1" ht="12.75" customHeight="1">
      <c r="A15" s="141" t="str">
        <f>Rozpocet!D15</f>
        <v>2</v>
      </c>
      <c r="B15" s="142" t="str">
        <f>Rozpocet!E15</f>
        <v>Zakládání</v>
      </c>
      <c r="C15" s="143">
        <f>Rozpocet!I15</f>
        <v>10797.3</v>
      </c>
      <c r="D15" s="144">
        <f>Rozpocet!K15</f>
        <v>0.0089225</v>
      </c>
      <c r="E15" s="144">
        <f>Rozpocet!M15</f>
        <v>0</v>
      </c>
    </row>
    <row r="16" spans="1:5" s="136" customFormat="1" ht="12.75" customHeight="1">
      <c r="A16" s="141" t="str">
        <f>Rozpocet!D18</f>
        <v>469</v>
      </c>
      <c r="B16" s="142" t="str">
        <f>Rozpocet!E18</f>
        <v>Stavební práce při elektromontážích</v>
      </c>
      <c r="C16" s="143">
        <f>Rozpocet!I18</f>
        <v>96535</v>
      </c>
      <c r="D16" s="144">
        <f>Rozpocet!K18</f>
        <v>0</v>
      </c>
      <c r="E16" s="144">
        <f>Rozpocet!M18</f>
        <v>141.9</v>
      </c>
    </row>
    <row r="17" spans="1:5" s="136" customFormat="1" ht="12.75" customHeight="1">
      <c r="A17" s="141" t="str">
        <f>Rozpocet!D20</f>
        <v>6</v>
      </c>
      <c r="B17" s="142" t="str">
        <f>Rozpocet!E20</f>
        <v>Úpravy povrchu, podlahy, osazení</v>
      </c>
      <c r="C17" s="143">
        <f>Rozpocet!I20</f>
        <v>241145.4</v>
      </c>
      <c r="D17" s="144">
        <f>Rozpocet!K20</f>
        <v>572.8446849999999</v>
      </c>
      <c r="E17" s="144">
        <f>Rozpocet!M20</f>
        <v>0</v>
      </c>
    </row>
    <row r="18" spans="1:5" s="136" customFormat="1" ht="12.75" customHeight="1">
      <c r="A18" s="141" t="str">
        <f>Rozpocet!D31</f>
        <v>8</v>
      </c>
      <c r="B18" s="142" t="str">
        <f>Rozpocet!E31</f>
        <v>Trubní vedení</v>
      </c>
      <c r="C18" s="143">
        <f>Rozpocet!I31</f>
        <v>15120</v>
      </c>
      <c r="D18" s="144">
        <f>Rozpocet!K31</f>
        <v>0.0488</v>
      </c>
      <c r="E18" s="144">
        <f>Rozpocet!M31</f>
        <v>0</v>
      </c>
    </row>
    <row r="19" spans="1:5" s="136" customFormat="1" ht="12.75" customHeight="1">
      <c r="A19" s="141" t="str">
        <f>Rozpocet!D34</f>
        <v>9</v>
      </c>
      <c r="B19" s="142" t="str">
        <f>Rozpocet!E34</f>
        <v>Ostatní konstrukce a práce-bourání</v>
      </c>
      <c r="C19" s="143">
        <f>Rozpocet!I34</f>
        <v>755612.56</v>
      </c>
      <c r="D19" s="144">
        <f>Rozpocet!K34</f>
        <v>0</v>
      </c>
      <c r="E19" s="144">
        <f>Rozpocet!M34</f>
        <v>12.154</v>
      </c>
    </row>
    <row r="20" spans="1:5" s="136" customFormat="1" ht="12.75" customHeight="1">
      <c r="A20" s="145" t="str">
        <f>Rozpocet!D45</f>
        <v>99</v>
      </c>
      <c r="B20" s="146" t="str">
        <f>Rozpocet!E45</f>
        <v>Přesun hmot</v>
      </c>
      <c r="C20" s="147">
        <f>Rozpocet!I45</f>
        <v>401604.3</v>
      </c>
      <c r="D20" s="148">
        <f>Rozpocet!K45</f>
        <v>0</v>
      </c>
      <c r="E20" s="148">
        <f>Rozpocet!M45</f>
        <v>0</v>
      </c>
    </row>
    <row r="21" spans="1:5" s="136" customFormat="1" ht="12.75" customHeight="1">
      <c r="A21" s="137" t="str">
        <f>Rozpocet!D47</f>
        <v>PSV</v>
      </c>
      <c r="B21" s="138" t="str">
        <f>Rozpocet!E47</f>
        <v>Práce a dodávky PSV</v>
      </c>
      <c r="C21" s="139">
        <f>Rozpocet!I47</f>
        <v>512631.69</v>
      </c>
      <c r="D21" s="140">
        <f>Rozpocet!K47</f>
        <v>16.023619999999998</v>
      </c>
      <c r="E21" s="140">
        <f>Rozpocet!M47</f>
        <v>0.04614</v>
      </c>
    </row>
    <row r="22" spans="1:5" s="136" customFormat="1" ht="12.75" customHeight="1">
      <c r="A22" s="141" t="str">
        <f>Rozpocet!D48</f>
        <v>711</v>
      </c>
      <c r="B22" s="142" t="str">
        <f>Rozpocet!E48</f>
        <v>Izolace proti vodě, vlhkosti a plynům</v>
      </c>
      <c r="C22" s="143">
        <f>Rozpocet!I48</f>
        <v>189977.22999999998</v>
      </c>
      <c r="D22" s="144">
        <f>Rozpocet!K48</f>
        <v>2.70225</v>
      </c>
      <c r="E22" s="144">
        <f>Rozpocet!M48</f>
        <v>0</v>
      </c>
    </row>
    <row r="23" spans="1:5" s="136" customFormat="1" ht="12.75" customHeight="1">
      <c r="A23" s="141" t="str">
        <f>Rozpocet!D55</f>
        <v>713</v>
      </c>
      <c r="B23" s="142" t="str">
        <f>Rozpocet!E55</f>
        <v>Izolace tepelné</v>
      </c>
      <c r="C23" s="143">
        <f>Rozpocet!I55</f>
        <v>69582.31</v>
      </c>
      <c r="D23" s="144">
        <f>Rozpocet!K55</f>
        <v>0.4171</v>
      </c>
      <c r="E23" s="144">
        <f>Rozpocet!M55</f>
        <v>0</v>
      </c>
    </row>
    <row r="24" spans="1:5" s="136" customFormat="1" ht="12.75" customHeight="1">
      <c r="A24" s="141" t="str">
        <f>Rozpocet!D60</f>
        <v>721</v>
      </c>
      <c r="B24" s="142" t="str">
        <f>Rozpocet!E60</f>
        <v>Zdravotechnika - vnitřní kanalizace</v>
      </c>
      <c r="C24" s="143">
        <f>Rozpocet!I60</f>
        <v>8201.69</v>
      </c>
      <c r="D24" s="144">
        <f>Rozpocet!K60</f>
        <v>0.19907</v>
      </c>
      <c r="E24" s="144">
        <f>Rozpocet!M60</f>
        <v>0.04614</v>
      </c>
    </row>
    <row r="25" spans="1:5" s="136" customFormat="1" ht="12.75" customHeight="1">
      <c r="A25" s="141" t="str">
        <f>Rozpocet!D64</f>
        <v>767</v>
      </c>
      <c r="B25" s="142" t="str">
        <f>Rozpocet!E64</f>
        <v>Konstrukce zámečnické</v>
      </c>
      <c r="C25" s="143">
        <f>Rozpocet!I64</f>
        <v>20350.07</v>
      </c>
      <c r="D25" s="144">
        <f>Rozpocet!K64</f>
        <v>0.042</v>
      </c>
      <c r="E25" s="144">
        <f>Rozpocet!M64</f>
        <v>0</v>
      </c>
    </row>
    <row r="26" spans="1:5" s="136" customFormat="1" ht="12.75" customHeight="1">
      <c r="A26" s="141" t="str">
        <f>Rozpocet!D68</f>
        <v>771</v>
      </c>
      <c r="B26" s="142" t="str">
        <f>Rozpocet!E68</f>
        <v>Podlahy z dlaždic</v>
      </c>
      <c r="C26" s="143">
        <f>Rozpocet!I68</f>
        <v>222140.39</v>
      </c>
      <c r="D26" s="144">
        <f>Rozpocet!K68</f>
        <v>12.637699999999999</v>
      </c>
      <c r="E26" s="144">
        <f>Rozpocet!M68</f>
        <v>0</v>
      </c>
    </row>
    <row r="27" spans="1:5" s="136" customFormat="1" ht="12.75" customHeight="1">
      <c r="A27" s="141" t="str">
        <f>Rozpocet!D72</f>
        <v>784</v>
      </c>
      <c r="B27" s="142" t="str">
        <f>Rozpocet!E72</f>
        <v>Dokončovací práce - malby</v>
      </c>
      <c r="C27" s="143">
        <f>Rozpocet!I72</f>
        <v>2380</v>
      </c>
      <c r="D27" s="144">
        <f>Rozpocet!K72</f>
        <v>0.025500000000000002</v>
      </c>
      <c r="E27" s="144">
        <f>Rozpocet!M72</f>
        <v>0</v>
      </c>
    </row>
    <row r="28" spans="2:5" s="149" customFormat="1" ht="12.75" customHeight="1">
      <c r="B28" s="150" t="s">
        <v>88</v>
      </c>
      <c r="C28" s="151">
        <f>Rozpocet!I75</f>
        <v>1631841.95</v>
      </c>
      <c r="D28" s="152">
        <f>Rozpocet!K75</f>
        <v>588.9260275</v>
      </c>
      <c r="E28" s="152">
        <f>Rozpocet!M75</f>
        <v>154.10014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75</v>
      </c>
      <c r="B2" s="121"/>
      <c r="C2" s="121" t="str">
        <f>'Krycí list'!E5</f>
        <v>oprava terasy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76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77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90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79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80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81</v>
      </c>
      <c r="B9" s="121"/>
      <c r="C9" s="121" t="s">
        <v>82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91</v>
      </c>
      <c r="B11" s="126" t="s">
        <v>92</v>
      </c>
      <c r="C11" s="126" t="s">
        <v>93</v>
      </c>
      <c r="D11" s="126" t="s">
        <v>94</v>
      </c>
      <c r="E11" s="126" t="s">
        <v>84</v>
      </c>
      <c r="F11" s="126" t="s">
        <v>95</v>
      </c>
      <c r="G11" s="126" t="s">
        <v>96</v>
      </c>
      <c r="H11" s="126" t="s">
        <v>97</v>
      </c>
      <c r="I11" s="126" t="s">
        <v>85</v>
      </c>
      <c r="J11" s="126" t="s">
        <v>98</v>
      </c>
      <c r="K11" s="126" t="s">
        <v>86</v>
      </c>
      <c r="L11" s="126" t="s">
        <v>99</v>
      </c>
      <c r="M11" s="126" t="s">
        <v>100</v>
      </c>
      <c r="N11" s="127" t="s">
        <v>101</v>
      </c>
      <c r="O11" s="155" t="s">
        <v>102</v>
      </c>
      <c r="P11" s="156" t="s">
        <v>103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62</v>
      </c>
      <c r="C14" s="160"/>
      <c r="D14" s="160" t="s">
        <v>41</v>
      </c>
      <c r="E14" s="160" t="s">
        <v>104</v>
      </c>
      <c r="F14" s="160"/>
      <c r="G14" s="160"/>
      <c r="H14" s="160"/>
      <c r="I14" s="162">
        <f>I15+I18+I20+I31+I34</f>
        <v>1119210.26</v>
      </c>
      <c r="J14" s="160"/>
      <c r="K14" s="163">
        <f>K15+K18+K20+K31+K34</f>
        <v>572.9024075</v>
      </c>
      <c r="L14" s="160"/>
      <c r="M14" s="163">
        <f>M15+M18+M20+M31+M34</f>
        <v>154.054</v>
      </c>
      <c r="N14" s="160"/>
      <c r="P14" s="138" t="s">
        <v>105</v>
      </c>
    </row>
    <row r="15" spans="2:16" s="136" customFormat="1" ht="12.75" customHeight="1">
      <c r="B15" s="141" t="s">
        <v>62</v>
      </c>
      <c r="D15" s="142" t="s">
        <v>106</v>
      </c>
      <c r="E15" s="142" t="s">
        <v>107</v>
      </c>
      <c r="I15" s="143">
        <f>SUM(I16:I17)</f>
        <v>10797.3</v>
      </c>
      <c r="K15" s="144">
        <f>SUM(K16:K17)</f>
        <v>0.0089225</v>
      </c>
      <c r="M15" s="144">
        <f>SUM(M16:M17)</f>
        <v>0</v>
      </c>
      <c r="P15" s="142" t="s">
        <v>108</v>
      </c>
    </row>
    <row r="16" spans="1:16" s="16" customFormat="1" ht="12.75" customHeight="1">
      <c r="A16" s="164" t="s">
        <v>108</v>
      </c>
      <c r="B16" s="164" t="s">
        <v>109</v>
      </c>
      <c r="C16" s="164" t="s">
        <v>110</v>
      </c>
      <c r="D16" s="16" t="s">
        <v>111</v>
      </c>
      <c r="E16" s="16" t="s">
        <v>112</v>
      </c>
      <c r="F16" s="164" t="s">
        <v>113</v>
      </c>
      <c r="G16" s="165">
        <v>215</v>
      </c>
      <c r="H16" s="166">
        <v>10.2</v>
      </c>
      <c r="I16" s="166">
        <f>ROUND(G16*H16,2)</f>
        <v>2193</v>
      </c>
      <c r="J16" s="167">
        <v>3E-05</v>
      </c>
      <c r="K16" s="165">
        <f>G16*J16</f>
        <v>0.00645</v>
      </c>
      <c r="L16" s="167">
        <v>0</v>
      </c>
      <c r="M16" s="165">
        <f>G16*L16</f>
        <v>0</v>
      </c>
      <c r="N16" s="168">
        <v>20</v>
      </c>
      <c r="O16" s="169">
        <v>4</v>
      </c>
      <c r="P16" s="16" t="s">
        <v>106</v>
      </c>
    </row>
    <row r="17" spans="1:16" s="16" customFormat="1" ht="12.75" customHeight="1">
      <c r="A17" s="170" t="s">
        <v>106</v>
      </c>
      <c r="B17" s="170" t="s">
        <v>114</v>
      </c>
      <c r="C17" s="170" t="s">
        <v>115</v>
      </c>
      <c r="D17" s="171" t="s">
        <v>116</v>
      </c>
      <c r="E17" s="171" t="s">
        <v>117</v>
      </c>
      <c r="F17" s="170" t="s">
        <v>113</v>
      </c>
      <c r="G17" s="172">
        <v>247.25</v>
      </c>
      <c r="H17" s="173">
        <v>34.8</v>
      </c>
      <c r="I17" s="173">
        <f>ROUND(G17*H17,2)</f>
        <v>8604.3</v>
      </c>
      <c r="J17" s="174">
        <v>1E-05</v>
      </c>
      <c r="K17" s="172">
        <f>G17*J17</f>
        <v>0.0024725000000000003</v>
      </c>
      <c r="L17" s="174">
        <v>0</v>
      </c>
      <c r="M17" s="172">
        <f>G17*L17</f>
        <v>0</v>
      </c>
      <c r="N17" s="175">
        <v>20</v>
      </c>
      <c r="O17" s="176">
        <v>8</v>
      </c>
      <c r="P17" s="171" t="s">
        <v>106</v>
      </c>
    </row>
    <row r="18" spans="2:16" s="136" customFormat="1" ht="12.75" customHeight="1">
      <c r="B18" s="141" t="s">
        <v>62</v>
      </c>
      <c r="D18" s="142" t="s">
        <v>118</v>
      </c>
      <c r="E18" s="142" t="s">
        <v>119</v>
      </c>
      <c r="I18" s="143">
        <f>I19</f>
        <v>96535</v>
      </c>
      <c r="K18" s="144">
        <f>K19</f>
        <v>0</v>
      </c>
      <c r="M18" s="144">
        <f>M19</f>
        <v>141.9</v>
      </c>
      <c r="P18" s="142" t="s">
        <v>108</v>
      </c>
    </row>
    <row r="19" spans="1:16" s="16" customFormat="1" ht="12.75" customHeight="1">
      <c r="A19" s="164" t="s">
        <v>120</v>
      </c>
      <c r="B19" s="164" t="s">
        <v>109</v>
      </c>
      <c r="C19" s="164" t="s">
        <v>118</v>
      </c>
      <c r="D19" s="16" t="s">
        <v>121</v>
      </c>
      <c r="E19" s="16" t="s">
        <v>122</v>
      </c>
      <c r="F19" s="164" t="s">
        <v>113</v>
      </c>
      <c r="G19" s="165">
        <v>215</v>
      </c>
      <c r="H19" s="166">
        <v>449</v>
      </c>
      <c r="I19" s="166">
        <f>ROUND(G19*H19,2)</f>
        <v>96535</v>
      </c>
      <c r="J19" s="167">
        <v>0</v>
      </c>
      <c r="K19" s="165">
        <f>G19*J19</f>
        <v>0</v>
      </c>
      <c r="L19" s="167">
        <v>0.66</v>
      </c>
      <c r="M19" s="165">
        <f>G19*L19</f>
        <v>141.9</v>
      </c>
      <c r="N19" s="168">
        <v>20</v>
      </c>
      <c r="O19" s="169">
        <v>4</v>
      </c>
      <c r="P19" s="16" t="s">
        <v>106</v>
      </c>
    </row>
    <row r="20" spans="2:16" s="136" customFormat="1" ht="12.75" customHeight="1">
      <c r="B20" s="141" t="s">
        <v>62</v>
      </c>
      <c r="D20" s="142" t="s">
        <v>123</v>
      </c>
      <c r="E20" s="142" t="s">
        <v>124</v>
      </c>
      <c r="I20" s="143">
        <f>SUM(I21:I30)</f>
        <v>241145.4</v>
      </c>
      <c r="K20" s="144">
        <f>SUM(K21:K30)</f>
        <v>572.8446849999999</v>
      </c>
      <c r="M20" s="144">
        <f>SUM(M21:M30)</f>
        <v>0</v>
      </c>
      <c r="P20" s="142" t="s">
        <v>108</v>
      </c>
    </row>
    <row r="21" spans="1:16" s="16" customFormat="1" ht="12.75" customHeight="1">
      <c r="A21" s="164" t="s">
        <v>125</v>
      </c>
      <c r="B21" s="164" t="s">
        <v>109</v>
      </c>
      <c r="C21" s="164" t="s">
        <v>126</v>
      </c>
      <c r="D21" s="16" t="s">
        <v>127</v>
      </c>
      <c r="E21" s="16" t="s">
        <v>128</v>
      </c>
      <c r="F21" s="164" t="s">
        <v>129</v>
      </c>
      <c r="G21" s="165">
        <v>1</v>
      </c>
      <c r="H21" s="166">
        <v>25000</v>
      </c>
      <c r="I21" s="166">
        <f aca="true" t="shared" si="0" ref="I21:I30">ROUND(G21*H21,2)</f>
        <v>25000</v>
      </c>
      <c r="J21" s="167">
        <v>0.05127</v>
      </c>
      <c r="K21" s="165">
        <f aca="true" t="shared" si="1" ref="K21:K30">G21*J21</f>
        <v>0.05127</v>
      </c>
      <c r="L21" s="167">
        <v>0</v>
      </c>
      <c r="M21" s="165">
        <f aca="true" t="shared" si="2" ref="M21:M30">G21*L21</f>
        <v>0</v>
      </c>
      <c r="N21" s="168">
        <v>20</v>
      </c>
      <c r="O21" s="169">
        <v>4</v>
      </c>
      <c r="P21" s="16" t="s">
        <v>106</v>
      </c>
    </row>
    <row r="22" spans="1:16" s="16" customFormat="1" ht="12.75" customHeight="1">
      <c r="A22" s="164" t="s">
        <v>130</v>
      </c>
      <c r="B22" s="164" t="s">
        <v>109</v>
      </c>
      <c r="C22" s="164" t="s">
        <v>126</v>
      </c>
      <c r="D22" s="16" t="s">
        <v>131</v>
      </c>
      <c r="E22" s="16" t="s">
        <v>132</v>
      </c>
      <c r="F22" s="164" t="s">
        <v>129</v>
      </c>
      <c r="G22" s="165">
        <v>1</v>
      </c>
      <c r="H22" s="166">
        <v>15000</v>
      </c>
      <c r="I22" s="166">
        <f t="shared" si="0"/>
        <v>15000</v>
      </c>
      <c r="J22" s="167">
        <v>0.05127</v>
      </c>
      <c r="K22" s="165">
        <f t="shared" si="1"/>
        <v>0.05127</v>
      </c>
      <c r="L22" s="167">
        <v>0</v>
      </c>
      <c r="M22" s="165">
        <f t="shared" si="2"/>
        <v>0</v>
      </c>
      <c r="N22" s="168">
        <v>20</v>
      </c>
      <c r="O22" s="169">
        <v>4</v>
      </c>
      <c r="P22" s="16" t="s">
        <v>106</v>
      </c>
    </row>
    <row r="23" spans="1:16" s="16" customFormat="1" ht="12.75" customHeight="1">
      <c r="A23" s="164" t="s">
        <v>123</v>
      </c>
      <c r="B23" s="164" t="s">
        <v>109</v>
      </c>
      <c r="C23" s="164" t="s">
        <v>126</v>
      </c>
      <c r="D23" s="16" t="s">
        <v>133</v>
      </c>
      <c r="E23" s="16" t="s">
        <v>134</v>
      </c>
      <c r="F23" s="164" t="s">
        <v>113</v>
      </c>
      <c r="G23" s="165">
        <v>50</v>
      </c>
      <c r="H23" s="166">
        <v>305</v>
      </c>
      <c r="I23" s="166">
        <f t="shared" si="0"/>
        <v>15250</v>
      </c>
      <c r="J23" s="167">
        <v>0.05127</v>
      </c>
      <c r="K23" s="165">
        <f t="shared" si="1"/>
        <v>2.5635000000000003</v>
      </c>
      <c r="L23" s="167">
        <v>0</v>
      </c>
      <c r="M23" s="165">
        <f t="shared" si="2"/>
        <v>0</v>
      </c>
      <c r="N23" s="168">
        <v>20</v>
      </c>
      <c r="O23" s="169">
        <v>4</v>
      </c>
      <c r="P23" s="16" t="s">
        <v>106</v>
      </c>
    </row>
    <row r="24" spans="1:16" s="16" customFormat="1" ht="12.75" customHeight="1">
      <c r="A24" s="164" t="s">
        <v>135</v>
      </c>
      <c r="B24" s="164" t="s">
        <v>109</v>
      </c>
      <c r="C24" s="164" t="s">
        <v>126</v>
      </c>
      <c r="D24" s="16" t="s">
        <v>136</v>
      </c>
      <c r="E24" s="16" t="s">
        <v>137</v>
      </c>
      <c r="F24" s="164" t="s">
        <v>113</v>
      </c>
      <c r="G24" s="165">
        <v>28</v>
      </c>
      <c r="H24" s="166">
        <v>706</v>
      </c>
      <c r="I24" s="166">
        <f t="shared" si="0"/>
        <v>19768</v>
      </c>
      <c r="J24" s="167">
        <v>0.00625</v>
      </c>
      <c r="K24" s="165">
        <f t="shared" si="1"/>
        <v>0.17500000000000002</v>
      </c>
      <c r="L24" s="167">
        <v>0</v>
      </c>
      <c r="M24" s="165">
        <f t="shared" si="2"/>
        <v>0</v>
      </c>
      <c r="N24" s="168">
        <v>20</v>
      </c>
      <c r="O24" s="169">
        <v>4</v>
      </c>
      <c r="P24" s="16" t="s">
        <v>106</v>
      </c>
    </row>
    <row r="25" spans="1:16" s="16" customFormat="1" ht="12.75" customHeight="1">
      <c r="A25" s="164" t="s">
        <v>138</v>
      </c>
      <c r="B25" s="164" t="s">
        <v>109</v>
      </c>
      <c r="C25" s="164" t="s">
        <v>139</v>
      </c>
      <c r="D25" s="16" t="s">
        <v>140</v>
      </c>
      <c r="E25" s="16" t="s">
        <v>141</v>
      </c>
      <c r="F25" s="164" t="s">
        <v>113</v>
      </c>
      <c r="G25" s="165">
        <v>28</v>
      </c>
      <c r="H25" s="166">
        <v>85.3</v>
      </c>
      <c r="I25" s="166">
        <f t="shared" si="0"/>
        <v>2388.4</v>
      </c>
      <c r="J25" s="167">
        <v>0</v>
      </c>
      <c r="K25" s="165">
        <f t="shared" si="1"/>
        <v>0</v>
      </c>
      <c r="L25" s="167">
        <v>0</v>
      </c>
      <c r="M25" s="165">
        <f t="shared" si="2"/>
        <v>0</v>
      </c>
      <c r="N25" s="168">
        <v>20</v>
      </c>
      <c r="O25" s="169">
        <v>4</v>
      </c>
      <c r="P25" s="16" t="s">
        <v>106</v>
      </c>
    </row>
    <row r="26" spans="1:16" s="16" customFormat="1" ht="12.75" customHeight="1">
      <c r="A26" s="164" t="s">
        <v>142</v>
      </c>
      <c r="B26" s="164" t="s">
        <v>109</v>
      </c>
      <c r="C26" s="164" t="s">
        <v>126</v>
      </c>
      <c r="D26" s="16" t="s">
        <v>143</v>
      </c>
      <c r="E26" s="16" t="s">
        <v>144</v>
      </c>
      <c r="F26" s="164" t="s">
        <v>145</v>
      </c>
      <c r="G26" s="165">
        <v>13</v>
      </c>
      <c r="H26" s="166">
        <v>4500</v>
      </c>
      <c r="I26" s="166">
        <f t="shared" si="0"/>
        <v>58500</v>
      </c>
      <c r="J26" s="167">
        <v>2.45329</v>
      </c>
      <c r="K26" s="165">
        <f t="shared" si="1"/>
        <v>31.89277</v>
      </c>
      <c r="L26" s="167">
        <v>0</v>
      </c>
      <c r="M26" s="165">
        <f t="shared" si="2"/>
        <v>0</v>
      </c>
      <c r="N26" s="168">
        <v>20</v>
      </c>
      <c r="O26" s="169">
        <v>4</v>
      </c>
      <c r="P26" s="16" t="s">
        <v>106</v>
      </c>
    </row>
    <row r="27" spans="1:16" s="16" customFormat="1" ht="12.75" customHeight="1">
      <c r="A27" s="164" t="s">
        <v>146</v>
      </c>
      <c r="B27" s="164" t="s">
        <v>109</v>
      </c>
      <c r="C27" s="164" t="s">
        <v>126</v>
      </c>
      <c r="D27" s="16" t="s">
        <v>147</v>
      </c>
      <c r="E27" s="16" t="s">
        <v>148</v>
      </c>
      <c r="F27" s="164" t="s">
        <v>113</v>
      </c>
      <c r="G27" s="165">
        <v>215</v>
      </c>
      <c r="H27" s="166">
        <v>57</v>
      </c>
      <c r="I27" s="166">
        <f t="shared" si="0"/>
        <v>12255</v>
      </c>
      <c r="J27" s="167">
        <v>2.45329</v>
      </c>
      <c r="K27" s="165">
        <f t="shared" si="1"/>
        <v>527.45735</v>
      </c>
      <c r="L27" s="167">
        <v>0</v>
      </c>
      <c r="M27" s="165">
        <f t="shared" si="2"/>
        <v>0</v>
      </c>
      <c r="N27" s="168">
        <v>20</v>
      </c>
      <c r="O27" s="169">
        <v>4</v>
      </c>
      <c r="P27" s="16" t="s">
        <v>106</v>
      </c>
    </row>
    <row r="28" spans="1:16" s="16" customFormat="1" ht="12.75" customHeight="1">
      <c r="A28" s="164" t="s">
        <v>149</v>
      </c>
      <c r="B28" s="164" t="s">
        <v>109</v>
      </c>
      <c r="C28" s="164" t="s">
        <v>126</v>
      </c>
      <c r="D28" s="16" t="s">
        <v>150</v>
      </c>
      <c r="E28" s="16" t="s">
        <v>151</v>
      </c>
      <c r="F28" s="164" t="s">
        <v>152</v>
      </c>
      <c r="G28" s="165">
        <v>1.25</v>
      </c>
      <c r="H28" s="166">
        <v>24900</v>
      </c>
      <c r="I28" s="166">
        <f t="shared" si="0"/>
        <v>31125</v>
      </c>
      <c r="J28" s="167">
        <v>1.05306</v>
      </c>
      <c r="K28" s="165">
        <f t="shared" si="1"/>
        <v>1.3163250000000002</v>
      </c>
      <c r="L28" s="167">
        <v>0</v>
      </c>
      <c r="M28" s="165">
        <f t="shared" si="2"/>
        <v>0</v>
      </c>
      <c r="N28" s="168">
        <v>20</v>
      </c>
      <c r="O28" s="169">
        <v>4</v>
      </c>
      <c r="P28" s="16" t="s">
        <v>106</v>
      </c>
    </row>
    <row r="29" spans="1:16" s="16" customFormat="1" ht="12.75" customHeight="1">
      <c r="A29" s="164" t="s">
        <v>153</v>
      </c>
      <c r="B29" s="164" t="s">
        <v>109</v>
      </c>
      <c r="C29" s="164" t="s">
        <v>126</v>
      </c>
      <c r="D29" s="16" t="s">
        <v>154</v>
      </c>
      <c r="E29" s="16" t="s">
        <v>155</v>
      </c>
      <c r="F29" s="164" t="s">
        <v>113</v>
      </c>
      <c r="G29" s="165">
        <v>215</v>
      </c>
      <c r="H29" s="166">
        <v>253</v>
      </c>
      <c r="I29" s="166">
        <f t="shared" si="0"/>
        <v>54395</v>
      </c>
      <c r="J29" s="167">
        <v>0.042</v>
      </c>
      <c r="K29" s="165">
        <f t="shared" si="1"/>
        <v>9.030000000000001</v>
      </c>
      <c r="L29" s="167">
        <v>0</v>
      </c>
      <c r="M29" s="165">
        <f t="shared" si="2"/>
        <v>0</v>
      </c>
      <c r="N29" s="168">
        <v>20</v>
      </c>
      <c r="O29" s="169">
        <v>4</v>
      </c>
      <c r="P29" s="16" t="s">
        <v>106</v>
      </c>
    </row>
    <row r="30" spans="1:16" s="16" customFormat="1" ht="12.75" customHeight="1">
      <c r="A30" s="164" t="s">
        <v>156</v>
      </c>
      <c r="B30" s="164" t="s">
        <v>109</v>
      </c>
      <c r="C30" s="164" t="s">
        <v>126</v>
      </c>
      <c r="D30" s="16" t="s">
        <v>157</v>
      </c>
      <c r="E30" s="16" t="s">
        <v>158</v>
      </c>
      <c r="F30" s="164" t="s">
        <v>159</v>
      </c>
      <c r="G30" s="165">
        <v>240</v>
      </c>
      <c r="H30" s="166">
        <v>31.1</v>
      </c>
      <c r="I30" s="166">
        <f t="shared" si="0"/>
        <v>7464</v>
      </c>
      <c r="J30" s="167">
        <v>0.00128</v>
      </c>
      <c r="K30" s="165">
        <f t="shared" si="1"/>
        <v>0.30720000000000003</v>
      </c>
      <c r="L30" s="167">
        <v>0</v>
      </c>
      <c r="M30" s="165">
        <f t="shared" si="2"/>
        <v>0</v>
      </c>
      <c r="N30" s="168">
        <v>20</v>
      </c>
      <c r="O30" s="169">
        <v>4</v>
      </c>
      <c r="P30" s="16" t="s">
        <v>106</v>
      </c>
    </row>
    <row r="31" spans="2:16" s="136" customFormat="1" ht="12.75" customHeight="1">
      <c r="B31" s="141" t="s">
        <v>62</v>
      </c>
      <c r="D31" s="142" t="s">
        <v>138</v>
      </c>
      <c r="E31" s="142" t="s">
        <v>160</v>
      </c>
      <c r="I31" s="143">
        <f>SUM(I32:I33)</f>
        <v>15120</v>
      </c>
      <c r="K31" s="144">
        <f>SUM(K32:K33)</f>
        <v>0.0488</v>
      </c>
      <c r="M31" s="144">
        <f>SUM(M32:M33)</f>
        <v>0</v>
      </c>
      <c r="P31" s="142" t="s">
        <v>108</v>
      </c>
    </row>
    <row r="32" spans="1:16" s="16" customFormat="1" ht="12.75" customHeight="1">
      <c r="A32" s="164" t="s">
        <v>161</v>
      </c>
      <c r="B32" s="164" t="s">
        <v>109</v>
      </c>
      <c r="C32" s="164" t="s">
        <v>162</v>
      </c>
      <c r="D32" s="16" t="s">
        <v>163</v>
      </c>
      <c r="E32" s="16" t="s">
        <v>164</v>
      </c>
      <c r="F32" s="164" t="s">
        <v>165</v>
      </c>
      <c r="G32" s="165">
        <v>4</v>
      </c>
      <c r="H32" s="166">
        <v>750</v>
      </c>
      <c r="I32" s="166">
        <f>ROUND(G32*H32,2)</f>
        <v>3000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68">
        <v>20</v>
      </c>
      <c r="O32" s="169">
        <v>4</v>
      </c>
      <c r="P32" s="16" t="s">
        <v>106</v>
      </c>
    </row>
    <row r="33" spans="1:16" s="16" customFormat="1" ht="12.75" customHeight="1">
      <c r="A33" s="170" t="s">
        <v>166</v>
      </c>
      <c r="B33" s="170" t="s">
        <v>114</v>
      </c>
      <c r="C33" s="170" t="s">
        <v>115</v>
      </c>
      <c r="D33" s="171" t="s">
        <v>167</v>
      </c>
      <c r="E33" s="171" t="s">
        <v>168</v>
      </c>
      <c r="F33" s="170" t="s">
        <v>165</v>
      </c>
      <c r="G33" s="172">
        <v>4</v>
      </c>
      <c r="H33" s="173">
        <v>3030</v>
      </c>
      <c r="I33" s="173">
        <f>ROUND(G33*H33,2)</f>
        <v>12120</v>
      </c>
      <c r="J33" s="174">
        <v>0.0122</v>
      </c>
      <c r="K33" s="172">
        <f>G33*J33</f>
        <v>0.0488</v>
      </c>
      <c r="L33" s="174">
        <v>0</v>
      </c>
      <c r="M33" s="172">
        <f>G33*L33</f>
        <v>0</v>
      </c>
      <c r="N33" s="175">
        <v>20</v>
      </c>
      <c r="O33" s="176">
        <v>8</v>
      </c>
      <c r="P33" s="171" t="s">
        <v>106</v>
      </c>
    </row>
    <row r="34" spans="2:16" s="136" customFormat="1" ht="12.75" customHeight="1">
      <c r="B34" s="141" t="s">
        <v>62</v>
      </c>
      <c r="D34" s="142" t="s">
        <v>142</v>
      </c>
      <c r="E34" s="142" t="s">
        <v>169</v>
      </c>
      <c r="I34" s="143">
        <f>I35+SUM(I36:I45)</f>
        <v>755612.56</v>
      </c>
      <c r="K34" s="144">
        <f>K35+SUM(K36:K45)</f>
        <v>0</v>
      </c>
      <c r="M34" s="144">
        <f>M35+SUM(M36:M45)</f>
        <v>12.154</v>
      </c>
      <c r="P34" s="142" t="s">
        <v>108</v>
      </c>
    </row>
    <row r="35" spans="1:16" s="16" customFormat="1" ht="12.75" customHeight="1">
      <c r="A35" s="164" t="s">
        <v>170</v>
      </c>
      <c r="B35" s="164" t="s">
        <v>109</v>
      </c>
      <c r="C35" s="164" t="s">
        <v>171</v>
      </c>
      <c r="D35" s="16" t="s">
        <v>172</v>
      </c>
      <c r="E35" s="16" t="s">
        <v>173</v>
      </c>
      <c r="F35" s="164" t="s">
        <v>113</v>
      </c>
      <c r="G35" s="165">
        <v>215</v>
      </c>
      <c r="H35" s="166">
        <v>50.4</v>
      </c>
      <c r="I35" s="166">
        <f aca="true" t="shared" si="3" ref="I35:I44">ROUND(G35*H35,2)</f>
        <v>10836</v>
      </c>
      <c r="J35" s="167">
        <v>0</v>
      </c>
      <c r="K35" s="165">
        <f aca="true" t="shared" si="4" ref="K35:K44">G35*J35</f>
        <v>0</v>
      </c>
      <c r="L35" s="167">
        <v>0.035</v>
      </c>
      <c r="M35" s="165">
        <f aca="true" t="shared" si="5" ref="M35:M44">G35*L35</f>
        <v>7.525</v>
      </c>
      <c r="N35" s="168">
        <v>20</v>
      </c>
      <c r="O35" s="169">
        <v>4</v>
      </c>
      <c r="P35" s="16" t="s">
        <v>106</v>
      </c>
    </row>
    <row r="36" spans="1:16" s="16" customFormat="1" ht="12.75" customHeight="1">
      <c r="A36" s="164" t="s">
        <v>174</v>
      </c>
      <c r="B36" s="164" t="s">
        <v>109</v>
      </c>
      <c r="C36" s="164" t="s">
        <v>171</v>
      </c>
      <c r="D36" s="16" t="s">
        <v>175</v>
      </c>
      <c r="E36" s="16" t="s">
        <v>176</v>
      </c>
      <c r="F36" s="164" t="s">
        <v>165</v>
      </c>
      <c r="G36" s="165">
        <v>2</v>
      </c>
      <c r="H36" s="166">
        <v>282</v>
      </c>
      <c r="I36" s="166">
        <f t="shared" si="3"/>
        <v>564</v>
      </c>
      <c r="J36" s="167">
        <v>0</v>
      </c>
      <c r="K36" s="165">
        <f t="shared" si="4"/>
        <v>0</v>
      </c>
      <c r="L36" s="167">
        <v>0.09</v>
      </c>
      <c r="M36" s="165">
        <f t="shared" si="5"/>
        <v>0.18</v>
      </c>
      <c r="N36" s="168">
        <v>20</v>
      </c>
      <c r="O36" s="169">
        <v>4</v>
      </c>
      <c r="P36" s="16" t="s">
        <v>106</v>
      </c>
    </row>
    <row r="37" spans="1:16" s="16" customFormat="1" ht="12.75" customHeight="1">
      <c r="A37" s="164" t="s">
        <v>177</v>
      </c>
      <c r="B37" s="164" t="s">
        <v>109</v>
      </c>
      <c r="C37" s="164" t="s">
        <v>171</v>
      </c>
      <c r="D37" s="16" t="s">
        <v>178</v>
      </c>
      <c r="E37" s="16" t="s">
        <v>179</v>
      </c>
      <c r="F37" s="164" t="s">
        <v>165</v>
      </c>
      <c r="G37" s="165">
        <v>1</v>
      </c>
      <c r="H37" s="166">
        <v>58.4</v>
      </c>
      <c r="I37" s="166">
        <f t="shared" si="3"/>
        <v>58.4</v>
      </c>
      <c r="J37" s="167">
        <v>0</v>
      </c>
      <c r="K37" s="165">
        <f t="shared" si="4"/>
        <v>0</v>
      </c>
      <c r="L37" s="167">
        <v>0.045</v>
      </c>
      <c r="M37" s="165">
        <f t="shared" si="5"/>
        <v>0.045</v>
      </c>
      <c r="N37" s="168">
        <v>20</v>
      </c>
      <c r="O37" s="169">
        <v>4</v>
      </c>
      <c r="P37" s="16" t="s">
        <v>106</v>
      </c>
    </row>
    <row r="38" spans="1:16" s="16" customFormat="1" ht="12.75" customHeight="1">
      <c r="A38" s="164" t="s">
        <v>180</v>
      </c>
      <c r="B38" s="164" t="s">
        <v>109</v>
      </c>
      <c r="C38" s="164" t="s">
        <v>171</v>
      </c>
      <c r="D38" s="16" t="s">
        <v>181</v>
      </c>
      <c r="E38" s="16" t="s">
        <v>182</v>
      </c>
      <c r="F38" s="164" t="s">
        <v>113</v>
      </c>
      <c r="G38" s="165">
        <v>50</v>
      </c>
      <c r="H38" s="166">
        <v>74.1</v>
      </c>
      <c r="I38" s="166">
        <f t="shared" si="3"/>
        <v>3705</v>
      </c>
      <c r="J38" s="167">
        <v>0</v>
      </c>
      <c r="K38" s="165">
        <f t="shared" si="4"/>
        <v>0</v>
      </c>
      <c r="L38" s="167">
        <v>0.05</v>
      </c>
      <c r="M38" s="165">
        <f t="shared" si="5"/>
        <v>2.5</v>
      </c>
      <c r="N38" s="168">
        <v>20</v>
      </c>
      <c r="O38" s="169">
        <v>4</v>
      </c>
      <c r="P38" s="16" t="s">
        <v>106</v>
      </c>
    </row>
    <row r="39" spans="1:16" s="16" customFormat="1" ht="12.75" customHeight="1">
      <c r="A39" s="164" t="s">
        <v>183</v>
      </c>
      <c r="B39" s="164" t="s">
        <v>109</v>
      </c>
      <c r="C39" s="164" t="s">
        <v>171</v>
      </c>
      <c r="D39" s="16" t="s">
        <v>184</v>
      </c>
      <c r="E39" s="16" t="s">
        <v>185</v>
      </c>
      <c r="F39" s="164" t="s">
        <v>113</v>
      </c>
      <c r="G39" s="165">
        <v>28</v>
      </c>
      <c r="H39" s="166">
        <v>78.5</v>
      </c>
      <c r="I39" s="166">
        <f t="shared" si="3"/>
        <v>2198</v>
      </c>
      <c r="J39" s="167">
        <v>0</v>
      </c>
      <c r="K39" s="165">
        <f t="shared" si="4"/>
        <v>0</v>
      </c>
      <c r="L39" s="167">
        <v>0.068</v>
      </c>
      <c r="M39" s="165">
        <f t="shared" si="5"/>
        <v>1.9040000000000001</v>
      </c>
      <c r="N39" s="168">
        <v>20</v>
      </c>
      <c r="O39" s="169">
        <v>4</v>
      </c>
      <c r="P39" s="16" t="s">
        <v>106</v>
      </c>
    </row>
    <row r="40" spans="1:16" s="16" customFormat="1" ht="12.75" customHeight="1">
      <c r="A40" s="164" t="s">
        <v>186</v>
      </c>
      <c r="B40" s="164" t="s">
        <v>109</v>
      </c>
      <c r="C40" s="164" t="s">
        <v>171</v>
      </c>
      <c r="D40" s="16" t="s">
        <v>187</v>
      </c>
      <c r="E40" s="16" t="s">
        <v>188</v>
      </c>
      <c r="F40" s="164" t="s">
        <v>152</v>
      </c>
      <c r="G40" s="165">
        <v>154.1</v>
      </c>
      <c r="H40" s="166">
        <v>361</v>
      </c>
      <c r="I40" s="166">
        <f t="shared" si="3"/>
        <v>55630.1</v>
      </c>
      <c r="J40" s="167">
        <v>0</v>
      </c>
      <c r="K40" s="165">
        <f t="shared" si="4"/>
        <v>0</v>
      </c>
      <c r="L40" s="167">
        <v>0</v>
      </c>
      <c r="M40" s="165">
        <f t="shared" si="5"/>
        <v>0</v>
      </c>
      <c r="N40" s="168">
        <v>20</v>
      </c>
      <c r="O40" s="169">
        <v>4</v>
      </c>
      <c r="P40" s="16" t="s">
        <v>106</v>
      </c>
    </row>
    <row r="41" spans="1:16" s="16" customFormat="1" ht="12.75" customHeight="1">
      <c r="A41" s="164" t="s">
        <v>189</v>
      </c>
      <c r="B41" s="164" t="s">
        <v>109</v>
      </c>
      <c r="C41" s="164" t="s">
        <v>171</v>
      </c>
      <c r="D41" s="16" t="s">
        <v>190</v>
      </c>
      <c r="E41" s="16" t="s">
        <v>191</v>
      </c>
      <c r="F41" s="164" t="s">
        <v>152</v>
      </c>
      <c r="G41" s="165">
        <v>2157.4</v>
      </c>
      <c r="H41" s="166">
        <v>13.7</v>
      </c>
      <c r="I41" s="166">
        <f t="shared" si="3"/>
        <v>29556.38</v>
      </c>
      <c r="J41" s="167">
        <v>0</v>
      </c>
      <c r="K41" s="165">
        <f t="shared" si="4"/>
        <v>0</v>
      </c>
      <c r="L41" s="167">
        <v>0</v>
      </c>
      <c r="M41" s="165">
        <f t="shared" si="5"/>
        <v>0</v>
      </c>
      <c r="N41" s="168">
        <v>20</v>
      </c>
      <c r="O41" s="169">
        <v>4</v>
      </c>
      <c r="P41" s="16" t="s">
        <v>106</v>
      </c>
    </row>
    <row r="42" spans="1:16" s="16" customFormat="1" ht="12.75" customHeight="1">
      <c r="A42" s="164" t="s">
        <v>192</v>
      </c>
      <c r="B42" s="164" t="s">
        <v>109</v>
      </c>
      <c r="C42" s="164" t="s">
        <v>171</v>
      </c>
      <c r="D42" s="16" t="s">
        <v>193</v>
      </c>
      <c r="E42" s="16" t="s">
        <v>194</v>
      </c>
      <c r="F42" s="164" t="s">
        <v>152</v>
      </c>
      <c r="G42" s="165">
        <v>154.1</v>
      </c>
      <c r="H42" s="166">
        <v>211</v>
      </c>
      <c r="I42" s="166">
        <f t="shared" si="3"/>
        <v>32515.1</v>
      </c>
      <c r="J42" s="167">
        <v>0</v>
      </c>
      <c r="K42" s="165">
        <f t="shared" si="4"/>
        <v>0</v>
      </c>
      <c r="L42" s="167">
        <v>0</v>
      </c>
      <c r="M42" s="165">
        <f t="shared" si="5"/>
        <v>0</v>
      </c>
      <c r="N42" s="168">
        <v>20</v>
      </c>
      <c r="O42" s="169">
        <v>4</v>
      </c>
      <c r="P42" s="16" t="s">
        <v>106</v>
      </c>
    </row>
    <row r="43" spans="1:16" s="16" customFormat="1" ht="12.75" customHeight="1">
      <c r="A43" s="164" t="s">
        <v>195</v>
      </c>
      <c r="B43" s="164" t="s">
        <v>109</v>
      </c>
      <c r="C43" s="164" t="s">
        <v>171</v>
      </c>
      <c r="D43" s="16" t="s">
        <v>196</v>
      </c>
      <c r="E43" s="16" t="s">
        <v>197</v>
      </c>
      <c r="F43" s="164" t="s">
        <v>152</v>
      </c>
      <c r="G43" s="165">
        <v>462.3</v>
      </c>
      <c r="H43" s="166">
        <v>23.6</v>
      </c>
      <c r="I43" s="166">
        <f t="shared" si="3"/>
        <v>10910.28</v>
      </c>
      <c r="J43" s="167">
        <v>0</v>
      </c>
      <c r="K43" s="165">
        <f t="shared" si="4"/>
        <v>0</v>
      </c>
      <c r="L43" s="167">
        <v>0</v>
      </c>
      <c r="M43" s="165">
        <f t="shared" si="5"/>
        <v>0</v>
      </c>
      <c r="N43" s="168">
        <v>20</v>
      </c>
      <c r="O43" s="169">
        <v>4</v>
      </c>
      <c r="P43" s="16" t="s">
        <v>106</v>
      </c>
    </row>
    <row r="44" spans="1:16" s="16" customFormat="1" ht="12.75" customHeight="1">
      <c r="A44" s="164" t="s">
        <v>198</v>
      </c>
      <c r="B44" s="164" t="s">
        <v>109</v>
      </c>
      <c r="C44" s="164" t="s">
        <v>171</v>
      </c>
      <c r="D44" s="16" t="s">
        <v>199</v>
      </c>
      <c r="E44" s="16" t="s">
        <v>200</v>
      </c>
      <c r="F44" s="164" t="s">
        <v>152</v>
      </c>
      <c r="G44" s="165">
        <v>154.1</v>
      </c>
      <c r="H44" s="166">
        <v>1350</v>
      </c>
      <c r="I44" s="166">
        <f t="shared" si="3"/>
        <v>208035</v>
      </c>
      <c r="J44" s="167">
        <v>0</v>
      </c>
      <c r="K44" s="165">
        <f t="shared" si="4"/>
        <v>0</v>
      </c>
      <c r="L44" s="167">
        <v>0</v>
      </c>
      <c r="M44" s="165">
        <f t="shared" si="5"/>
        <v>0</v>
      </c>
      <c r="N44" s="168">
        <v>20</v>
      </c>
      <c r="O44" s="169">
        <v>4</v>
      </c>
      <c r="P44" s="16" t="s">
        <v>106</v>
      </c>
    </row>
    <row r="45" spans="2:16" s="136" customFormat="1" ht="12.75" customHeight="1">
      <c r="B45" s="145" t="s">
        <v>62</v>
      </c>
      <c r="D45" s="146" t="s">
        <v>201</v>
      </c>
      <c r="E45" s="146" t="s">
        <v>202</v>
      </c>
      <c r="I45" s="147">
        <f>I46</f>
        <v>401604.3</v>
      </c>
      <c r="K45" s="148">
        <f>K46</f>
        <v>0</v>
      </c>
      <c r="M45" s="148">
        <f>M46</f>
        <v>0</v>
      </c>
      <c r="P45" s="146" t="s">
        <v>106</v>
      </c>
    </row>
    <row r="46" spans="1:16" s="16" customFormat="1" ht="12.75" customHeight="1">
      <c r="A46" s="164" t="s">
        <v>203</v>
      </c>
      <c r="B46" s="164" t="s">
        <v>109</v>
      </c>
      <c r="C46" s="164" t="s">
        <v>204</v>
      </c>
      <c r="D46" s="16" t="s">
        <v>205</v>
      </c>
      <c r="E46" s="16" t="s">
        <v>206</v>
      </c>
      <c r="F46" s="164" t="s">
        <v>152</v>
      </c>
      <c r="G46" s="165">
        <v>572.902</v>
      </c>
      <c r="H46" s="166">
        <v>701</v>
      </c>
      <c r="I46" s="166">
        <f>ROUND(G46*H46,2)</f>
        <v>401604.3</v>
      </c>
      <c r="J46" s="167">
        <v>0</v>
      </c>
      <c r="K46" s="165">
        <f>G46*J46</f>
        <v>0</v>
      </c>
      <c r="L46" s="167">
        <v>0</v>
      </c>
      <c r="M46" s="165">
        <f>G46*L46</f>
        <v>0</v>
      </c>
      <c r="N46" s="168">
        <v>20</v>
      </c>
      <c r="O46" s="169">
        <v>4</v>
      </c>
      <c r="P46" s="16" t="s">
        <v>120</v>
      </c>
    </row>
    <row r="47" spans="2:16" s="136" customFormat="1" ht="12.75" customHeight="1">
      <c r="B47" s="137" t="s">
        <v>62</v>
      </c>
      <c r="D47" s="138" t="s">
        <v>49</v>
      </c>
      <c r="E47" s="138" t="s">
        <v>207</v>
      </c>
      <c r="I47" s="139">
        <f>I48+I55+I60+I64+I68+I72</f>
        <v>512631.69</v>
      </c>
      <c r="K47" s="140">
        <f>K48+K55+K60+K64+K68+K72</f>
        <v>16.023619999999998</v>
      </c>
      <c r="M47" s="140">
        <f>M48+M55+M60+M64+M68+M72</f>
        <v>0.04614</v>
      </c>
      <c r="P47" s="138" t="s">
        <v>105</v>
      </c>
    </row>
    <row r="48" spans="2:16" s="136" customFormat="1" ht="12.75" customHeight="1">
      <c r="B48" s="141" t="s">
        <v>62</v>
      </c>
      <c r="D48" s="142" t="s">
        <v>208</v>
      </c>
      <c r="E48" s="142" t="s">
        <v>209</v>
      </c>
      <c r="I48" s="143">
        <f>SUM(I49:I54)</f>
        <v>189977.22999999998</v>
      </c>
      <c r="K48" s="144">
        <f>SUM(K49:K54)</f>
        <v>2.70225</v>
      </c>
      <c r="M48" s="144">
        <f>SUM(M49:M54)</f>
        <v>0</v>
      </c>
      <c r="P48" s="142" t="s">
        <v>108</v>
      </c>
    </row>
    <row r="49" spans="1:16" s="16" customFormat="1" ht="12.75" customHeight="1">
      <c r="A49" s="164" t="s">
        <v>210</v>
      </c>
      <c r="B49" s="164" t="s">
        <v>109</v>
      </c>
      <c r="C49" s="164" t="s">
        <v>208</v>
      </c>
      <c r="D49" s="16" t="s">
        <v>211</v>
      </c>
      <c r="E49" s="16" t="s">
        <v>212</v>
      </c>
      <c r="F49" s="164" t="s">
        <v>113</v>
      </c>
      <c r="G49" s="165">
        <v>215</v>
      </c>
      <c r="H49" s="166">
        <v>7.32</v>
      </c>
      <c r="I49" s="166">
        <f aca="true" t="shared" si="6" ref="I49:I54">ROUND(G49*H49,2)</f>
        <v>1573.8</v>
      </c>
      <c r="J49" s="167">
        <v>0</v>
      </c>
      <c r="K49" s="165">
        <f aca="true" t="shared" si="7" ref="K49:K54">G49*J49</f>
        <v>0</v>
      </c>
      <c r="L49" s="167">
        <v>0</v>
      </c>
      <c r="M49" s="165">
        <f aca="true" t="shared" si="8" ref="M49:M54">G49*L49</f>
        <v>0</v>
      </c>
      <c r="N49" s="168">
        <v>20</v>
      </c>
      <c r="O49" s="169">
        <v>16</v>
      </c>
      <c r="P49" s="16" t="s">
        <v>106</v>
      </c>
    </row>
    <row r="50" spans="1:16" s="16" customFormat="1" ht="12.75" customHeight="1">
      <c r="A50" s="170" t="s">
        <v>213</v>
      </c>
      <c r="B50" s="170" t="s">
        <v>114</v>
      </c>
      <c r="C50" s="170" t="s">
        <v>115</v>
      </c>
      <c r="D50" s="171" t="s">
        <v>214</v>
      </c>
      <c r="E50" s="171" t="s">
        <v>215</v>
      </c>
      <c r="F50" s="170" t="s">
        <v>216</v>
      </c>
      <c r="G50" s="172">
        <v>90</v>
      </c>
      <c r="H50" s="173">
        <v>49</v>
      </c>
      <c r="I50" s="173">
        <f t="shared" si="6"/>
        <v>4410</v>
      </c>
      <c r="J50" s="174">
        <v>0.001</v>
      </c>
      <c r="K50" s="172">
        <f t="shared" si="7"/>
        <v>0.09</v>
      </c>
      <c r="L50" s="174">
        <v>0</v>
      </c>
      <c r="M50" s="172">
        <f t="shared" si="8"/>
        <v>0</v>
      </c>
      <c r="N50" s="175">
        <v>20</v>
      </c>
      <c r="O50" s="176">
        <v>32</v>
      </c>
      <c r="P50" s="171" t="s">
        <v>106</v>
      </c>
    </row>
    <row r="51" spans="1:16" s="16" customFormat="1" ht="12.75" customHeight="1">
      <c r="A51" s="164" t="s">
        <v>217</v>
      </c>
      <c r="B51" s="164" t="s">
        <v>109</v>
      </c>
      <c r="C51" s="164" t="s">
        <v>208</v>
      </c>
      <c r="D51" s="16" t="s">
        <v>218</v>
      </c>
      <c r="E51" s="16" t="s">
        <v>219</v>
      </c>
      <c r="F51" s="164" t="s">
        <v>113</v>
      </c>
      <c r="G51" s="165">
        <v>215</v>
      </c>
      <c r="H51" s="166">
        <v>350</v>
      </c>
      <c r="I51" s="166">
        <f t="shared" si="6"/>
        <v>75250</v>
      </c>
      <c r="J51" s="167">
        <v>0.001</v>
      </c>
      <c r="K51" s="165">
        <f t="shared" si="7"/>
        <v>0.215</v>
      </c>
      <c r="L51" s="167">
        <v>0</v>
      </c>
      <c r="M51" s="165">
        <f t="shared" si="8"/>
        <v>0</v>
      </c>
      <c r="N51" s="168">
        <v>20</v>
      </c>
      <c r="O51" s="169">
        <v>16</v>
      </c>
      <c r="P51" s="16" t="s">
        <v>106</v>
      </c>
    </row>
    <row r="52" spans="1:16" s="16" customFormat="1" ht="12.75" customHeight="1">
      <c r="A52" s="164" t="s">
        <v>220</v>
      </c>
      <c r="B52" s="164" t="s">
        <v>109</v>
      </c>
      <c r="C52" s="164" t="s">
        <v>208</v>
      </c>
      <c r="D52" s="16" t="s">
        <v>221</v>
      </c>
      <c r="E52" s="16" t="s">
        <v>222</v>
      </c>
      <c r="F52" s="164" t="s">
        <v>113</v>
      </c>
      <c r="G52" s="165">
        <v>430</v>
      </c>
      <c r="H52" s="166">
        <v>73.8</v>
      </c>
      <c r="I52" s="166">
        <f t="shared" si="6"/>
        <v>31734</v>
      </c>
      <c r="J52" s="167">
        <v>0.0004</v>
      </c>
      <c r="K52" s="165">
        <f t="shared" si="7"/>
        <v>0.17200000000000001</v>
      </c>
      <c r="L52" s="167">
        <v>0</v>
      </c>
      <c r="M52" s="165">
        <f t="shared" si="8"/>
        <v>0</v>
      </c>
      <c r="N52" s="168">
        <v>20</v>
      </c>
      <c r="O52" s="169">
        <v>16</v>
      </c>
      <c r="P52" s="16" t="s">
        <v>106</v>
      </c>
    </row>
    <row r="53" spans="1:16" s="16" customFormat="1" ht="12.75" customHeight="1">
      <c r="A53" s="170" t="s">
        <v>223</v>
      </c>
      <c r="B53" s="170" t="s">
        <v>114</v>
      </c>
      <c r="C53" s="170" t="s">
        <v>115</v>
      </c>
      <c r="D53" s="171" t="s">
        <v>224</v>
      </c>
      <c r="E53" s="171" t="s">
        <v>225</v>
      </c>
      <c r="F53" s="170" t="s">
        <v>113</v>
      </c>
      <c r="G53" s="172">
        <v>494.5</v>
      </c>
      <c r="H53" s="173">
        <v>151</v>
      </c>
      <c r="I53" s="173">
        <f t="shared" si="6"/>
        <v>74669.5</v>
      </c>
      <c r="J53" s="174">
        <v>0.0045</v>
      </c>
      <c r="K53" s="172">
        <f t="shared" si="7"/>
        <v>2.22525</v>
      </c>
      <c r="L53" s="174">
        <v>0</v>
      </c>
      <c r="M53" s="172">
        <f t="shared" si="8"/>
        <v>0</v>
      </c>
      <c r="N53" s="175">
        <v>20</v>
      </c>
      <c r="O53" s="176">
        <v>32</v>
      </c>
      <c r="P53" s="171" t="s">
        <v>106</v>
      </c>
    </row>
    <row r="54" spans="1:16" s="16" customFormat="1" ht="12.75" customHeight="1">
      <c r="A54" s="164" t="s">
        <v>226</v>
      </c>
      <c r="B54" s="164" t="s">
        <v>109</v>
      </c>
      <c r="C54" s="164" t="s">
        <v>208</v>
      </c>
      <c r="D54" s="16" t="s">
        <v>227</v>
      </c>
      <c r="E54" s="16" t="s">
        <v>228</v>
      </c>
      <c r="F54" s="164" t="s">
        <v>152</v>
      </c>
      <c r="G54" s="165">
        <v>2.702</v>
      </c>
      <c r="H54" s="166">
        <v>866</v>
      </c>
      <c r="I54" s="166">
        <f t="shared" si="6"/>
        <v>2339.93</v>
      </c>
      <c r="J54" s="167">
        <v>0</v>
      </c>
      <c r="K54" s="165">
        <f t="shared" si="7"/>
        <v>0</v>
      </c>
      <c r="L54" s="167">
        <v>0</v>
      </c>
      <c r="M54" s="165">
        <f t="shared" si="8"/>
        <v>0</v>
      </c>
      <c r="N54" s="168">
        <v>20</v>
      </c>
      <c r="O54" s="169">
        <v>16</v>
      </c>
      <c r="P54" s="16" t="s">
        <v>106</v>
      </c>
    </row>
    <row r="55" spans="2:16" s="136" customFormat="1" ht="12.75" customHeight="1">
      <c r="B55" s="141" t="s">
        <v>62</v>
      </c>
      <c r="D55" s="142" t="s">
        <v>229</v>
      </c>
      <c r="E55" s="142" t="s">
        <v>230</v>
      </c>
      <c r="I55" s="143">
        <f>SUM(I56:I59)</f>
        <v>69582.31</v>
      </c>
      <c r="K55" s="144">
        <f>SUM(K56:K59)</f>
        <v>0.4171</v>
      </c>
      <c r="M55" s="144">
        <f>SUM(M56:M59)</f>
        <v>0</v>
      </c>
      <c r="P55" s="142" t="s">
        <v>108</v>
      </c>
    </row>
    <row r="56" spans="1:16" s="16" customFormat="1" ht="12.75" customHeight="1">
      <c r="A56" s="164" t="s">
        <v>231</v>
      </c>
      <c r="B56" s="164" t="s">
        <v>109</v>
      </c>
      <c r="C56" s="164" t="s">
        <v>229</v>
      </c>
      <c r="D56" s="16" t="s">
        <v>232</v>
      </c>
      <c r="E56" s="16" t="s">
        <v>233</v>
      </c>
      <c r="F56" s="164" t="s">
        <v>113</v>
      </c>
      <c r="G56" s="165">
        <v>215</v>
      </c>
      <c r="H56" s="166">
        <v>16.3</v>
      </c>
      <c r="I56" s="166">
        <f>ROUND(G56*H56,2)</f>
        <v>3504.5</v>
      </c>
      <c r="J56" s="167">
        <v>0</v>
      </c>
      <c r="K56" s="165">
        <f>G56*J56</f>
        <v>0</v>
      </c>
      <c r="L56" s="167">
        <v>0</v>
      </c>
      <c r="M56" s="165">
        <f>G56*L56</f>
        <v>0</v>
      </c>
      <c r="N56" s="168">
        <v>20</v>
      </c>
      <c r="O56" s="169">
        <v>16</v>
      </c>
      <c r="P56" s="16" t="s">
        <v>106</v>
      </c>
    </row>
    <row r="57" spans="1:16" s="16" customFormat="1" ht="12.75" customHeight="1">
      <c r="A57" s="170" t="s">
        <v>234</v>
      </c>
      <c r="B57" s="170" t="s">
        <v>114</v>
      </c>
      <c r="C57" s="170" t="s">
        <v>115</v>
      </c>
      <c r="D57" s="171" t="s">
        <v>235</v>
      </c>
      <c r="E57" s="171" t="s">
        <v>236</v>
      </c>
      <c r="F57" s="170" t="s">
        <v>113</v>
      </c>
      <c r="G57" s="172">
        <v>219.3</v>
      </c>
      <c r="H57" s="173">
        <v>256</v>
      </c>
      <c r="I57" s="173">
        <f>ROUND(G57*H57,2)</f>
        <v>56140.8</v>
      </c>
      <c r="J57" s="174">
        <v>0.0015</v>
      </c>
      <c r="K57" s="172">
        <f>G57*J57</f>
        <v>0.32895</v>
      </c>
      <c r="L57" s="174">
        <v>0</v>
      </c>
      <c r="M57" s="172">
        <f>G57*L57</f>
        <v>0</v>
      </c>
      <c r="N57" s="175">
        <v>20</v>
      </c>
      <c r="O57" s="176">
        <v>32</v>
      </c>
      <c r="P57" s="171" t="s">
        <v>106</v>
      </c>
    </row>
    <row r="58" spans="1:16" s="16" customFormat="1" ht="12.75" customHeight="1">
      <c r="A58" s="164" t="s">
        <v>237</v>
      </c>
      <c r="B58" s="164" t="s">
        <v>109</v>
      </c>
      <c r="C58" s="164" t="s">
        <v>229</v>
      </c>
      <c r="D58" s="16" t="s">
        <v>238</v>
      </c>
      <c r="E58" s="16" t="s">
        <v>239</v>
      </c>
      <c r="F58" s="164" t="s">
        <v>113</v>
      </c>
      <c r="G58" s="165">
        <v>215</v>
      </c>
      <c r="H58" s="166">
        <v>44.7</v>
      </c>
      <c r="I58" s="166">
        <f>ROUND(G58*H58,2)</f>
        <v>9610.5</v>
      </c>
      <c r="J58" s="167">
        <v>0.00041</v>
      </c>
      <c r="K58" s="165">
        <f>G58*J58</f>
        <v>0.08814999999999999</v>
      </c>
      <c r="L58" s="167">
        <v>0</v>
      </c>
      <c r="M58" s="165">
        <f>G58*L58</f>
        <v>0</v>
      </c>
      <c r="N58" s="168">
        <v>20</v>
      </c>
      <c r="O58" s="169">
        <v>16</v>
      </c>
      <c r="P58" s="16" t="s">
        <v>106</v>
      </c>
    </row>
    <row r="59" spans="1:16" s="16" customFormat="1" ht="12.75" customHeight="1">
      <c r="A59" s="164" t="s">
        <v>240</v>
      </c>
      <c r="B59" s="164" t="s">
        <v>109</v>
      </c>
      <c r="C59" s="164" t="s">
        <v>229</v>
      </c>
      <c r="D59" s="16" t="s">
        <v>241</v>
      </c>
      <c r="E59" s="16" t="s">
        <v>242</v>
      </c>
      <c r="F59" s="164" t="s">
        <v>152</v>
      </c>
      <c r="G59" s="165">
        <v>0.417</v>
      </c>
      <c r="H59" s="166">
        <v>783</v>
      </c>
      <c r="I59" s="166">
        <f>ROUND(G59*H59,2)</f>
        <v>326.51</v>
      </c>
      <c r="J59" s="167">
        <v>0</v>
      </c>
      <c r="K59" s="165">
        <f>G59*J59</f>
        <v>0</v>
      </c>
      <c r="L59" s="167">
        <v>0</v>
      </c>
      <c r="M59" s="165">
        <f>G59*L59</f>
        <v>0</v>
      </c>
      <c r="N59" s="168">
        <v>20</v>
      </c>
      <c r="O59" s="169">
        <v>16</v>
      </c>
      <c r="P59" s="16" t="s">
        <v>106</v>
      </c>
    </row>
    <row r="60" spans="2:16" s="136" customFormat="1" ht="12.75" customHeight="1">
      <c r="B60" s="141" t="s">
        <v>62</v>
      </c>
      <c r="D60" s="142" t="s">
        <v>243</v>
      </c>
      <c r="E60" s="142" t="s">
        <v>244</v>
      </c>
      <c r="I60" s="143">
        <f>SUM(I61:I63)</f>
        <v>8201.69</v>
      </c>
      <c r="K60" s="144">
        <f>SUM(K61:K63)</f>
        <v>0.19907</v>
      </c>
      <c r="M60" s="144">
        <f>SUM(M61:M63)</f>
        <v>0.04614</v>
      </c>
      <c r="P60" s="142" t="s">
        <v>108</v>
      </c>
    </row>
    <row r="61" spans="1:16" s="16" customFormat="1" ht="12.75" customHeight="1">
      <c r="A61" s="164" t="s">
        <v>245</v>
      </c>
      <c r="B61" s="164" t="s">
        <v>109</v>
      </c>
      <c r="C61" s="164" t="s">
        <v>243</v>
      </c>
      <c r="D61" s="16" t="s">
        <v>246</v>
      </c>
      <c r="E61" s="16" t="s">
        <v>247</v>
      </c>
      <c r="F61" s="164" t="s">
        <v>159</v>
      </c>
      <c r="G61" s="165">
        <v>17</v>
      </c>
      <c r="H61" s="166">
        <v>460</v>
      </c>
      <c r="I61" s="166">
        <f>ROUND(G61*H61,2)</f>
        <v>7820</v>
      </c>
      <c r="J61" s="167">
        <v>0.01171</v>
      </c>
      <c r="K61" s="165">
        <f>G61*J61</f>
        <v>0.19907</v>
      </c>
      <c r="L61" s="167">
        <v>0</v>
      </c>
      <c r="M61" s="165">
        <f>G61*L61</f>
        <v>0</v>
      </c>
      <c r="N61" s="168">
        <v>20</v>
      </c>
      <c r="O61" s="169">
        <v>16</v>
      </c>
      <c r="P61" s="16" t="s">
        <v>106</v>
      </c>
    </row>
    <row r="62" spans="1:16" s="16" customFormat="1" ht="12.75" customHeight="1">
      <c r="A62" s="164" t="s">
        <v>248</v>
      </c>
      <c r="B62" s="164" t="s">
        <v>109</v>
      </c>
      <c r="C62" s="164" t="s">
        <v>243</v>
      </c>
      <c r="D62" s="16" t="s">
        <v>249</v>
      </c>
      <c r="E62" s="16" t="s">
        <v>250</v>
      </c>
      <c r="F62" s="164" t="s">
        <v>165</v>
      </c>
      <c r="G62" s="165">
        <v>2</v>
      </c>
      <c r="H62" s="166">
        <v>140</v>
      </c>
      <c r="I62" s="166">
        <f>ROUND(G62*H62,2)</f>
        <v>280</v>
      </c>
      <c r="J62" s="167">
        <v>0</v>
      </c>
      <c r="K62" s="165">
        <f>G62*J62</f>
        <v>0</v>
      </c>
      <c r="L62" s="167">
        <v>0.02307</v>
      </c>
      <c r="M62" s="165">
        <f>G62*L62</f>
        <v>0.04614</v>
      </c>
      <c r="N62" s="168">
        <v>20</v>
      </c>
      <c r="O62" s="169">
        <v>16</v>
      </c>
      <c r="P62" s="16" t="s">
        <v>106</v>
      </c>
    </row>
    <row r="63" spans="1:16" s="16" customFormat="1" ht="12.75" customHeight="1">
      <c r="A63" s="164" t="s">
        <v>251</v>
      </c>
      <c r="B63" s="164" t="s">
        <v>109</v>
      </c>
      <c r="C63" s="164" t="s">
        <v>243</v>
      </c>
      <c r="D63" s="16" t="s">
        <v>252</v>
      </c>
      <c r="E63" s="16" t="s">
        <v>253</v>
      </c>
      <c r="F63" s="164" t="s">
        <v>152</v>
      </c>
      <c r="G63" s="165">
        <v>0.199</v>
      </c>
      <c r="H63" s="166">
        <v>511</v>
      </c>
      <c r="I63" s="166">
        <f>ROUND(G63*H63,2)</f>
        <v>101.69</v>
      </c>
      <c r="J63" s="167">
        <v>0</v>
      </c>
      <c r="K63" s="165">
        <f>G63*J63</f>
        <v>0</v>
      </c>
      <c r="L63" s="167">
        <v>0</v>
      </c>
      <c r="M63" s="165">
        <f>G63*L63</f>
        <v>0</v>
      </c>
      <c r="N63" s="168">
        <v>20</v>
      </c>
      <c r="O63" s="169">
        <v>16</v>
      </c>
      <c r="P63" s="16" t="s">
        <v>106</v>
      </c>
    </row>
    <row r="64" spans="2:16" s="136" customFormat="1" ht="12.75" customHeight="1">
      <c r="B64" s="141" t="s">
        <v>62</v>
      </c>
      <c r="D64" s="142" t="s">
        <v>254</v>
      </c>
      <c r="E64" s="142" t="s">
        <v>255</v>
      </c>
      <c r="I64" s="143">
        <f>SUM(I65:I67)</f>
        <v>20350.07</v>
      </c>
      <c r="K64" s="144">
        <f>SUM(K65:K67)</f>
        <v>0.042</v>
      </c>
      <c r="M64" s="144">
        <f>SUM(M65:M67)</f>
        <v>0</v>
      </c>
      <c r="P64" s="142" t="s">
        <v>108</v>
      </c>
    </row>
    <row r="65" spans="1:16" s="16" customFormat="1" ht="12.75" customHeight="1">
      <c r="A65" s="164" t="s">
        <v>256</v>
      </c>
      <c r="B65" s="164" t="s">
        <v>109</v>
      </c>
      <c r="C65" s="164" t="s">
        <v>254</v>
      </c>
      <c r="D65" s="16" t="s">
        <v>257</v>
      </c>
      <c r="E65" s="16" t="s">
        <v>258</v>
      </c>
      <c r="F65" s="164" t="s">
        <v>113</v>
      </c>
      <c r="G65" s="165">
        <v>3</v>
      </c>
      <c r="H65" s="166">
        <v>40.7</v>
      </c>
      <c r="I65" s="166">
        <f>ROUND(G65*H65,2)</f>
        <v>122.1</v>
      </c>
      <c r="J65" s="167">
        <v>0</v>
      </c>
      <c r="K65" s="165">
        <f>G65*J65</f>
        <v>0</v>
      </c>
      <c r="L65" s="167">
        <v>0</v>
      </c>
      <c r="M65" s="165">
        <f>G65*L65</f>
        <v>0</v>
      </c>
      <c r="N65" s="168">
        <v>20</v>
      </c>
      <c r="O65" s="169">
        <v>16</v>
      </c>
      <c r="P65" s="16" t="s">
        <v>106</v>
      </c>
    </row>
    <row r="66" spans="1:16" s="16" customFormat="1" ht="12.75" customHeight="1">
      <c r="A66" s="170" t="s">
        <v>259</v>
      </c>
      <c r="B66" s="170" t="s">
        <v>114</v>
      </c>
      <c r="C66" s="170" t="s">
        <v>115</v>
      </c>
      <c r="D66" s="171" t="s">
        <v>260</v>
      </c>
      <c r="E66" s="171" t="s">
        <v>261</v>
      </c>
      <c r="F66" s="170" t="s">
        <v>113</v>
      </c>
      <c r="G66" s="172">
        <v>3</v>
      </c>
      <c r="H66" s="173">
        <v>6730</v>
      </c>
      <c r="I66" s="173">
        <f>ROUND(G66*H66,2)</f>
        <v>20190</v>
      </c>
      <c r="J66" s="174">
        <v>0.014</v>
      </c>
      <c r="K66" s="172">
        <f>G66*J66</f>
        <v>0.042</v>
      </c>
      <c r="L66" s="174">
        <v>0</v>
      </c>
      <c r="M66" s="172">
        <f>G66*L66</f>
        <v>0</v>
      </c>
      <c r="N66" s="175">
        <v>20</v>
      </c>
      <c r="O66" s="176">
        <v>32</v>
      </c>
      <c r="P66" s="171" t="s">
        <v>106</v>
      </c>
    </row>
    <row r="67" spans="1:16" s="16" customFormat="1" ht="12.75" customHeight="1">
      <c r="A67" s="164" t="s">
        <v>262</v>
      </c>
      <c r="B67" s="164" t="s">
        <v>109</v>
      </c>
      <c r="C67" s="164" t="s">
        <v>254</v>
      </c>
      <c r="D67" s="16" t="s">
        <v>263</v>
      </c>
      <c r="E67" s="16" t="s">
        <v>264</v>
      </c>
      <c r="F67" s="164" t="s">
        <v>152</v>
      </c>
      <c r="G67" s="165">
        <v>0.042</v>
      </c>
      <c r="H67" s="166">
        <v>904</v>
      </c>
      <c r="I67" s="166">
        <f>ROUND(G67*H67,2)</f>
        <v>37.97</v>
      </c>
      <c r="J67" s="167">
        <v>0</v>
      </c>
      <c r="K67" s="165">
        <f>G67*J67</f>
        <v>0</v>
      </c>
      <c r="L67" s="167">
        <v>0</v>
      </c>
      <c r="M67" s="165">
        <f>G67*L67</f>
        <v>0</v>
      </c>
      <c r="N67" s="168">
        <v>20</v>
      </c>
      <c r="O67" s="169">
        <v>16</v>
      </c>
      <c r="P67" s="16" t="s">
        <v>106</v>
      </c>
    </row>
    <row r="68" spans="2:16" s="136" customFormat="1" ht="12.75" customHeight="1">
      <c r="B68" s="141" t="s">
        <v>62</v>
      </c>
      <c r="D68" s="142" t="s">
        <v>265</v>
      </c>
      <c r="E68" s="142" t="s">
        <v>266</v>
      </c>
      <c r="I68" s="143">
        <f>SUM(I69:I71)</f>
        <v>222140.39</v>
      </c>
      <c r="K68" s="144">
        <f>SUM(K69:K71)</f>
        <v>12.637699999999999</v>
      </c>
      <c r="M68" s="144">
        <f>SUM(M69:M71)</f>
        <v>0</v>
      </c>
      <c r="P68" s="142" t="s">
        <v>108</v>
      </c>
    </row>
    <row r="69" spans="1:16" s="16" customFormat="1" ht="12.75" customHeight="1">
      <c r="A69" s="164" t="s">
        <v>267</v>
      </c>
      <c r="B69" s="164" t="s">
        <v>109</v>
      </c>
      <c r="C69" s="164" t="s">
        <v>265</v>
      </c>
      <c r="D69" s="16" t="s">
        <v>268</v>
      </c>
      <c r="E69" s="16" t="s">
        <v>269</v>
      </c>
      <c r="F69" s="164" t="s">
        <v>113</v>
      </c>
      <c r="G69" s="165">
        <v>215</v>
      </c>
      <c r="H69" s="166">
        <v>450</v>
      </c>
      <c r="I69" s="166">
        <f>ROUND(G69*H69,2)</f>
        <v>96750</v>
      </c>
      <c r="J69" s="167">
        <v>0.03766</v>
      </c>
      <c r="K69" s="165">
        <f>G69*J69</f>
        <v>8.0969</v>
      </c>
      <c r="L69" s="167">
        <v>0</v>
      </c>
      <c r="M69" s="165">
        <f>G69*L69</f>
        <v>0</v>
      </c>
      <c r="N69" s="168">
        <v>20</v>
      </c>
      <c r="O69" s="169">
        <v>16</v>
      </c>
      <c r="P69" s="16" t="s">
        <v>106</v>
      </c>
    </row>
    <row r="70" spans="1:16" s="16" customFormat="1" ht="12.75" customHeight="1">
      <c r="A70" s="170" t="s">
        <v>270</v>
      </c>
      <c r="B70" s="170" t="s">
        <v>114</v>
      </c>
      <c r="C70" s="170" t="s">
        <v>115</v>
      </c>
      <c r="D70" s="171" t="s">
        <v>271</v>
      </c>
      <c r="E70" s="171" t="s">
        <v>272</v>
      </c>
      <c r="F70" s="170" t="s">
        <v>113</v>
      </c>
      <c r="G70" s="172">
        <v>236.5</v>
      </c>
      <c r="H70" s="173">
        <v>507</v>
      </c>
      <c r="I70" s="173">
        <f>ROUND(G70*H70,2)</f>
        <v>119905.5</v>
      </c>
      <c r="J70" s="174">
        <v>0.0192</v>
      </c>
      <c r="K70" s="172">
        <f>G70*J70</f>
        <v>4.5408</v>
      </c>
      <c r="L70" s="174">
        <v>0</v>
      </c>
      <c r="M70" s="172">
        <f>G70*L70</f>
        <v>0</v>
      </c>
      <c r="N70" s="175">
        <v>20</v>
      </c>
      <c r="O70" s="176">
        <v>32</v>
      </c>
      <c r="P70" s="171" t="s">
        <v>106</v>
      </c>
    </row>
    <row r="71" spans="1:16" s="16" customFormat="1" ht="12.75" customHeight="1">
      <c r="A71" s="164" t="s">
        <v>273</v>
      </c>
      <c r="B71" s="164" t="s">
        <v>109</v>
      </c>
      <c r="C71" s="164" t="s">
        <v>265</v>
      </c>
      <c r="D71" s="16" t="s">
        <v>274</v>
      </c>
      <c r="E71" s="16" t="s">
        <v>275</v>
      </c>
      <c r="F71" s="164" t="s">
        <v>152</v>
      </c>
      <c r="G71" s="165">
        <v>12.638</v>
      </c>
      <c r="H71" s="166">
        <v>434</v>
      </c>
      <c r="I71" s="166">
        <f>ROUND(G71*H71,2)</f>
        <v>5484.89</v>
      </c>
      <c r="J71" s="167">
        <v>0</v>
      </c>
      <c r="K71" s="165">
        <f>G71*J71</f>
        <v>0</v>
      </c>
      <c r="L71" s="167">
        <v>0</v>
      </c>
      <c r="M71" s="165">
        <f>G71*L71</f>
        <v>0</v>
      </c>
      <c r="N71" s="168">
        <v>20</v>
      </c>
      <c r="O71" s="169">
        <v>16</v>
      </c>
      <c r="P71" s="16" t="s">
        <v>106</v>
      </c>
    </row>
    <row r="72" spans="2:16" s="136" customFormat="1" ht="12.75" customHeight="1">
      <c r="B72" s="141" t="s">
        <v>62</v>
      </c>
      <c r="D72" s="142" t="s">
        <v>276</v>
      </c>
      <c r="E72" s="142" t="s">
        <v>277</v>
      </c>
      <c r="I72" s="143">
        <f>SUM(I73:I74)</f>
        <v>2380</v>
      </c>
      <c r="K72" s="144">
        <f>SUM(K73:K74)</f>
        <v>0.025500000000000002</v>
      </c>
      <c r="M72" s="144">
        <f>SUM(M73:M74)</f>
        <v>0</v>
      </c>
      <c r="P72" s="142" t="s">
        <v>108</v>
      </c>
    </row>
    <row r="73" spans="1:16" s="16" customFormat="1" ht="12.75" customHeight="1">
      <c r="A73" s="164" t="s">
        <v>278</v>
      </c>
      <c r="B73" s="164" t="s">
        <v>109</v>
      </c>
      <c r="C73" s="164" t="s">
        <v>276</v>
      </c>
      <c r="D73" s="16" t="s">
        <v>279</v>
      </c>
      <c r="E73" s="16" t="s">
        <v>280</v>
      </c>
      <c r="F73" s="164" t="s">
        <v>113</v>
      </c>
      <c r="G73" s="165">
        <v>50</v>
      </c>
      <c r="H73" s="166">
        <v>31.8</v>
      </c>
      <c r="I73" s="166">
        <f>ROUND(G73*H73,2)</f>
        <v>1590</v>
      </c>
      <c r="J73" s="167">
        <v>0.00039</v>
      </c>
      <c r="K73" s="165">
        <f>G73*J73</f>
        <v>0.0195</v>
      </c>
      <c r="L73" s="167">
        <v>0</v>
      </c>
      <c r="M73" s="165">
        <f>G73*L73</f>
        <v>0</v>
      </c>
      <c r="N73" s="168">
        <v>20</v>
      </c>
      <c r="O73" s="169">
        <v>16</v>
      </c>
      <c r="P73" s="16" t="s">
        <v>106</v>
      </c>
    </row>
    <row r="74" spans="1:16" s="16" customFormat="1" ht="12.75" customHeight="1">
      <c r="A74" s="164" t="s">
        <v>281</v>
      </c>
      <c r="B74" s="164" t="s">
        <v>109</v>
      </c>
      <c r="C74" s="164" t="s">
        <v>276</v>
      </c>
      <c r="D74" s="16" t="s">
        <v>282</v>
      </c>
      <c r="E74" s="16" t="s">
        <v>283</v>
      </c>
      <c r="F74" s="164" t="s">
        <v>113</v>
      </c>
      <c r="G74" s="165">
        <v>50</v>
      </c>
      <c r="H74" s="166">
        <v>15.8</v>
      </c>
      <c r="I74" s="166">
        <f>ROUND(G74*H74,2)</f>
        <v>790</v>
      </c>
      <c r="J74" s="167">
        <v>0.00012</v>
      </c>
      <c r="K74" s="165">
        <f>G74*J74</f>
        <v>0.006</v>
      </c>
      <c r="L74" s="167">
        <v>0</v>
      </c>
      <c r="M74" s="165">
        <f>G74*L74</f>
        <v>0</v>
      </c>
      <c r="N74" s="168">
        <v>20</v>
      </c>
      <c r="O74" s="169">
        <v>16</v>
      </c>
      <c r="P74" s="16" t="s">
        <v>106</v>
      </c>
    </row>
    <row r="75" spans="5:13" s="149" customFormat="1" ht="12.75" customHeight="1">
      <c r="E75" s="150" t="s">
        <v>88</v>
      </c>
      <c r="I75" s="151">
        <f>I14+I47</f>
        <v>1631841.95</v>
      </c>
      <c r="K75" s="152">
        <f>K14+K47</f>
        <v>588.9260275</v>
      </c>
      <c r="M75" s="152">
        <f>M14+M47</f>
        <v>154.10014</v>
      </c>
    </row>
  </sheetData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dcterms:modified xsi:type="dcterms:W3CDTF">2013-02-19T09:14:27Z</dcterms:modified>
  <cp:category/>
  <cp:version/>
  <cp:contentType/>
  <cp:contentStatus/>
</cp:coreProperties>
</file>