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<sst xmlns="http://schemas.openxmlformats.org/spreadsheetml/2006/main" count="216" uniqueCount="148">
  <si>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</si>
  <si>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</si>
  <si>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</si>
  <si>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</si>
  <si>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</si>
  <si>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</si>
  <si>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</si>
  <si>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</si>
  <si>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</si>
  <si>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</si>
  <si>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</si>
  <si>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</si>
  <si>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</si>
  <si>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</si>
  <si>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</si>
  <si>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</si>
  <si>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</si>
  <si>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</si>
  <si>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</si>
  <si>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</si>
  <si>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</si>
  <si>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</si>
  <si>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34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</si>
  <si>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</si>
  <si>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</si>
  <si>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</si>
  <si>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</si>
  <si>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</si>
  <si>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</si>
  <si>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</si>
  <si>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</si>
  <si>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</si>
  <si>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</si>
  <si>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</si>
  <si>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</si>
  <si>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</si>
  <si>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</si>
  <si>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</si>
  <si>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Objekt</t>
  </si>
  <si>
    <t>Kód</t>
  </si>
  <si>
    <t>M21</t>
  </si>
  <si>
    <t>210100010RAC</t>
  </si>
  <si>
    <t>210021481R00</t>
  </si>
  <si>
    <t>210110006RT1</t>
  </si>
  <si>
    <t>210111144RT1</t>
  </si>
  <si>
    <t>210110040RT1</t>
  </si>
  <si>
    <t>210110047RT2</t>
  </si>
  <si>
    <t>210810214R00</t>
  </si>
  <si>
    <t>210810366R00</t>
  </si>
  <si>
    <t>210810325R00</t>
  </si>
  <si>
    <t>210810361R00</t>
  </si>
  <si>
    <t>210220551R00</t>
  </si>
  <si>
    <t>M22</t>
  </si>
  <si>
    <t>220300963R00</t>
  </si>
  <si>
    <t>220260023R00</t>
  </si>
  <si>
    <t>M74</t>
  </si>
  <si>
    <t>744261120R00</t>
  </si>
  <si>
    <t>35889029.A</t>
  </si>
  <si>
    <t>35822401</t>
  </si>
  <si>
    <t>35822174</t>
  </si>
  <si>
    <t>35822127</t>
  </si>
  <si>
    <t>35441846</t>
  </si>
  <si>
    <t>35712346</t>
  </si>
  <si>
    <t>35822131</t>
  </si>
  <si>
    <t>55128222</t>
  </si>
  <si>
    <t>348241105</t>
  </si>
  <si>
    <t>34814120</t>
  </si>
  <si>
    <t>35811258</t>
  </si>
  <si>
    <t>35811071</t>
  </si>
  <si>
    <t>3457114723</t>
  </si>
  <si>
    <t>3457114720</t>
  </si>
  <si>
    <t>34572177</t>
  </si>
  <si>
    <t>673909992034</t>
  </si>
  <si>
    <t>35442080</t>
  </si>
  <si>
    <t>35443112</t>
  </si>
  <si>
    <t>Zkrácený popis</t>
  </si>
  <si>
    <t>Elektromontáže</t>
  </si>
  <si>
    <t>Přípojka elektro v zemi</t>
  </si>
  <si>
    <t>Osazení kotevního dílce</t>
  </si>
  <si>
    <t>Spínač nástěnný trojpól.40A - řaz. 3, obyč.prostř.</t>
  </si>
  <si>
    <t>Zásuvka průmyslová CPG 6343, 45 H,S,Z 3P+Z</t>
  </si>
  <si>
    <t>Spínač zapuštěný jednopólový + doutnavka</t>
  </si>
  <si>
    <t>Spínač zapuštěný jednopólový se signál. doutnavkou</t>
  </si>
  <si>
    <t>Kabel  CYKY  5x 10mm2</t>
  </si>
  <si>
    <t>Kabel  CYKY  3 x 2,5 mm2</t>
  </si>
  <si>
    <t>Kabel  CYKY 3 x 1,5 mm2</t>
  </si>
  <si>
    <t>Kabel  CYKY 5 x 2,5 mm2</t>
  </si>
  <si>
    <t>Pásovina zemnící z Fezn  30x4 do základu a výkopu</t>
  </si>
  <si>
    <t>Montáže sdělovací a zabezpečovací techniky</t>
  </si>
  <si>
    <t>Svorka řadová  RS 16</t>
  </si>
  <si>
    <t>Krabice KR 68 ve zdi včetně vysekání lůžka</t>
  </si>
  <si>
    <t>Elektromontážní práce (silnoproud)</t>
  </si>
  <si>
    <t>Mtz vodic dratov cy-16 mm2</t>
  </si>
  <si>
    <t>Ostatní materiál</t>
  </si>
  <si>
    <t>Chránič proudový OFI40/4/030   OFI 40</t>
  </si>
  <si>
    <t>Jistič do 63 A 3pólový charakter. B LPN-16B-3</t>
  </si>
  <si>
    <t>Jistič do 63 A 1+N pólový charakter.C  LPN-10C-1N</t>
  </si>
  <si>
    <t>Jistič do 63 A 1+N pólový charakter.B  LPN-10B-1N</t>
  </si>
  <si>
    <t>Štítek označovací</t>
  </si>
  <si>
    <t>Skříň rozvaděčová NP 65-1208040</t>
  </si>
  <si>
    <t>Jistič do 63 A 1+N pólový charakter.B  LPN-25B-1N</t>
  </si>
  <si>
    <t>Sběrnice pospojení</t>
  </si>
  <si>
    <t>Svítidlo podhled.zářivkové BALOT-136-AR-K,1x36W</t>
  </si>
  <si>
    <t>Svítidlo stropní zářivkové FALCON-118 PX-K-1x18W</t>
  </si>
  <si>
    <t>Zásuvka nástěnná IZS 3232 32A 220V horní přívod</t>
  </si>
  <si>
    <t>Zásuvka nástěnná IZG 1643 16 A 380 V horní přívod</t>
  </si>
  <si>
    <t>Trubka kabelová chránička KOPODUR KD 09090</t>
  </si>
  <si>
    <t>Trubka kabelová chránička KOPODUR KD 09050</t>
  </si>
  <si>
    <t>Lišta hranatá LHD 60x40, délka 3m</t>
  </si>
  <si>
    <t>Fólie výstražná šířka 34 cm červená síťovina</t>
  </si>
  <si>
    <t>Tyč zemnící  ZT 1,0  1000 mm</t>
  </si>
  <si>
    <t>Svorka k zemnící tyči Cu   SJ2 Cu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</si>
  <si>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</si>
  <si>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</si>
  <si>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</si>
  <si>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</si>
  <si>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</si>
  <si>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</si>
  <si>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</si>
  <si>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</si>
  <si>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</si>
  <si>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</si>
  <si>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</si>
  <si>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</si>
  <si>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</si>
  <si>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</si>
  <si>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</si>
  <si>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</si>
  <si>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</si>
  <si>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</si>
  <si>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</si>
  <si>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</si>
  <si>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0</t>
  </si>
  <si>
    <t>Přesuny</t>
  </si>
  <si>
    <t>Typ skupiny</t>
  </si>
  <si>
    <t>MP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</si>
  <si>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</si>
  <si>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</si>
  <si>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</si>
  <si>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</si>
  <si>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</si>
  <si>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</si>
  <si>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</si>
  <si>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</si>
  <si>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Přestavba garáží s přístřeškem</t>
  </si>
  <si>
    <t>58</t>
  </si>
  <si>
    <t>59</t>
  </si>
  <si>
    <t>60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</si>
</sst>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38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24" fillId="20" borderId="0" applyNumberFormat="0" applyBorder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8"/>
  <sheetViews>
    <sheetView tabSelected="1" zoomScalePageLayoutView="0" workbookViewId="0" topLeftCell="A1">
      <selection activeCell="D6" sqref="D6:D7"/>
    </sheetView>
  </sheetViews>
  <sheetFormatPr defaultColWidth="11.421875" defaultRowHeight="12.75"/>
  <cols>
    <col min="1" max="2" width="3.7109375" style="0" customWidth="1"/>
    <col min="3" max="3" width="13.28125" style="0" customWidth="1"/>
    <col min="4" max="4" width="48.7109375" style="0" customWidth="1"/>
    <col min="5" max="5" width="4.28125" style="0" customWidth="1"/>
    <col min="6" max="6" width="10.8515625" style="0" customWidth="1"/>
    <col min="7" max="7" width="12.00390625" style="25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</cols>
  <sheetData>
    <row r="1" spans="1:12" ht="21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ht="12.75">
      <c r="A2" s="46" t="s">
        <v>1</v>
      </c>
      <c r="B2" s="39"/>
      <c r="C2" s="39"/>
      <c r="D2" s="30" t="s">
        <v>144</v>
      </c>
      <c r="E2" s="35" t="s">
        <v>112</v>
      </c>
      <c r="F2" s="39"/>
      <c r="G2" s="35"/>
      <c r="H2" s="39"/>
      <c r="I2" s="35" t="s">
        <v>125</v>
      </c>
      <c r="J2" s="35"/>
      <c r="K2" s="39"/>
      <c r="L2" s="40"/>
      <c r="M2" s="17"/>
    </row>
    <row r="3" spans="1:13" ht="12.75">
      <c r="A3" s="47"/>
      <c r="B3" s="36"/>
      <c r="C3" s="36"/>
      <c r="D3" s="50"/>
      <c r="E3" s="36"/>
      <c r="F3" s="36"/>
      <c r="G3" s="36"/>
      <c r="H3" s="36"/>
      <c r="I3" s="36"/>
      <c r="J3" s="36"/>
      <c r="K3" s="36"/>
      <c r="L3" s="41"/>
      <c r="M3" s="17"/>
    </row>
    <row r="4" spans="1:13" ht="12.75">
      <c r="A4" s="48" t="s">
        <v>2</v>
      </c>
      <c r="B4" s="36"/>
      <c r="C4" s="36"/>
      <c r="D4" s="37"/>
      <c r="E4" s="37" t="s">
        <v>113</v>
      </c>
      <c r="F4" s="36"/>
      <c r="G4" s="43">
        <v>41248</v>
      </c>
      <c r="H4" s="36"/>
      <c r="I4" s="37" t="s">
        <v>126</v>
      </c>
      <c r="J4" s="37"/>
      <c r="K4" s="36"/>
      <c r="L4" s="41"/>
      <c r="M4" s="17"/>
    </row>
    <row r="5" spans="1:13" ht="12.75">
      <c r="A5" s="47"/>
      <c r="B5" s="36"/>
      <c r="C5" s="36"/>
      <c r="D5" s="36"/>
      <c r="E5" s="36"/>
      <c r="F5" s="36"/>
      <c r="G5" s="36"/>
      <c r="H5" s="36"/>
      <c r="I5" s="36"/>
      <c r="J5" s="36"/>
      <c r="K5" s="36"/>
      <c r="L5" s="41"/>
      <c r="M5" s="17"/>
    </row>
    <row r="6" spans="1:13" ht="12.75">
      <c r="A6" s="48" t="s">
        <v>3</v>
      </c>
      <c r="B6" s="36"/>
      <c r="C6" s="36"/>
      <c r="D6" s="37"/>
      <c r="E6" s="37" t="s">
        <v>114</v>
      </c>
      <c r="F6" s="36"/>
      <c r="G6" s="36"/>
      <c r="H6" s="36"/>
      <c r="I6" s="37" t="s">
        <v>127</v>
      </c>
      <c r="J6" s="37"/>
      <c r="K6" s="36"/>
      <c r="L6" s="41"/>
      <c r="M6" s="17"/>
    </row>
    <row r="7" spans="1:13" ht="12.75">
      <c r="A7" s="47"/>
      <c r="B7" s="36"/>
      <c r="C7" s="36"/>
      <c r="D7" s="51"/>
      <c r="E7" s="36"/>
      <c r="F7" s="36"/>
      <c r="G7" s="36"/>
      <c r="H7" s="36"/>
      <c r="I7" s="36"/>
      <c r="J7" s="36"/>
      <c r="K7" s="36"/>
      <c r="L7" s="41"/>
      <c r="M7" s="17"/>
    </row>
    <row r="8" spans="1:13" ht="12.75">
      <c r="A8" s="48" t="s">
        <v>4</v>
      </c>
      <c r="B8" s="36"/>
      <c r="C8" s="36"/>
      <c r="D8" s="37"/>
      <c r="E8" s="37" t="s">
        <v>115</v>
      </c>
      <c r="F8" s="36"/>
      <c r="G8" s="43">
        <v>41248</v>
      </c>
      <c r="H8" s="36"/>
      <c r="I8" s="37" t="s">
        <v>128</v>
      </c>
      <c r="J8" s="37"/>
      <c r="K8" s="36"/>
      <c r="L8" s="41"/>
      <c r="M8" s="17"/>
    </row>
    <row r="9" spans="1:13" ht="12.75">
      <c r="A9" s="49"/>
      <c r="B9" s="38"/>
      <c r="C9" s="38"/>
      <c r="D9" s="38"/>
      <c r="E9" s="38"/>
      <c r="F9" s="38"/>
      <c r="G9" s="38"/>
      <c r="H9" s="38"/>
      <c r="I9" s="38"/>
      <c r="J9" s="38"/>
      <c r="K9" s="38"/>
      <c r="L9" s="42"/>
      <c r="M9" s="17"/>
    </row>
    <row r="10" spans="1:13" ht="12.75">
      <c r="A10" s="1" t="s">
        <v>5</v>
      </c>
      <c r="B10" s="7" t="s">
        <v>5</v>
      </c>
      <c r="C10" s="7" t="s">
        <v>5</v>
      </c>
      <c r="D10" s="7" t="s">
        <v>5</v>
      </c>
      <c r="E10" s="7" t="s">
        <v>5</v>
      </c>
      <c r="F10" s="7" t="s">
        <v>5</v>
      </c>
      <c r="G10" s="23" t="s">
        <v>120</v>
      </c>
      <c r="H10" s="32" t="s">
        <v>122</v>
      </c>
      <c r="I10" s="33"/>
      <c r="J10" s="34"/>
      <c r="K10" s="32" t="s">
        <v>131</v>
      </c>
      <c r="L10" s="34"/>
      <c r="M10" s="18"/>
    </row>
    <row r="11" spans="1:24" ht="12.75">
      <c r="A11" s="2" t="s">
        <v>6</v>
      </c>
      <c r="B11" s="8" t="s">
        <v>38</v>
      </c>
      <c r="C11" s="8" t="s">
        <v>39</v>
      </c>
      <c r="D11" s="8" t="s">
        <v>75</v>
      </c>
      <c r="E11" s="8" t="s">
        <v>116</v>
      </c>
      <c r="F11" s="10" t="s">
        <v>119</v>
      </c>
      <c r="G11" s="24" t="s">
        <v>121</v>
      </c>
      <c r="H11" s="13" t="s">
        <v>123</v>
      </c>
      <c r="I11" s="14" t="s">
        <v>129</v>
      </c>
      <c r="J11" s="15" t="s">
        <v>130</v>
      </c>
      <c r="K11" s="13" t="s">
        <v>120</v>
      </c>
      <c r="L11" s="15" t="s">
        <v>130</v>
      </c>
      <c r="M11" s="18"/>
      <c r="P11" s="16" t="s">
        <v>133</v>
      </c>
      <c r="Q11" s="16" t="s">
        <v>134</v>
      </c>
      <c r="R11" s="16" t="s">
        <v>137</v>
      </c>
      <c r="S11" s="16" t="s">
        <v>138</v>
      </c>
      <c r="T11" s="16" t="s">
        <v>139</v>
      </c>
      <c r="U11" s="16" t="s">
        <v>140</v>
      </c>
      <c r="V11" s="16" t="s">
        <v>141</v>
      </c>
      <c r="W11" s="16" t="s">
        <v>142</v>
      </c>
      <c r="X11" s="16" t="s">
        <v>143</v>
      </c>
    </row>
    <row r="12" spans="1:37" ht="12.75">
      <c r="A12" s="4"/>
      <c r="B12" s="4"/>
      <c r="C12" s="9" t="s">
        <v>40</v>
      </c>
      <c r="D12" s="28" t="s">
        <v>76</v>
      </c>
      <c r="E12" s="29"/>
      <c r="F12" s="29"/>
      <c r="G12" s="29"/>
      <c r="H12" s="20">
        <f>SUM(H13:H23)</f>
        <v>0</v>
      </c>
      <c r="I12" s="20">
        <f>SUM(I13:I23)</f>
        <v>0</v>
      </c>
      <c r="J12" s="20">
        <f>H12+I12</f>
        <v>0</v>
      </c>
      <c r="K12" s="16"/>
      <c r="L12" s="20">
        <f>SUM(L13:L23)</f>
        <v>4.56158</v>
      </c>
      <c r="P12" s="20">
        <f>IF(Q12="PR",J12,SUM(O13:O23))</f>
        <v>0</v>
      </c>
      <c r="Q12" s="16" t="s">
        <v>135</v>
      </c>
      <c r="R12" s="20">
        <f>IF(Q12="HS",H12,0)</f>
        <v>0</v>
      </c>
      <c r="S12" s="20">
        <f>IF(Q12="HS",I12-P12,0)</f>
        <v>0</v>
      </c>
      <c r="T12" s="20">
        <f>IF(Q12="PS",H12,0)</f>
        <v>0</v>
      </c>
      <c r="U12" s="20">
        <f>IF(Q12="PS",I12-P12,0)</f>
        <v>0</v>
      </c>
      <c r="V12" s="20">
        <f>IF(Q12="MP",H12,0)</f>
        <v>0</v>
      </c>
      <c r="W12" s="20">
        <f>IF(Q12="MP",I12-P12,0)</f>
        <v>0</v>
      </c>
      <c r="X12" s="20">
        <f>IF(Q12="OM",H12,0)</f>
        <v>0</v>
      </c>
      <c r="Y12" s="16"/>
      <c r="AI12" s="20">
        <f>SUM(Z13:Z23)</f>
        <v>0</v>
      </c>
      <c r="AJ12" s="20">
        <f>SUM(AA13:AA23)</f>
        <v>0</v>
      </c>
      <c r="AK12" s="20">
        <f>SUM(AB13:AB23)</f>
        <v>0</v>
      </c>
    </row>
    <row r="13" spans="1:32" ht="12.75">
      <c r="A13" s="3" t="s">
        <v>9</v>
      </c>
      <c r="B13" s="3"/>
      <c r="C13" s="3" t="s">
        <v>41</v>
      </c>
      <c r="D13" s="3" t="s">
        <v>77</v>
      </c>
      <c r="E13" s="3" t="s">
        <v>118</v>
      </c>
      <c r="F13" s="11">
        <v>20</v>
      </c>
      <c r="G13" s="25">
        <v>0</v>
      </c>
      <c r="H13" s="11">
        <f aca="true" t="shared" si="0" ref="H13:H23">ROUND(F13*AE13,2)</f>
        <v>0</v>
      </c>
      <c r="I13" s="11">
        <f aca="true" t="shared" si="1" ref="I13:I23">J13-H13</f>
        <v>0</v>
      </c>
      <c r="J13" s="11">
        <f aca="true" t="shared" si="2" ref="J13:J23">ROUND(F13*G13,2)</f>
        <v>0</v>
      </c>
      <c r="K13" s="11">
        <v>0.228</v>
      </c>
      <c r="L13" s="11">
        <f aca="true" t="shared" si="3" ref="L13:L23">F13*K13</f>
        <v>4.5600000000000005</v>
      </c>
      <c r="N13" s="19" t="s">
        <v>8</v>
      </c>
      <c r="O13" s="11">
        <f aca="true" t="shared" si="4" ref="O13:O23">IF(N13="5",I13,0)</f>
        <v>0</v>
      </c>
      <c r="Z13" s="11">
        <f aca="true" t="shared" si="5" ref="Z13:Z23">IF(AD13=0,J13,0)</f>
        <v>0</v>
      </c>
      <c r="AA13" s="11">
        <f aca="true" t="shared" si="6" ref="AA13:AA23">IF(AD13=14,J13,0)</f>
        <v>0</v>
      </c>
      <c r="AB13" s="11">
        <f aca="true" t="shared" si="7" ref="AB13:AB23">IF(AD13=20,J13,0)</f>
        <v>0</v>
      </c>
      <c r="AD13" s="11">
        <v>20</v>
      </c>
      <c r="AE13" s="11">
        <f>G13*0.46045711006981</f>
        <v>0</v>
      </c>
      <c r="AF13" s="11">
        <f>G13*(1-0.46045711006981)</f>
        <v>0</v>
      </c>
    </row>
    <row r="14" spans="1:32" ht="12.75">
      <c r="A14" s="3" t="s">
        <v>10</v>
      </c>
      <c r="B14" s="3"/>
      <c r="C14" s="3" t="s">
        <v>42</v>
      </c>
      <c r="D14" s="3" t="s">
        <v>78</v>
      </c>
      <c r="E14" s="3" t="s">
        <v>117</v>
      </c>
      <c r="F14" s="11">
        <v>18</v>
      </c>
      <c r="G14" s="25">
        <v>0</v>
      </c>
      <c r="H14" s="11">
        <f t="shared" si="0"/>
        <v>0</v>
      </c>
      <c r="I14" s="11">
        <f t="shared" si="1"/>
        <v>0</v>
      </c>
      <c r="J14" s="11">
        <f t="shared" si="2"/>
        <v>0</v>
      </c>
      <c r="K14" s="11">
        <v>0</v>
      </c>
      <c r="L14" s="11">
        <f t="shared" si="3"/>
        <v>0</v>
      </c>
      <c r="N14" s="19" t="s">
        <v>7</v>
      </c>
      <c r="O14" s="11">
        <f t="shared" si="4"/>
        <v>0</v>
      </c>
      <c r="Z14" s="11">
        <f t="shared" si="5"/>
        <v>0</v>
      </c>
      <c r="AA14" s="11">
        <f t="shared" si="6"/>
        <v>0</v>
      </c>
      <c r="AB14" s="11">
        <f t="shared" si="7"/>
        <v>0</v>
      </c>
      <c r="AD14" s="11">
        <v>20</v>
      </c>
      <c r="AE14" s="11">
        <f>G14*0.664880330623552</f>
        <v>0</v>
      </c>
      <c r="AF14" s="11">
        <f>G14*(1-0.664880330623552)</f>
        <v>0</v>
      </c>
    </row>
    <row r="15" spans="1:32" ht="12.75">
      <c r="A15" s="3" t="s">
        <v>11</v>
      </c>
      <c r="B15" s="3"/>
      <c r="C15" s="3" t="s">
        <v>43</v>
      </c>
      <c r="D15" s="3" t="s">
        <v>79</v>
      </c>
      <c r="E15" s="3" t="s">
        <v>117</v>
      </c>
      <c r="F15" s="11">
        <v>1</v>
      </c>
      <c r="G15" s="25">
        <v>0</v>
      </c>
      <c r="H15" s="11">
        <f t="shared" si="0"/>
        <v>0</v>
      </c>
      <c r="I15" s="11">
        <f t="shared" si="1"/>
        <v>0</v>
      </c>
      <c r="J15" s="11">
        <f t="shared" si="2"/>
        <v>0</v>
      </c>
      <c r="K15" s="11">
        <v>0.00025</v>
      </c>
      <c r="L15" s="11">
        <f t="shared" si="3"/>
        <v>0.00025</v>
      </c>
      <c r="N15" s="19" t="s">
        <v>7</v>
      </c>
      <c r="O15" s="11">
        <f t="shared" si="4"/>
        <v>0</v>
      </c>
      <c r="Z15" s="11">
        <f t="shared" si="5"/>
        <v>0</v>
      </c>
      <c r="AA15" s="11">
        <f t="shared" si="6"/>
        <v>0</v>
      </c>
      <c r="AB15" s="11">
        <f t="shared" si="7"/>
        <v>0</v>
      </c>
      <c r="AD15" s="11">
        <v>20</v>
      </c>
      <c r="AE15" s="11">
        <f>G15*0.558202643758532</f>
        <v>0</v>
      </c>
      <c r="AF15" s="11">
        <f>G15*(1-0.558202643758532)</f>
        <v>0</v>
      </c>
    </row>
    <row r="16" spans="1:32" ht="12.75">
      <c r="A16" s="3" t="s">
        <v>12</v>
      </c>
      <c r="B16" s="3"/>
      <c r="C16" s="3" t="s">
        <v>44</v>
      </c>
      <c r="D16" s="3" t="s">
        <v>80</v>
      </c>
      <c r="E16" s="3" t="s">
        <v>117</v>
      </c>
      <c r="F16" s="11">
        <v>1</v>
      </c>
      <c r="G16" s="25">
        <v>0</v>
      </c>
      <c r="H16" s="11">
        <f t="shared" si="0"/>
        <v>0</v>
      </c>
      <c r="I16" s="11">
        <f t="shared" si="1"/>
        <v>0</v>
      </c>
      <c r="J16" s="11">
        <f t="shared" si="2"/>
        <v>0</v>
      </c>
      <c r="K16" s="11">
        <v>0.00113</v>
      </c>
      <c r="L16" s="11">
        <f t="shared" si="3"/>
        <v>0.00113</v>
      </c>
      <c r="N16" s="19" t="s">
        <v>7</v>
      </c>
      <c r="O16" s="11">
        <f t="shared" si="4"/>
        <v>0</v>
      </c>
      <c r="Z16" s="11">
        <f t="shared" si="5"/>
        <v>0</v>
      </c>
      <c r="AA16" s="11">
        <f t="shared" si="6"/>
        <v>0</v>
      </c>
      <c r="AB16" s="11">
        <f t="shared" si="7"/>
        <v>0</v>
      </c>
      <c r="AD16" s="11">
        <v>20</v>
      </c>
      <c r="AE16" s="11">
        <f>G16*0.798734007186272</f>
        <v>0</v>
      </c>
      <c r="AF16" s="11">
        <f>G16*(1-0.798734007186272)</f>
        <v>0</v>
      </c>
    </row>
    <row r="17" spans="1:32" ht="12.75">
      <c r="A17" s="3" t="s">
        <v>13</v>
      </c>
      <c r="B17" s="3"/>
      <c r="C17" s="3" t="s">
        <v>45</v>
      </c>
      <c r="D17" s="3" t="s">
        <v>81</v>
      </c>
      <c r="E17" s="3" t="s">
        <v>117</v>
      </c>
      <c r="F17" s="11">
        <v>2</v>
      </c>
      <c r="G17" s="25">
        <v>0</v>
      </c>
      <c r="H17" s="11">
        <f t="shared" si="0"/>
        <v>0</v>
      </c>
      <c r="I17" s="11">
        <f t="shared" si="1"/>
        <v>0</v>
      </c>
      <c r="J17" s="11">
        <f t="shared" si="2"/>
        <v>0</v>
      </c>
      <c r="K17" s="11">
        <v>6E-05</v>
      </c>
      <c r="L17" s="11">
        <f t="shared" si="3"/>
        <v>0.00012</v>
      </c>
      <c r="N17" s="19" t="s">
        <v>7</v>
      </c>
      <c r="O17" s="11">
        <f t="shared" si="4"/>
        <v>0</v>
      </c>
      <c r="Z17" s="11">
        <f t="shared" si="5"/>
        <v>0</v>
      </c>
      <c r="AA17" s="11">
        <f t="shared" si="6"/>
        <v>0</v>
      </c>
      <c r="AB17" s="11">
        <f t="shared" si="7"/>
        <v>0</v>
      </c>
      <c r="AD17" s="11">
        <v>20</v>
      </c>
      <c r="AE17" s="11">
        <f>G17*0.60081289978678</f>
        <v>0</v>
      </c>
      <c r="AF17" s="11">
        <f>G17*(1-0.60081289978678)</f>
        <v>0</v>
      </c>
    </row>
    <row r="18" spans="1:32" ht="12.75">
      <c r="A18" s="3" t="s">
        <v>14</v>
      </c>
      <c r="B18" s="3"/>
      <c r="C18" s="3" t="s">
        <v>46</v>
      </c>
      <c r="D18" s="3" t="s">
        <v>82</v>
      </c>
      <c r="E18" s="3" t="s">
        <v>117</v>
      </c>
      <c r="F18" s="11">
        <v>2</v>
      </c>
      <c r="G18" s="25">
        <v>0</v>
      </c>
      <c r="H18" s="11">
        <f t="shared" si="0"/>
        <v>0</v>
      </c>
      <c r="I18" s="11">
        <f t="shared" si="1"/>
        <v>0</v>
      </c>
      <c r="J18" s="11">
        <f t="shared" si="2"/>
        <v>0</v>
      </c>
      <c r="K18" s="11">
        <v>4E-05</v>
      </c>
      <c r="L18" s="11">
        <f t="shared" si="3"/>
        <v>8E-05</v>
      </c>
      <c r="N18" s="19" t="s">
        <v>7</v>
      </c>
      <c r="O18" s="11">
        <f t="shared" si="4"/>
        <v>0</v>
      </c>
      <c r="Z18" s="11">
        <f t="shared" si="5"/>
        <v>0</v>
      </c>
      <c r="AA18" s="11">
        <f t="shared" si="6"/>
        <v>0</v>
      </c>
      <c r="AB18" s="11">
        <f t="shared" si="7"/>
        <v>0</v>
      </c>
      <c r="AD18" s="11">
        <v>20</v>
      </c>
      <c r="AE18" s="11">
        <f>G18*0.580269607843137</f>
        <v>0</v>
      </c>
      <c r="AF18" s="11">
        <f>G18*(1-0.580269607843137)</f>
        <v>0</v>
      </c>
    </row>
    <row r="19" spans="1:32" ht="12.75">
      <c r="A19" s="3" t="s">
        <v>15</v>
      </c>
      <c r="B19" s="3"/>
      <c r="C19" s="3" t="s">
        <v>47</v>
      </c>
      <c r="D19" s="3" t="s">
        <v>83</v>
      </c>
      <c r="E19" s="3" t="s">
        <v>118</v>
      </c>
      <c r="F19" s="11">
        <v>43</v>
      </c>
      <c r="G19" s="25">
        <v>0</v>
      </c>
      <c r="H19" s="11">
        <f t="shared" si="0"/>
        <v>0</v>
      </c>
      <c r="I19" s="11">
        <f t="shared" si="1"/>
        <v>0</v>
      </c>
      <c r="J19" s="11">
        <f t="shared" si="2"/>
        <v>0</v>
      </c>
      <c r="K19" s="11">
        <v>0</v>
      </c>
      <c r="L19" s="11">
        <f t="shared" si="3"/>
        <v>0</v>
      </c>
      <c r="N19" s="19" t="s">
        <v>7</v>
      </c>
      <c r="O19" s="11">
        <f t="shared" si="4"/>
        <v>0</v>
      </c>
      <c r="Z19" s="11">
        <f t="shared" si="5"/>
        <v>0</v>
      </c>
      <c r="AA19" s="11">
        <f t="shared" si="6"/>
        <v>0</v>
      </c>
      <c r="AB19" s="11">
        <f t="shared" si="7"/>
        <v>0</v>
      </c>
      <c r="AD19" s="11">
        <v>20</v>
      </c>
      <c r="AE19" s="11">
        <f>G19*0.719364211245941</f>
        <v>0</v>
      </c>
      <c r="AF19" s="11">
        <f>G19*(1-0.719364211245941)</f>
        <v>0</v>
      </c>
    </row>
    <row r="20" spans="1:32" ht="12.75">
      <c r="A20" s="3" t="s">
        <v>16</v>
      </c>
      <c r="B20" s="3"/>
      <c r="C20" s="3" t="s">
        <v>48</v>
      </c>
      <c r="D20" s="3" t="s">
        <v>84</v>
      </c>
      <c r="E20" s="3" t="s">
        <v>118</v>
      </c>
      <c r="F20" s="11">
        <v>43</v>
      </c>
      <c r="G20" s="25">
        <v>0</v>
      </c>
      <c r="H20" s="11">
        <f t="shared" si="0"/>
        <v>0</v>
      </c>
      <c r="I20" s="11">
        <f t="shared" si="1"/>
        <v>0</v>
      </c>
      <c r="J20" s="11">
        <f t="shared" si="2"/>
        <v>0</v>
      </c>
      <c r="K20" s="11">
        <v>0</v>
      </c>
      <c r="L20" s="11">
        <f t="shared" si="3"/>
        <v>0</v>
      </c>
      <c r="N20" s="19" t="s">
        <v>7</v>
      </c>
      <c r="O20" s="11">
        <f t="shared" si="4"/>
        <v>0</v>
      </c>
      <c r="Z20" s="11">
        <f t="shared" si="5"/>
        <v>0</v>
      </c>
      <c r="AA20" s="11">
        <f t="shared" si="6"/>
        <v>0</v>
      </c>
      <c r="AB20" s="11">
        <f t="shared" si="7"/>
        <v>0</v>
      </c>
      <c r="AD20" s="11">
        <v>20</v>
      </c>
      <c r="AE20" s="11">
        <f>G20*0.420482520925652</f>
        <v>0</v>
      </c>
      <c r="AF20" s="11">
        <f>G20*(1-0.420482520925652)</f>
        <v>0</v>
      </c>
    </row>
    <row r="21" spans="1:32" ht="12.75">
      <c r="A21" s="3" t="s">
        <v>17</v>
      </c>
      <c r="B21" s="3"/>
      <c r="C21" s="3" t="s">
        <v>49</v>
      </c>
      <c r="D21" s="3" t="s">
        <v>85</v>
      </c>
      <c r="E21" s="3" t="s">
        <v>118</v>
      </c>
      <c r="F21" s="11">
        <v>46</v>
      </c>
      <c r="G21" s="25">
        <v>0</v>
      </c>
      <c r="H21" s="11">
        <f t="shared" si="0"/>
        <v>0</v>
      </c>
      <c r="I21" s="11">
        <f t="shared" si="1"/>
        <v>0</v>
      </c>
      <c r="J21" s="11">
        <f t="shared" si="2"/>
        <v>0</v>
      </c>
      <c r="K21" s="11">
        <v>0</v>
      </c>
      <c r="L21" s="11">
        <f t="shared" si="3"/>
        <v>0</v>
      </c>
      <c r="N21" s="19" t="s">
        <v>7</v>
      </c>
      <c r="O21" s="11">
        <f t="shared" si="4"/>
        <v>0</v>
      </c>
      <c r="Z21" s="11">
        <f t="shared" si="5"/>
        <v>0</v>
      </c>
      <c r="AA21" s="11">
        <f t="shared" si="6"/>
        <v>0</v>
      </c>
      <c r="AB21" s="11">
        <f t="shared" si="7"/>
        <v>0</v>
      </c>
      <c r="AD21" s="11">
        <v>20</v>
      </c>
      <c r="AE21" s="11">
        <f>G21*0.434647071921621</f>
        <v>0</v>
      </c>
      <c r="AF21" s="11">
        <f>G21*(1-0.434647071921621)</f>
        <v>0</v>
      </c>
    </row>
    <row r="22" spans="1:32" ht="12.75">
      <c r="A22" s="3" t="s">
        <v>18</v>
      </c>
      <c r="B22" s="3"/>
      <c r="C22" s="3" t="s">
        <v>50</v>
      </c>
      <c r="D22" s="3" t="s">
        <v>86</v>
      </c>
      <c r="E22" s="3" t="s">
        <v>118</v>
      </c>
      <c r="F22" s="11">
        <v>10</v>
      </c>
      <c r="G22" s="25">
        <v>0</v>
      </c>
      <c r="H22" s="11">
        <f t="shared" si="0"/>
        <v>0</v>
      </c>
      <c r="I22" s="11">
        <f t="shared" si="1"/>
        <v>0</v>
      </c>
      <c r="J22" s="11">
        <f t="shared" si="2"/>
        <v>0</v>
      </c>
      <c r="K22" s="11">
        <v>0</v>
      </c>
      <c r="L22" s="11">
        <f t="shared" si="3"/>
        <v>0</v>
      </c>
      <c r="N22" s="19" t="s">
        <v>7</v>
      </c>
      <c r="O22" s="11">
        <f t="shared" si="4"/>
        <v>0</v>
      </c>
      <c r="Z22" s="11">
        <f t="shared" si="5"/>
        <v>0</v>
      </c>
      <c r="AA22" s="11">
        <f t="shared" si="6"/>
        <v>0</v>
      </c>
      <c r="AB22" s="11">
        <f t="shared" si="7"/>
        <v>0</v>
      </c>
      <c r="AD22" s="11">
        <v>20</v>
      </c>
      <c r="AE22" s="11">
        <f>G22*0.502641031058525</f>
        <v>0</v>
      </c>
      <c r="AF22" s="11">
        <f>G22*(1-0.502641031058525)</f>
        <v>0</v>
      </c>
    </row>
    <row r="23" spans="1:32" ht="12.75">
      <c r="A23" s="3" t="s">
        <v>19</v>
      </c>
      <c r="B23" s="3"/>
      <c r="C23" s="3" t="s">
        <v>51</v>
      </c>
      <c r="D23" s="3" t="s">
        <v>87</v>
      </c>
      <c r="E23" s="3" t="s">
        <v>117</v>
      </c>
      <c r="F23" s="11">
        <v>60</v>
      </c>
      <c r="G23" s="25">
        <v>0</v>
      </c>
      <c r="H23" s="11">
        <f t="shared" si="0"/>
        <v>0</v>
      </c>
      <c r="I23" s="11">
        <f t="shared" si="1"/>
        <v>0</v>
      </c>
      <c r="J23" s="11">
        <f t="shared" si="2"/>
        <v>0</v>
      </c>
      <c r="K23" s="11">
        <v>0</v>
      </c>
      <c r="L23" s="11">
        <f t="shared" si="3"/>
        <v>0</v>
      </c>
      <c r="N23" s="19" t="s">
        <v>7</v>
      </c>
      <c r="O23" s="11">
        <f t="shared" si="4"/>
        <v>0</v>
      </c>
      <c r="Z23" s="11">
        <f t="shared" si="5"/>
        <v>0</v>
      </c>
      <c r="AA23" s="11">
        <f t="shared" si="6"/>
        <v>0</v>
      </c>
      <c r="AB23" s="11">
        <f t="shared" si="7"/>
        <v>0</v>
      </c>
      <c r="AD23" s="11">
        <v>20</v>
      </c>
      <c r="AE23" s="11">
        <f>G23*0.67741935483871</f>
        <v>0</v>
      </c>
      <c r="AF23" s="11">
        <f>G23*(1-0.67741935483871)</f>
        <v>0</v>
      </c>
    </row>
    <row r="24" spans="1:37" ht="12.75">
      <c r="A24" s="4"/>
      <c r="B24" s="4"/>
      <c r="C24" s="9" t="s">
        <v>52</v>
      </c>
      <c r="D24" s="28" t="s">
        <v>88</v>
      </c>
      <c r="E24" s="29"/>
      <c r="F24" s="29"/>
      <c r="G24" s="29"/>
      <c r="H24" s="20">
        <f>SUM(H25:H26)</f>
        <v>0</v>
      </c>
      <c r="I24" s="20">
        <f>SUM(I25:I26)</f>
        <v>0</v>
      </c>
      <c r="J24" s="20">
        <f>H24+I24</f>
        <v>0</v>
      </c>
      <c r="K24" s="16"/>
      <c r="L24" s="20">
        <f>SUM(L25:L26)</f>
        <v>0.0007799999999999999</v>
      </c>
      <c r="P24" s="20">
        <f>IF(Q24="PR",J24,SUM(O25:O26))</f>
        <v>0</v>
      </c>
      <c r="Q24" s="16" t="s">
        <v>135</v>
      </c>
      <c r="R24" s="20">
        <f>IF(Q24="HS",H24,0)</f>
        <v>0</v>
      </c>
      <c r="S24" s="20">
        <f>IF(Q24="HS",I24-P24,0)</f>
        <v>0</v>
      </c>
      <c r="T24" s="20">
        <f>IF(Q24="PS",H24,0)</f>
        <v>0</v>
      </c>
      <c r="U24" s="20">
        <f>IF(Q24="PS",I24-P24,0)</f>
        <v>0</v>
      </c>
      <c r="V24" s="20">
        <f>IF(Q24="MP",H24,0)</f>
        <v>0</v>
      </c>
      <c r="W24" s="20">
        <f>IF(Q24="MP",I24-P24,0)</f>
        <v>0</v>
      </c>
      <c r="X24" s="20">
        <f>IF(Q24="OM",H24,0)</f>
        <v>0</v>
      </c>
      <c r="Y24" s="16"/>
      <c r="AI24" s="20">
        <f>SUM(Z25:Z26)</f>
        <v>0</v>
      </c>
      <c r="AJ24" s="20">
        <f>SUM(AA25:AA26)</f>
        <v>0</v>
      </c>
      <c r="AK24" s="20">
        <f>SUM(AB25:AB26)</f>
        <v>0</v>
      </c>
    </row>
    <row r="25" spans="1:32" ht="12.75">
      <c r="A25" s="3" t="s">
        <v>20</v>
      </c>
      <c r="B25" s="3"/>
      <c r="C25" s="3" t="s">
        <v>53</v>
      </c>
      <c r="D25" s="3" t="s">
        <v>89</v>
      </c>
      <c r="E25" s="3" t="s">
        <v>117</v>
      </c>
      <c r="F25" s="11">
        <v>4</v>
      </c>
      <c r="G25" s="25">
        <v>0</v>
      </c>
      <c r="H25" s="11">
        <f>ROUND(F25*AE25,2)</f>
        <v>0</v>
      </c>
      <c r="I25" s="11">
        <f>J25-H25</f>
        <v>0</v>
      </c>
      <c r="J25" s="11">
        <f>ROUND(F25*G25,2)</f>
        <v>0</v>
      </c>
      <c r="K25" s="11">
        <v>0</v>
      </c>
      <c r="L25" s="11">
        <f>F25*K25</f>
        <v>0</v>
      </c>
      <c r="N25" s="19" t="s">
        <v>7</v>
      </c>
      <c r="O25" s="11">
        <f>IF(N25="5",I25,0)</f>
        <v>0</v>
      </c>
      <c r="Z25" s="11">
        <f>IF(AD25=0,J25,0)</f>
        <v>0</v>
      </c>
      <c r="AA25" s="11">
        <f>IF(AD25=14,J25,0)</f>
        <v>0</v>
      </c>
      <c r="AB25" s="11">
        <f>IF(AD25=20,J25,0)</f>
        <v>0</v>
      </c>
      <c r="AD25" s="11">
        <v>20</v>
      </c>
      <c r="AE25" s="11">
        <f>G25*0.540684830633284</f>
        <v>0</v>
      </c>
      <c r="AF25" s="11">
        <f>G25*(1-0.540684830633284)</f>
        <v>0</v>
      </c>
    </row>
    <row r="26" spans="1:32" ht="12.75">
      <c r="A26" s="3" t="s">
        <v>21</v>
      </c>
      <c r="B26" s="3"/>
      <c r="C26" s="3" t="s">
        <v>54</v>
      </c>
      <c r="D26" s="3" t="s">
        <v>90</v>
      </c>
      <c r="E26" s="3" t="s">
        <v>117</v>
      </c>
      <c r="F26" s="11">
        <v>6</v>
      </c>
      <c r="G26" s="25">
        <v>0</v>
      </c>
      <c r="H26" s="11">
        <f>ROUND(F26*AE26,2)</f>
        <v>0</v>
      </c>
      <c r="I26" s="11">
        <f>J26-H26</f>
        <v>0</v>
      </c>
      <c r="J26" s="11">
        <f>ROUND(F26*G26,2)</f>
        <v>0</v>
      </c>
      <c r="K26" s="11">
        <v>0.00013</v>
      </c>
      <c r="L26" s="11">
        <f>F26*K26</f>
        <v>0.0007799999999999999</v>
      </c>
      <c r="N26" s="19" t="s">
        <v>7</v>
      </c>
      <c r="O26" s="11">
        <f>IF(N26="5",I26,0)</f>
        <v>0</v>
      </c>
      <c r="Z26" s="11">
        <f>IF(AD26=0,J26,0)</f>
        <v>0</v>
      </c>
      <c r="AA26" s="11">
        <f>IF(AD26=14,J26,0)</f>
        <v>0</v>
      </c>
      <c r="AB26" s="11">
        <f>IF(AD26=20,J26,0)</f>
        <v>0</v>
      </c>
      <c r="AD26" s="11">
        <v>20</v>
      </c>
      <c r="AE26" s="11">
        <f>G26*0.0528848615164081</f>
        <v>0</v>
      </c>
      <c r="AF26" s="11">
        <f>G26*(1-0.0528848615164081)</f>
        <v>0</v>
      </c>
    </row>
    <row r="27" spans="1:37" ht="12.75">
      <c r="A27" s="4"/>
      <c r="B27" s="4"/>
      <c r="C27" s="9" t="s">
        <v>55</v>
      </c>
      <c r="D27" s="28" t="s">
        <v>91</v>
      </c>
      <c r="E27" s="29"/>
      <c r="F27" s="29"/>
      <c r="G27" s="29"/>
      <c r="H27" s="20">
        <f>SUM(H28:H28)</f>
        <v>0</v>
      </c>
      <c r="I27" s="20">
        <f>SUM(I28:I28)</f>
        <v>0</v>
      </c>
      <c r="J27" s="20">
        <f>H27+I27</f>
        <v>0</v>
      </c>
      <c r="K27" s="16"/>
      <c r="L27" s="20">
        <f>SUM(L28:L28)</f>
        <v>0</v>
      </c>
      <c r="P27" s="20">
        <f>IF(Q27="PR",J27,SUM(O28:O28))</f>
        <v>0</v>
      </c>
      <c r="Q27" s="16" t="s">
        <v>135</v>
      </c>
      <c r="R27" s="20">
        <f>IF(Q27="HS",H27,0)</f>
        <v>0</v>
      </c>
      <c r="S27" s="20">
        <f>IF(Q27="HS",I27-P27,0)</f>
        <v>0</v>
      </c>
      <c r="T27" s="20">
        <f>IF(Q27="PS",H27,0)</f>
        <v>0</v>
      </c>
      <c r="U27" s="20">
        <f>IF(Q27="PS",I27-P27,0)</f>
        <v>0</v>
      </c>
      <c r="V27" s="20">
        <f>IF(Q27="MP",H27,0)</f>
        <v>0</v>
      </c>
      <c r="W27" s="20">
        <f>IF(Q27="MP",I27-P27,0)</f>
        <v>0</v>
      </c>
      <c r="X27" s="20">
        <f>IF(Q27="OM",H27,0)</f>
        <v>0</v>
      </c>
      <c r="Y27" s="16"/>
      <c r="AI27" s="20">
        <f>SUM(Z28:Z28)</f>
        <v>0</v>
      </c>
      <c r="AJ27" s="20">
        <f>SUM(AA28:AA28)</f>
        <v>0</v>
      </c>
      <c r="AK27" s="20">
        <f>SUM(AB28:AB28)</f>
        <v>0</v>
      </c>
    </row>
    <row r="28" spans="1:32" ht="12.75">
      <c r="A28" s="3" t="s">
        <v>22</v>
      </c>
      <c r="B28" s="3"/>
      <c r="C28" s="3" t="s">
        <v>56</v>
      </c>
      <c r="D28" s="3" t="s">
        <v>92</v>
      </c>
      <c r="E28" s="3" t="s">
        <v>118</v>
      </c>
      <c r="F28" s="11">
        <v>2</v>
      </c>
      <c r="G28" s="25">
        <v>0</v>
      </c>
      <c r="H28" s="11">
        <f>ROUND(F28*AE28,2)</f>
        <v>0</v>
      </c>
      <c r="I28" s="11">
        <f>J28-H28</f>
        <v>0</v>
      </c>
      <c r="J28" s="11">
        <f>ROUND(F28*G28,2)</f>
        <v>0</v>
      </c>
      <c r="K28" s="11">
        <v>0</v>
      </c>
      <c r="L28" s="11">
        <f>F28*K28</f>
        <v>0</v>
      </c>
      <c r="N28" s="19" t="s">
        <v>7</v>
      </c>
      <c r="O28" s="11">
        <f>IF(N28="5",I28,0)</f>
        <v>0</v>
      </c>
      <c r="Z28" s="11">
        <f>IF(AD28=0,J28,0)</f>
        <v>0</v>
      </c>
      <c r="AA28" s="11">
        <f>IF(AD28=14,J28,0)</f>
        <v>0</v>
      </c>
      <c r="AB28" s="11">
        <f>IF(AD28=20,J28,0)</f>
        <v>0</v>
      </c>
      <c r="AD28" s="11">
        <v>20</v>
      </c>
      <c r="AE28" s="11">
        <f>G28*0</f>
        <v>0</v>
      </c>
      <c r="AF28" s="11">
        <f>G28*(1-0)</f>
        <v>0</v>
      </c>
    </row>
    <row r="29" spans="1:37" ht="12.75">
      <c r="A29" s="4"/>
      <c r="B29" s="4"/>
      <c r="C29" s="9"/>
      <c r="D29" s="28" t="s">
        <v>93</v>
      </c>
      <c r="E29" s="29"/>
      <c r="F29" s="29"/>
      <c r="G29" s="29"/>
      <c r="H29" s="20">
        <f>SUM(H30:H47)</f>
        <v>0</v>
      </c>
      <c r="I29" s="20">
        <f>SUM(I30:I47)</f>
        <v>0</v>
      </c>
      <c r="J29" s="20">
        <f>H29+I29</f>
        <v>0</v>
      </c>
      <c r="K29" s="16"/>
      <c r="L29" s="20">
        <f>SUM(L30:L47)</f>
        <v>0.15039999999999998</v>
      </c>
      <c r="P29" s="20">
        <f>IF(Q29="PR",J29,SUM(O30:O47))</f>
        <v>0</v>
      </c>
      <c r="Q29" s="16" t="s">
        <v>136</v>
      </c>
      <c r="R29" s="20">
        <f>IF(Q29="HS",H29,0)</f>
        <v>0</v>
      </c>
      <c r="S29" s="20">
        <f>IF(Q29="HS",I29-P29,0)</f>
        <v>0</v>
      </c>
      <c r="T29" s="20">
        <f>IF(Q29="PS",H29,0)</f>
        <v>0</v>
      </c>
      <c r="U29" s="20">
        <f>IF(Q29="PS",I29-P29,0)</f>
        <v>0</v>
      </c>
      <c r="V29" s="20">
        <f>IF(Q29="MP",H29,0)</f>
        <v>0</v>
      </c>
      <c r="W29" s="20">
        <f>IF(Q29="MP",I29-P29,0)</f>
        <v>0</v>
      </c>
      <c r="X29" s="20">
        <f>IF(Q29="OM",H29,0)</f>
        <v>0</v>
      </c>
      <c r="Y29" s="16"/>
      <c r="AI29" s="20">
        <f>SUM(Z30:Z47)</f>
        <v>0</v>
      </c>
      <c r="AJ29" s="20">
        <f>SUM(AA30:AA47)</f>
        <v>0</v>
      </c>
      <c r="AK29" s="20">
        <f>SUM(AB30:AB47)</f>
        <v>0</v>
      </c>
    </row>
    <row r="30" spans="1:32" ht="12.75">
      <c r="A30" s="3" t="s">
        <v>23</v>
      </c>
      <c r="B30" s="3"/>
      <c r="C30" s="3" t="s">
        <v>57</v>
      </c>
      <c r="D30" s="3" t="s">
        <v>94</v>
      </c>
      <c r="E30" s="3" t="s">
        <v>117</v>
      </c>
      <c r="F30" s="11">
        <v>1</v>
      </c>
      <c r="G30" s="25">
        <v>0</v>
      </c>
      <c r="H30" s="11">
        <f aca="true" t="shared" si="8" ref="H30:H47">ROUND(F30*AE30,2)</f>
        <v>0</v>
      </c>
      <c r="I30" s="11">
        <f aca="true" t="shared" si="9" ref="I30:I47">J30-H30</f>
        <v>0</v>
      </c>
      <c r="J30" s="11">
        <f aca="true" t="shared" si="10" ref="J30:J47">ROUND(F30*G30,2)</f>
        <v>0</v>
      </c>
      <c r="K30" s="11">
        <v>0.00046</v>
      </c>
      <c r="L30" s="11">
        <f aca="true" t="shared" si="11" ref="L30:L47">F30*K30</f>
        <v>0.00046</v>
      </c>
      <c r="N30" s="19" t="s">
        <v>132</v>
      </c>
      <c r="O30" s="11">
        <f aca="true" t="shared" si="12" ref="O30:O47">IF(N30="5",I30,0)</f>
        <v>0</v>
      </c>
      <c r="Z30" s="11">
        <f aca="true" t="shared" si="13" ref="Z30:Z47">IF(AD30=0,J30,0)</f>
        <v>0</v>
      </c>
      <c r="AA30" s="11">
        <f aca="true" t="shared" si="14" ref="AA30:AA47">IF(AD30=14,J30,0)</f>
        <v>0</v>
      </c>
      <c r="AB30" s="11">
        <f aca="true" t="shared" si="15" ref="AB30:AB47">IF(AD30=20,J30,0)</f>
        <v>0</v>
      </c>
      <c r="AD30" s="11">
        <v>20</v>
      </c>
      <c r="AE30" s="11">
        <f aca="true" t="shared" si="16" ref="AE30:AE47">G30*1</f>
        <v>0</v>
      </c>
      <c r="AF30" s="11">
        <f aca="true" t="shared" si="17" ref="AF30:AF47">G30*(1-1)</f>
        <v>0</v>
      </c>
    </row>
    <row r="31" spans="1:32" ht="12.75">
      <c r="A31" s="3" t="s">
        <v>24</v>
      </c>
      <c r="B31" s="3"/>
      <c r="C31" s="3" t="s">
        <v>58</v>
      </c>
      <c r="D31" s="3" t="s">
        <v>95</v>
      </c>
      <c r="E31" s="3" t="s">
        <v>117</v>
      </c>
      <c r="F31" s="11">
        <v>3</v>
      </c>
      <c r="G31" s="25">
        <v>0</v>
      </c>
      <c r="H31" s="11">
        <f t="shared" si="8"/>
        <v>0</v>
      </c>
      <c r="I31" s="11">
        <f t="shared" si="9"/>
        <v>0</v>
      </c>
      <c r="J31" s="11">
        <f t="shared" si="10"/>
        <v>0</v>
      </c>
      <c r="K31" s="11">
        <v>0.00044</v>
      </c>
      <c r="L31" s="11">
        <f t="shared" si="11"/>
        <v>0.00132</v>
      </c>
      <c r="N31" s="19" t="s">
        <v>132</v>
      </c>
      <c r="O31" s="11">
        <f t="shared" si="12"/>
        <v>0</v>
      </c>
      <c r="Z31" s="11">
        <f t="shared" si="13"/>
        <v>0</v>
      </c>
      <c r="AA31" s="11">
        <f t="shared" si="14"/>
        <v>0</v>
      </c>
      <c r="AB31" s="11">
        <f t="shared" si="15"/>
        <v>0</v>
      </c>
      <c r="AD31" s="11">
        <v>20</v>
      </c>
      <c r="AE31" s="11">
        <f t="shared" si="16"/>
        <v>0</v>
      </c>
      <c r="AF31" s="11">
        <f t="shared" si="17"/>
        <v>0</v>
      </c>
    </row>
    <row r="32" spans="1:32" ht="12.75">
      <c r="A32" s="3" t="s">
        <v>25</v>
      </c>
      <c r="B32" s="3"/>
      <c r="C32" s="3" t="s">
        <v>59</v>
      </c>
      <c r="D32" s="3" t="s">
        <v>96</v>
      </c>
      <c r="E32" s="3" t="s">
        <v>117</v>
      </c>
      <c r="F32" s="11">
        <v>2</v>
      </c>
      <c r="G32" s="25">
        <v>0</v>
      </c>
      <c r="H32" s="11">
        <f t="shared" si="8"/>
        <v>0</v>
      </c>
      <c r="I32" s="11">
        <f t="shared" si="9"/>
        <v>0</v>
      </c>
      <c r="J32" s="11">
        <f t="shared" si="10"/>
        <v>0</v>
      </c>
      <c r="K32" s="11">
        <v>0.00028</v>
      </c>
      <c r="L32" s="11">
        <f t="shared" si="11"/>
        <v>0.00056</v>
      </c>
      <c r="N32" s="19" t="s">
        <v>132</v>
      </c>
      <c r="O32" s="11">
        <f t="shared" si="12"/>
        <v>0</v>
      </c>
      <c r="Z32" s="11">
        <f t="shared" si="13"/>
        <v>0</v>
      </c>
      <c r="AA32" s="11">
        <f t="shared" si="14"/>
        <v>0</v>
      </c>
      <c r="AB32" s="11">
        <f t="shared" si="15"/>
        <v>0</v>
      </c>
      <c r="AD32" s="11">
        <v>20</v>
      </c>
      <c r="AE32" s="11">
        <f t="shared" si="16"/>
        <v>0</v>
      </c>
      <c r="AF32" s="11">
        <f t="shared" si="17"/>
        <v>0</v>
      </c>
    </row>
    <row r="33" spans="1:32" ht="12.75">
      <c r="A33" s="3" t="s">
        <v>26</v>
      </c>
      <c r="B33" s="3"/>
      <c r="C33" s="3" t="s">
        <v>60</v>
      </c>
      <c r="D33" s="3" t="s">
        <v>97</v>
      </c>
      <c r="E33" s="3" t="s">
        <v>117</v>
      </c>
      <c r="F33" s="11">
        <v>1</v>
      </c>
      <c r="G33" s="25">
        <v>0</v>
      </c>
      <c r="H33" s="11">
        <f t="shared" si="8"/>
        <v>0</v>
      </c>
      <c r="I33" s="11">
        <f t="shared" si="9"/>
        <v>0</v>
      </c>
      <c r="J33" s="11">
        <f t="shared" si="10"/>
        <v>0</v>
      </c>
      <c r="K33" s="11">
        <v>0.00028</v>
      </c>
      <c r="L33" s="11">
        <f t="shared" si="11"/>
        <v>0.00028</v>
      </c>
      <c r="N33" s="19" t="s">
        <v>132</v>
      </c>
      <c r="O33" s="11">
        <f t="shared" si="12"/>
        <v>0</v>
      </c>
      <c r="Z33" s="11">
        <f t="shared" si="13"/>
        <v>0</v>
      </c>
      <c r="AA33" s="11">
        <f t="shared" si="14"/>
        <v>0</v>
      </c>
      <c r="AB33" s="11">
        <f t="shared" si="15"/>
        <v>0</v>
      </c>
      <c r="AD33" s="11">
        <v>20</v>
      </c>
      <c r="AE33" s="11">
        <f t="shared" si="16"/>
        <v>0</v>
      </c>
      <c r="AF33" s="11">
        <f t="shared" si="17"/>
        <v>0</v>
      </c>
    </row>
    <row r="34" spans="1:32" ht="12.75">
      <c r="A34" s="3" t="s">
        <v>27</v>
      </c>
      <c r="B34" s="3"/>
      <c r="C34" s="3" t="s">
        <v>61</v>
      </c>
      <c r="D34" s="3" t="s">
        <v>98</v>
      </c>
      <c r="E34" s="3" t="s">
        <v>117</v>
      </c>
      <c r="F34" s="11">
        <v>1</v>
      </c>
      <c r="G34" s="25">
        <v>0</v>
      </c>
      <c r="H34" s="11">
        <f t="shared" si="8"/>
        <v>0</v>
      </c>
      <c r="I34" s="11">
        <f t="shared" si="9"/>
        <v>0</v>
      </c>
      <c r="J34" s="11">
        <f t="shared" si="10"/>
        <v>0</v>
      </c>
      <c r="K34" s="11">
        <v>0</v>
      </c>
      <c r="L34" s="11">
        <f t="shared" si="11"/>
        <v>0</v>
      </c>
      <c r="N34" s="19" t="s">
        <v>132</v>
      </c>
      <c r="O34" s="11">
        <f t="shared" si="12"/>
        <v>0</v>
      </c>
      <c r="Z34" s="11">
        <f t="shared" si="13"/>
        <v>0</v>
      </c>
      <c r="AA34" s="11">
        <f t="shared" si="14"/>
        <v>0</v>
      </c>
      <c r="AB34" s="11">
        <f t="shared" si="15"/>
        <v>0</v>
      </c>
      <c r="AD34" s="11">
        <v>20</v>
      </c>
      <c r="AE34" s="11">
        <f t="shared" si="16"/>
        <v>0</v>
      </c>
      <c r="AF34" s="11">
        <f t="shared" si="17"/>
        <v>0</v>
      </c>
    </row>
    <row r="35" spans="1:32" ht="12.75">
      <c r="A35" s="3" t="s">
        <v>28</v>
      </c>
      <c r="B35" s="3"/>
      <c r="C35" s="3" t="s">
        <v>62</v>
      </c>
      <c r="D35" s="3" t="s">
        <v>99</v>
      </c>
      <c r="E35" s="3" t="s">
        <v>117</v>
      </c>
      <c r="F35" s="11">
        <v>1</v>
      </c>
      <c r="G35" s="25">
        <v>0</v>
      </c>
      <c r="H35" s="11">
        <f t="shared" si="8"/>
        <v>0</v>
      </c>
      <c r="I35" s="11">
        <f t="shared" si="9"/>
        <v>0</v>
      </c>
      <c r="J35" s="11">
        <f t="shared" si="10"/>
        <v>0</v>
      </c>
      <c r="K35" s="11">
        <v>0.06</v>
      </c>
      <c r="L35" s="11">
        <f t="shared" si="11"/>
        <v>0.06</v>
      </c>
      <c r="N35" s="19" t="s">
        <v>132</v>
      </c>
      <c r="O35" s="11">
        <f t="shared" si="12"/>
        <v>0</v>
      </c>
      <c r="Z35" s="11">
        <f t="shared" si="13"/>
        <v>0</v>
      </c>
      <c r="AA35" s="11">
        <f t="shared" si="14"/>
        <v>0</v>
      </c>
      <c r="AB35" s="11">
        <f t="shared" si="15"/>
        <v>0</v>
      </c>
      <c r="AD35" s="11">
        <v>20</v>
      </c>
      <c r="AE35" s="11">
        <f t="shared" si="16"/>
        <v>0</v>
      </c>
      <c r="AF35" s="11">
        <f t="shared" si="17"/>
        <v>0</v>
      </c>
    </row>
    <row r="36" spans="1:32" ht="12.75">
      <c r="A36" s="3" t="s">
        <v>29</v>
      </c>
      <c r="B36" s="3"/>
      <c r="C36" s="3" t="s">
        <v>63</v>
      </c>
      <c r="D36" s="3" t="s">
        <v>100</v>
      </c>
      <c r="E36" s="3" t="s">
        <v>117</v>
      </c>
      <c r="F36" s="11">
        <v>1</v>
      </c>
      <c r="G36" s="25">
        <v>0</v>
      </c>
      <c r="H36" s="11">
        <f t="shared" si="8"/>
        <v>0</v>
      </c>
      <c r="I36" s="11">
        <f t="shared" si="9"/>
        <v>0</v>
      </c>
      <c r="J36" s="11">
        <f t="shared" si="10"/>
        <v>0</v>
      </c>
      <c r="K36" s="11">
        <v>0.00028</v>
      </c>
      <c r="L36" s="11">
        <f t="shared" si="11"/>
        <v>0.00028</v>
      </c>
      <c r="N36" s="19" t="s">
        <v>132</v>
      </c>
      <c r="O36" s="11">
        <f t="shared" si="12"/>
        <v>0</v>
      </c>
      <c r="Z36" s="11">
        <f t="shared" si="13"/>
        <v>0</v>
      </c>
      <c r="AA36" s="11">
        <f t="shared" si="14"/>
        <v>0</v>
      </c>
      <c r="AB36" s="11">
        <f t="shared" si="15"/>
        <v>0</v>
      </c>
      <c r="AD36" s="11">
        <v>20</v>
      </c>
      <c r="AE36" s="11">
        <f t="shared" si="16"/>
        <v>0</v>
      </c>
      <c r="AF36" s="11">
        <f t="shared" si="17"/>
        <v>0</v>
      </c>
    </row>
    <row r="37" spans="1:32" ht="12.75">
      <c r="A37" s="3" t="s">
        <v>30</v>
      </c>
      <c r="B37" s="3"/>
      <c r="C37" s="3" t="s">
        <v>64</v>
      </c>
      <c r="D37" s="3" t="s">
        <v>101</v>
      </c>
      <c r="E37" s="3" t="s">
        <v>117</v>
      </c>
      <c r="F37" s="11">
        <v>1</v>
      </c>
      <c r="G37" s="25">
        <v>0</v>
      </c>
      <c r="H37" s="11">
        <f t="shared" si="8"/>
        <v>0</v>
      </c>
      <c r="I37" s="11">
        <f t="shared" si="9"/>
        <v>0</v>
      </c>
      <c r="J37" s="11">
        <f t="shared" si="10"/>
        <v>0</v>
      </c>
      <c r="K37" s="11">
        <v>0.015</v>
      </c>
      <c r="L37" s="11">
        <f t="shared" si="11"/>
        <v>0.015</v>
      </c>
      <c r="N37" s="19" t="s">
        <v>132</v>
      </c>
      <c r="O37" s="11">
        <f t="shared" si="12"/>
        <v>0</v>
      </c>
      <c r="Z37" s="11">
        <f t="shared" si="13"/>
        <v>0</v>
      </c>
      <c r="AA37" s="11">
        <f t="shared" si="14"/>
        <v>0</v>
      </c>
      <c r="AB37" s="11">
        <f t="shared" si="15"/>
        <v>0</v>
      </c>
      <c r="AD37" s="11">
        <v>20</v>
      </c>
      <c r="AE37" s="11">
        <f t="shared" si="16"/>
        <v>0</v>
      </c>
      <c r="AF37" s="11">
        <f t="shared" si="17"/>
        <v>0</v>
      </c>
    </row>
    <row r="38" spans="1:32" ht="12.75">
      <c r="A38" s="3" t="s">
        <v>31</v>
      </c>
      <c r="B38" s="3"/>
      <c r="C38" s="3" t="s">
        <v>65</v>
      </c>
      <c r="D38" s="3" t="s">
        <v>102</v>
      </c>
      <c r="E38" s="3" t="s">
        <v>117</v>
      </c>
      <c r="F38" s="11">
        <v>4</v>
      </c>
      <c r="G38" s="25">
        <v>0</v>
      </c>
      <c r="H38" s="11">
        <f t="shared" si="8"/>
        <v>0</v>
      </c>
      <c r="I38" s="11">
        <f t="shared" si="9"/>
        <v>0</v>
      </c>
      <c r="J38" s="11">
        <f t="shared" si="10"/>
        <v>0</v>
      </c>
      <c r="K38" s="11">
        <v>0.0035</v>
      </c>
      <c r="L38" s="11">
        <f t="shared" si="11"/>
        <v>0.014</v>
      </c>
      <c r="N38" s="19" t="s">
        <v>132</v>
      </c>
      <c r="O38" s="11">
        <f t="shared" si="12"/>
        <v>0</v>
      </c>
      <c r="Z38" s="11">
        <f t="shared" si="13"/>
        <v>0</v>
      </c>
      <c r="AA38" s="11">
        <f t="shared" si="14"/>
        <v>0</v>
      </c>
      <c r="AB38" s="11">
        <f t="shared" si="15"/>
        <v>0</v>
      </c>
      <c r="AD38" s="11">
        <v>20</v>
      </c>
      <c r="AE38" s="11">
        <f t="shared" si="16"/>
        <v>0</v>
      </c>
      <c r="AF38" s="11">
        <f t="shared" si="17"/>
        <v>0</v>
      </c>
    </row>
    <row r="39" spans="1:32" ht="12.75">
      <c r="A39" s="3" t="s">
        <v>32</v>
      </c>
      <c r="B39" s="3"/>
      <c r="C39" s="3" t="s">
        <v>66</v>
      </c>
      <c r="D39" s="3" t="s">
        <v>103</v>
      </c>
      <c r="E39" s="3" t="s">
        <v>117</v>
      </c>
      <c r="F39" s="11">
        <v>3</v>
      </c>
      <c r="G39" s="25">
        <v>0</v>
      </c>
      <c r="H39" s="11">
        <f t="shared" si="8"/>
        <v>0</v>
      </c>
      <c r="I39" s="11">
        <f t="shared" si="9"/>
        <v>0</v>
      </c>
      <c r="J39" s="11">
        <f t="shared" si="10"/>
        <v>0</v>
      </c>
      <c r="K39" s="11">
        <v>0.0028</v>
      </c>
      <c r="L39" s="11">
        <f t="shared" si="11"/>
        <v>0.0084</v>
      </c>
      <c r="N39" s="19" t="s">
        <v>132</v>
      </c>
      <c r="O39" s="11">
        <f t="shared" si="12"/>
        <v>0</v>
      </c>
      <c r="Z39" s="11">
        <f t="shared" si="13"/>
        <v>0</v>
      </c>
      <c r="AA39" s="11">
        <f t="shared" si="14"/>
        <v>0</v>
      </c>
      <c r="AB39" s="11">
        <f t="shared" si="15"/>
        <v>0</v>
      </c>
      <c r="AD39" s="11">
        <v>20</v>
      </c>
      <c r="AE39" s="11">
        <f t="shared" si="16"/>
        <v>0</v>
      </c>
      <c r="AF39" s="11">
        <f t="shared" si="17"/>
        <v>0</v>
      </c>
    </row>
    <row r="40" spans="1:32" ht="12.75">
      <c r="A40" s="3" t="s">
        <v>33</v>
      </c>
      <c r="B40" s="3"/>
      <c r="C40" s="3" t="s">
        <v>67</v>
      </c>
      <c r="D40" s="3" t="s">
        <v>104</v>
      </c>
      <c r="E40" s="3" t="s">
        <v>117</v>
      </c>
      <c r="F40" s="11">
        <v>2</v>
      </c>
      <c r="G40" s="25">
        <v>0</v>
      </c>
      <c r="H40" s="11">
        <f t="shared" si="8"/>
        <v>0</v>
      </c>
      <c r="I40" s="11">
        <f t="shared" si="9"/>
        <v>0</v>
      </c>
      <c r="J40" s="11">
        <f t="shared" si="10"/>
        <v>0</v>
      </c>
      <c r="K40" s="11">
        <v>0.00033</v>
      </c>
      <c r="L40" s="11">
        <f t="shared" si="11"/>
        <v>0.00066</v>
      </c>
      <c r="N40" s="19" t="s">
        <v>132</v>
      </c>
      <c r="O40" s="11">
        <f t="shared" si="12"/>
        <v>0</v>
      </c>
      <c r="Z40" s="11">
        <f t="shared" si="13"/>
        <v>0</v>
      </c>
      <c r="AA40" s="11">
        <f t="shared" si="14"/>
        <v>0</v>
      </c>
      <c r="AB40" s="11">
        <f t="shared" si="15"/>
        <v>0</v>
      </c>
      <c r="AD40" s="11">
        <v>20</v>
      </c>
      <c r="AE40" s="11">
        <f t="shared" si="16"/>
        <v>0</v>
      </c>
      <c r="AF40" s="11">
        <f t="shared" si="17"/>
        <v>0</v>
      </c>
    </row>
    <row r="41" spans="1:32" ht="12.75">
      <c r="A41" s="3" t="s">
        <v>34</v>
      </c>
      <c r="B41" s="3"/>
      <c r="C41" s="3" t="s">
        <v>68</v>
      </c>
      <c r="D41" s="3" t="s">
        <v>105</v>
      </c>
      <c r="E41" s="3" t="s">
        <v>117</v>
      </c>
      <c r="F41" s="11">
        <v>4</v>
      </c>
      <c r="G41" s="25">
        <v>0</v>
      </c>
      <c r="H41" s="11">
        <f t="shared" si="8"/>
        <v>0</v>
      </c>
      <c r="I41" s="11">
        <f t="shared" si="9"/>
        <v>0</v>
      </c>
      <c r="J41" s="11">
        <f t="shared" si="10"/>
        <v>0</v>
      </c>
      <c r="K41" s="11">
        <v>0.00028</v>
      </c>
      <c r="L41" s="11">
        <f t="shared" si="11"/>
        <v>0.00112</v>
      </c>
      <c r="N41" s="19" t="s">
        <v>132</v>
      </c>
      <c r="O41" s="11">
        <f t="shared" si="12"/>
        <v>0</v>
      </c>
      <c r="Z41" s="11">
        <f t="shared" si="13"/>
        <v>0</v>
      </c>
      <c r="AA41" s="11">
        <f t="shared" si="14"/>
        <v>0</v>
      </c>
      <c r="AB41" s="11">
        <f t="shared" si="15"/>
        <v>0</v>
      </c>
      <c r="AD41" s="11">
        <v>20</v>
      </c>
      <c r="AE41" s="11">
        <f t="shared" si="16"/>
        <v>0</v>
      </c>
      <c r="AF41" s="11">
        <f t="shared" si="17"/>
        <v>0</v>
      </c>
    </row>
    <row r="42" spans="1:32" ht="12.75">
      <c r="A42" s="3" t="s">
        <v>35</v>
      </c>
      <c r="B42" s="3"/>
      <c r="C42" s="3" t="s">
        <v>69</v>
      </c>
      <c r="D42" s="3" t="s">
        <v>106</v>
      </c>
      <c r="E42" s="3" t="s">
        <v>118</v>
      </c>
      <c r="F42" s="11">
        <v>20</v>
      </c>
      <c r="G42" s="25">
        <v>0</v>
      </c>
      <c r="H42" s="11">
        <f t="shared" si="8"/>
        <v>0</v>
      </c>
      <c r="I42" s="11">
        <f t="shared" si="9"/>
        <v>0</v>
      </c>
      <c r="J42" s="11">
        <f t="shared" si="10"/>
        <v>0</v>
      </c>
      <c r="K42" s="11">
        <v>0.00056</v>
      </c>
      <c r="L42" s="11">
        <f t="shared" si="11"/>
        <v>0.011199999999999998</v>
      </c>
      <c r="N42" s="19" t="s">
        <v>132</v>
      </c>
      <c r="O42" s="11">
        <f t="shared" si="12"/>
        <v>0</v>
      </c>
      <c r="Z42" s="11">
        <f t="shared" si="13"/>
        <v>0</v>
      </c>
      <c r="AA42" s="11">
        <f t="shared" si="14"/>
        <v>0</v>
      </c>
      <c r="AB42" s="11">
        <f t="shared" si="15"/>
        <v>0</v>
      </c>
      <c r="AD42" s="11">
        <v>20</v>
      </c>
      <c r="AE42" s="11">
        <f t="shared" si="16"/>
        <v>0</v>
      </c>
      <c r="AF42" s="11">
        <f t="shared" si="17"/>
        <v>0</v>
      </c>
    </row>
    <row r="43" spans="1:32" ht="12.75">
      <c r="A43" s="3" t="s">
        <v>36</v>
      </c>
      <c r="B43" s="3"/>
      <c r="C43" s="3" t="s">
        <v>70</v>
      </c>
      <c r="D43" s="3" t="s">
        <v>107</v>
      </c>
      <c r="E43" s="3" t="s">
        <v>118</v>
      </c>
      <c r="F43" s="11">
        <v>20</v>
      </c>
      <c r="G43" s="25">
        <v>0</v>
      </c>
      <c r="H43" s="11">
        <f t="shared" si="8"/>
        <v>0</v>
      </c>
      <c r="I43" s="11">
        <f t="shared" si="9"/>
        <v>0</v>
      </c>
      <c r="J43" s="11">
        <f t="shared" si="10"/>
        <v>0</v>
      </c>
      <c r="K43" s="11">
        <v>0.00023</v>
      </c>
      <c r="L43" s="11">
        <f t="shared" si="11"/>
        <v>0.0046</v>
      </c>
      <c r="N43" s="19" t="s">
        <v>132</v>
      </c>
      <c r="O43" s="11">
        <f t="shared" si="12"/>
        <v>0</v>
      </c>
      <c r="Z43" s="11">
        <f t="shared" si="13"/>
        <v>0</v>
      </c>
      <c r="AA43" s="11">
        <f t="shared" si="14"/>
        <v>0</v>
      </c>
      <c r="AB43" s="11">
        <f t="shared" si="15"/>
        <v>0</v>
      </c>
      <c r="AD43" s="11">
        <v>20</v>
      </c>
      <c r="AE43" s="11">
        <f t="shared" si="16"/>
        <v>0</v>
      </c>
      <c r="AF43" s="11">
        <f t="shared" si="17"/>
        <v>0</v>
      </c>
    </row>
    <row r="44" spans="1:32" ht="12.75">
      <c r="A44" s="3" t="s">
        <v>37</v>
      </c>
      <c r="B44" s="3"/>
      <c r="C44" s="3" t="s">
        <v>71</v>
      </c>
      <c r="D44" s="3" t="s">
        <v>108</v>
      </c>
      <c r="E44" s="3" t="s">
        <v>118</v>
      </c>
      <c r="F44" s="11">
        <v>10</v>
      </c>
      <c r="G44" s="25">
        <v>0</v>
      </c>
      <c r="H44" s="11">
        <f t="shared" si="8"/>
        <v>0</v>
      </c>
      <c r="I44" s="11">
        <f t="shared" si="9"/>
        <v>0</v>
      </c>
      <c r="J44" s="11">
        <f t="shared" si="10"/>
        <v>0</v>
      </c>
      <c r="K44" s="11">
        <v>0.00041</v>
      </c>
      <c r="L44" s="11">
        <f t="shared" si="11"/>
        <v>0.0040999999999999995</v>
      </c>
      <c r="N44" s="19" t="s">
        <v>132</v>
      </c>
      <c r="O44" s="11">
        <f t="shared" si="12"/>
        <v>0</v>
      </c>
      <c r="Z44" s="11">
        <f t="shared" si="13"/>
        <v>0</v>
      </c>
      <c r="AA44" s="11">
        <f t="shared" si="14"/>
        <v>0</v>
      </c>
      <c r="AB44" s="11">
        <f t="shared" si="15"/>
        <v>0</v>
      </c>
      <c r="AD44" s="11">
        <v>20</v>
      </c>
      <c r="AE44" s="11">
        <f t="shared" si="16"/>
        <v>0</v>
      </c>
      <c r="AF44" s="11">
        <f t="shared" si="17"/>
        <v>0</v>
      </c>
    </row>
    <row r="45" spans="1:32" ht="12.75">
      <c r="A45" s="3" t="s">
        <v>145</v>
      </c>
      <c r="B45" s="3"/>
      <c r="C45" s="3" t="s">
        <v>72</v>
      </c>
      <c r="D45" s="3" t="s">
        <v>109</v>
      </c>
      <c r="E45" s="3" t="s">
        <v>118</v>
      </c>
      <c r="F45" s="11">
        <v>25</v>
      </c>
      <c r="G45" s="25">
        <v>0</v>
      </c>
      <c r="H45" s="11">
        <f t="shared" si="8"/>
        <v>0</v>
      </c>
      <c r="I45" s="11">
        <f t="shared" si="9"/>
        <v>0</v>
      </c>
      <c r="J45" s="11">
        <f t="shared" si="10"/>
        <v>0</v>
      </c>
      <c r="K45" s="11">
        <v>6E-05</v>
      </c>
      <c r="L45" s="11">
        <f t="shared" si="11"/>
        <v>0.0015</v>
      </c>
      <c r="N45" s="19" t="s">
        <v>132</v>
      </c>
      <c r="O45" s="11">
        <f t="shared" si="12"/>
        <v>0</v>
      </c>
      <c r="Z45" s="11">
        <f t="shared" si="13"/>
        <v>0</v>
      </c>
      <c r="AA45" s="11">
        <f t="shared" si="14"/>
        <v>0</v>
      </c>
      <c r="AB45" s="11">
        <f t="shared" si="15"/>
        <v>0</v>
      </c>
      <c r="AD45" s="11">
        <v>20</v>
      </c>
      <c r="AE45" s="11">
        <f t="shared" si="16"/>
        <v>0</v>
      </c>
      <c r="AF45" s="11">
        <f t="shared" si="17"/>
        <v>0</v>
      </c>
    </row>
    <row r="46" spans="1:32" ht="12.75">
      <c r="A46" s="3" t="s">
        <v>146</v>
      </c>
      <c r="B46" s="3"/>
      <c r="C46" s="3" t="s">
        <v>73</v>
      </c>
      <c r="D46" s="3" t="s">
        <v>110</v>
      </c>
      <c r="E46" s="3" t="s">
        <v>117</v>
      </c>
      <c r="F46" s="11">
        <v>7</v>
      </c>
      <c r="G46" s="25">
        <v>0</v>
      </c>
      <c r="H46" s="11">
        <f t="shared" si="8"/>
        <v>0</v>
      </c>
      <c r="I46" s="11">
        <f t="shared" si="9"/>
        <v>0</v>
      </c>
      <c r="J46" s="11">
        <f t="shared" si="10"/>
        <v>0</v>
      </c>
      <c r="K46" s="11">
        <v>0.00378</v>
      </c>
      <c r="L46" s="11">
        <f t="shared" si="11"/>
        <v>0.02646</v>
      </c>
      <c r="N46" s="19" t="s">
        <v>132</v>
      </c>
      <c r="O46" s="11">
        <f t="shared" si="12"/>
        <v>0</v>
      </c>
      <c r="Z46" s="11">
        <f t="shared" si="13"/>
        <v>0</v>
      </c>
      <c r="AA46" s="11">
        <f t="shared" si="14"/>
        <v>0</v>
      </c>
      <c r="AB46" s="11">
        <f t="shared" si="15"/>
        <v>0</v>
      </c>
      <c r="AD46" s="11">
        <v>20</v>
      </c>
      <c r="AE46" s="11">
        <f t="shared" si="16"/>
        <v>0</v>
      </c>
      <c r="AF46" s="11">
        <f t="shared" si="17"/>
        <v>0</v>
      </c>
    </row>
    <row r="47" spans="1:32" ht="12.75">
      <c r="A47" s="5" t="s">
        <v>147</v>
      </c>
      <c r="B47" s="5"/>
      <c r="C47" s="5" t="s">
        <v>74</v>
      </c>
      <c r="D47" s="5" t="s">
        <v>111</v>
      </c>
      <c r="E47" s="5" t="s">
        <v>117</v>
      </c>
      <c r="F47" s="12">
        <v>1</v>
      </c>
      <c r="G47" s="26">
        <v>0</v>
      </c>
      <c r="H47" s="12">
        <f t="shared" si="8"/>
        <v>0</v>
      </c>
      <c r="I47" s="12">
        <f t="shared" si="9"/>
        <v>0</v>
      </c>
      <c r="J47" s="12">
        <f t="shared" si="10"/>
        <v>0</v>
      </c>
      <c r="K47" s="12">
        <v>0.00046</v>
      </c>
      <c r="L47" s="12">
        <f t="shared" si="11"/>
        <v>0.00046</v>
      </c>
      <c r="N47" s="19" t="s">
        <v>132</v>
      </c>
      <c r="O47" s="11">
        <f t="shared" si="12"/>
        <v>0</v>
      </c>
      <c r="Z47" s="11">
        <f t="shared" si="13"/>
        <v>0</v>
      </c>
      <c r="AA47" s="11">
        <f t="shared" si="14"/>
        <v>0</v>
      </c>
      <c r="AB47" s="11">
        <f t="shared" si="15"/>
        <v>0</v>
      </c>
      <c r="AD47" s="11">
        <v>20</v>
      </c>
      <c r="AE47" s="11">
        <f t="shared" si="16"/>
        <v>0</v>
      </c>
      <c r="AF47" s="11">
        <f t="shared" si="17"/>
        <v>0</v>
      </c>
    </row>
    <row r="48" spans="1:28" ht="12.75">
      <c r="A48" s="6"/>
      <c r="B48" s="6"/>
      <c r="C48" s="6"/>
      <c r="D48" s="6"/>
      <c r="E48" s="6"/>
      <c r="F48" s="6"/>
      <c r="G48" s="27"/>
      <c r="H48" s="30" t="s">
        <v>124</v>
      </c>
      <c r="I48" s="31"/>
      <c r="J48" s="21">
        <f>SUM(J29+J27+J24+J12)</f>
        <v>0</v>
      </c>
      <c r="K48" s="6"/>
      <c r="L48" s="6"/>
      <c r="Z48" s="22">
        <f>SUM(Z12:Z47)</f>
        <v>0</v>
      </c>
      <c r="AA48" s="22">
        <f>SUM(AA12:AA47)</f>
        <v>0</v>
      </c>
      <c r="AB48" s="22">
        <f>SUM(AB12:AB47)</f>
        <v>0</v>
      </c>
    </row>
  </sheetData>
  <sheetProtection/>
  <mergeCells count="32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D12:G12"/>
    <mergeCell ref="H10:J10"/>
    <mergeCell ref="K10:L10"/>
    <mergeCell ref="D24:G24"/>
    <mergeCell ref="D27:G27"/>
    <mergeCell ref="D29:G29"/>
    <mergeCell ref="H48:I48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Mistr skluzu</dc:creator>
  <cp:keywords/>
  <dc:description/>
  <cp:lastModifiedBy>okay</cp:lastModifiedBy>
  <cp:lastPrinted>2012-12-19T11:54:06Z</cp:lastPrinted>
  <dcterms:created xsi:type="dcterms:W3CDTF">2013-01-14T07:32:39Z</dcterms:created>
  <dcterms:modified xsi:type="dcterms:W3CDTF">2013-01-14T07:32:39Z</dcterms:modified>
  <cp:category/>
  <cp:version/>
  <cp:contentType/>
  <cp:contentStatus/>
</cp:coreProperties>
</file>