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0005" windowHeight="10005" activeTab="1"/>
  </bookViews>
  <sheets>
    <sheet name="1-09-2014" sheetId="1" r:id="rId1"/>
    <sheet name="1-09-2014-HSV" sheetId="2" r:id="rId2"/>
  </sheets>
  <definedNames>
    <definedName name="_xlnm.Print_Area" localSheetId="0">'1-09-2014'!$A:$L</definedName>
    <definedName name="_xlnm.Print_Area" localSheetId="1">'1-09-2014-HSV'!$A:$G</definedName>
  </definedNames>
  <calcPr calcId="125725"/>
</workbook>
</file>

<file path=xl/calcChain.xml><?xml version="1.0" encoding="utf-8"?>
<calcChain xmlns="http://schemas.openxmlformats.org/spreadsheetml/2006/main">
  <c r="N93" i="2"/>
  <c r="N89"/>
  <c r="N88"/>
  <c r="N87"/>
  <c r="N82"/>
  <c r="O82" s="1"/>
  <c r="M82"/>
  <c r="K82"/>
  <c r="I82"/>
  <c r="G82"/>
  <c r="N80"/>
  <c r="O80" s="1"/>
  <c r="M80"/>
  <c r="K80"/>
  <c r="I80"/>
  <c r="G80"/>
  <c r="N78"/>
  <c r="O78" s="1"/>
  <c r="M78"/>
  <c r="K78"/>
  <c r="I78"/>
  <c r="G78"/>
  <c r="N76"/>
  <c r="O76" s="1"/>
  <c r="M76"/>
  <c r="K76"/>
  <c r="I76"/>
  <c r="G76"/>
  <c r="N74"/>
  <c r="O74" s="1"/>
  <c r="M74"/>
  <c r="K74"/>
  <c r="I74"/>
  <c r="G74"/>
  <c r="N69"/>
  <c r="O69" s="1"/>
  <c r="M69"/>
  <c r="M84" s="1"/>
  <c r="K69"/>
  <c r="K84" s="1"/>
  <c r="I69"/>
  <c r="I84" s="1"/>
  <c r="G69"/>
  <c r="N64"/>
  <c r="O64" s="1"/>
  <c r="M64"/>
  <c r="K64"/>
  <c r="I64"/>
  <c r="G64"/>
  <c r="N63"/>
  <c r="O63" s="1"/>
  <c r="M63"/>
  <c r="K63"/>
  <c r="I63"/>
  <c r="G63"/>
  <c r="N61"/>
  <c r="O61" s="1"/>
  <c r="M61"/>
  <c r="K61"/>
  <c r="I61"/>
  <c r="G61"/>
  <c r="N59"/>
  <c r="O59" s="1"/>
  <c r="M59"/>
  <c r="M66" s="1"/>
  <c r="K59"/>
  <c r="I59"/>
  <c r="I66" s="1"/>
  <c r="G59"/>
  <c r="O53"/>
  <c r="O56" s="1"/>
  <c r="N53"/>
  <c r="M53"/>
  <c r="M56" s="1"/>
  <c r="K53"/>
  <c r="K56" s="1"/>
  <c r="I53"/>
  <c r="I56" s="1"/>
  <c r="G53"/>
  <c r="G56" s="1"/>
  <c r="N48"/>
  <c r="O48" s="1"/>
  <c r="O50" s="1"/>
  <c r="M48"/>
  <c r="M50" s="1"/>
  <c r="K48"/>
  <c r="K50" s="1"/>
  <c r="I48"/>
  <c r="I50" s="1"/>
  <c r="G48"/>
  <c r="G50" s="1"/>
  <c r="N42"/>
  <c r="O42" s="1"/>
  <c r="O45" s="1"/>
  <c r="M42"/>
  <c r="M45" s="1"/>
  <c r="K42"/>
  <c r="K45" s="1"/>
  <c r="I42"/>
  <c r="I45" s="1"/>
  <c r="G42"/>
  <c r="G45" s="1"/>
  <c r="N36"/>
  <c r="O36" s="1"/>
  <c r="M36"/>
  <c r="K36"/>
  <c r="I36"/>
  <c r="G36"/>
  <c r="N34"/>
  <c r="O34" s="1"/>
  <c r="M34"/>
  <c r="K34"/>
  <c r="I34"/>
  <c r="G34"/>
  <c r="N32"/>
  <c r="O32" s="1"/>
  <c r="M32"/>
  <c r="K32"/>
  <c r="I32"/>
  <c r="G32"/>
  <c r="N26"/>
  <c r="O26" s="1"/>
  <c r="M26"/>
  <c r="K26"/>
  <c r="I26"/>
  <c r="G26"/>
  <c r="N23"/>
  <c r="O23" s="1"/>
  <c r="M23"/>
  <c r="K23"/>
  <c r="I23"/>
  <c r="G23"/>
  <c r="N20"/>
  <c r="O20" s="1"/>
  <c r="O29" s="1"/>
  <c r="M20"/>
  <c r="M29" s="1"/>
  <c r="K20"/>
  <c r="K29" s="1"/>
  <c r="I20"/>
  <c r="I29" s="1"/>
  <c r="G20"/>
  <c r="N14"/>
  <c r="O14" s="1"/>
  <c r="M14"/>
  <c r="K14"/>
  <c r="I14"/>
  <c r="G14"/>
  <c r="N11"/>
  <c r="O11" s="1"/>
  <c r="M11"/>
  <c r="K11"/>
  <c r="I11"/>
  <c r="I17" s="1"/>
  <c r="G11"/>
  <c r="Z1"/>
  <c r="Z2" s="1"/>
  <c r="Y1"/>
  <c r="Y2" s="1"/>
  <c r="X1"/>
  <c r="X2" s="1"/>
  <c r="U1"/>
  <c r="D20" i="1" s="1"/>
  <c r="K20" s="1"/>
  <c r="T1" i="2"/>
  <c r="D19" i="1" s="1"/>
  <c r="K19" s="1"/>
  <c r="S1" i="2"/>
  <c r="D18" i="1" s="1"/>
  <c r="K18" s="1"/>
  <c r="R1" i="2"/>
  <c r="D17" i="1" s="1"/>
  <c r="K17" s="1"/>
  <c r="I20"/>
  <c r="F20"/>
  <c r="I19"/>
  <c r="F19"/>
  <c r="I18"/>
  <c r="F18"/>
  <c r="I17"/>
  <c r="F17"/>
  <c r="I16"/>
  <c r="I21" s="1"/>
  <c r="F16"/>
  <c r="F21" s="1"/>
  <c r="G29" i="2" l="1"/>
  <c r="G66"/>
  <c r="G84"/>
  <c r="M17"/>
  <c r="I39"/>
  <c r="M39"/>
  <c r="O84"/>
  <c r="G17"/>
  <c r="K17"/>
  <c r="G39"/>
  <c r="K39"/>
  <c r="K66"/>
  <c r="O17"/>
  <c r="O39"/>
  <c r="O66"/>
  <c r="S2"/>
  <c r="U2"/>
  <c r="R2"/>
  <c r="E93" s="1"/>
  <c r="T2"/>
  <c r="E88" s="1"/>
  <c r="E87" l="1"/>
  <c r="M87" s="1"/>
  <c r="E89"/>
  <c r="K89" s="1"/>
  <c r="K88"/>
  <c r="G88"/>
  <c r="O88"/>
  <c r="M88"/>
  <c r="I88"/>
  <c r="K93"/>
  <c r="G93"/>
  <c r="O93"/>
  <c r="M93"/>
  <c r="I93"/>
  <c r="G87" l="1"/>
  <c r="I87"/>
  <c r="O87"/>
  <c r="K87"/>
  <c r="M89"/>
  <c r="G89"/>
  <c r="I89"/>
  <c r="O89"/>
  <c r="I94"/>
  <c r="O94"/>
  <c r="K94"/>
  <c r="M90"/>
  <c r="K90"/>
  <c r="K96" s="1"/>
  <c r="G90"/>
  <c r="W1"/>
  <c r="W2" s="1"/>
  <c r="Q1"/>
  <c r="I90"/>
  <c r="I96" s="1"/>
  <c r="O90"/>
  <c r="O96" s="1"/>
  <c r="M94"/>
  <c r="G94"/>
  <c r="M96" l="1"/>
  <c r="D16" i="1"/>
  <c r="Q2" i="2"/>
  <c r="G96"/>
  <c r="K16" i="1" l="1"/>
  <c r="K21" s="1"/>
  <c r="D21"/>
  <c r="K32" l="1"/>
  <c r="F33" l="1"/>
  <c r="K33" s="1"/>
  <c r="K34" s="1"/>
</calcChain>
</file>

<file path=xl/sharedStrings.xml><?xml version="1.0" encoding="utf-8"?>
<sst xmlns="http://schemas.openxmlformats.org/spreadsheetml/2006/main" count="376" uniqueCount="193">
  <si>
    <t>ZAKÁZKA</t>
  </si>
  <si>
    <t>Označení</t>
  </si>
  <si>
    <t>1/09/2014</t>
  </si>
  <si>
    <t>Popis</t>
  </si>
  <si>
    <t>TYKES</t>
  </si>
  <si>
    <t>STAVBA, OBJEKT</t>
  </si>
  <si>
    <t>Stavba</t>
  </si>
  <si>
    <t>Rekonstrukce administrativních prostor na bytové jednotky</t>
  </si>
  <si>
    <t>Objekt</t>
  </si>
  <si>
    <t>Zednické a bourací práce</t>
  </si>
  <si>
    <t>DODAVATEL</t>
  </si>
  <si>
    <t>ODBĚRATEL</t>
  </si>
  <si>
    <t>TYKES s.r.o.</t>
  </si>
  <si>
    <t/>
  </si>
  <si>
    <t>Plzeň</t>
  </si>
  <si>
    <t>301 00</t>
  </si>
  <si>
    <t>ZÁKLADNÍ ROZPOČTOVÉ NÁKLADY</t>
  </si>
  <si>
    <t>HSV</t>
  </si>
  <si>
    <t>PSV</t>
  </si>
  <si>
    <t>Montáže</t>
  </si>
  <si>
    <t>S</t>
  </si>
  <si>
    <t>stavební práce</t>
  </si>
  <si>
    <t>specifikace</t>
  </si>
  <si>
    <t>stroje</t>
  </si>
  <si>
    <t>HZS</t>
  </si>
  <si>
    <t>ostatní</t>
  </si>
  <si>
    <t>INŽENÝRSKÁ ČINNOST</t>
  </si>
  <si>
    <t>Inženýrská činnost</t>
  </si>
  <si>
    <t>VEDLEJŠÍ ROZPOČTOVÉ NÁKLADY</t>
  </si>
  <si>
    <t>GZS - zábory atd.</t>
  </si>
  <si>
    <t>Provoz investora - koordinace s ostatními pracemi</t>
  </si>
  <si>
    <t>CENA OBJEKTU</t>
  </si>
  <si>
    <t>cena bez DPH</t>
  </si>
  <si>
    <t>DPH</t>
  </si>
  <si>
    <t>ze základu</t>
  </si>
  <si>
    <t>POLOŽKOVÝ ROZPIS</t>
  </si>
  <si>
    <t>Rek. složek</t>
  </si>
  <si>
    <t>Rek. DPH</t>
  </si>
  <si>
    <t>zakázka</t>
  </si>
  <si>
    <t>1/09/2014 (TYKES)</t>
  </si>
  <si>
    <t>stavba</t>
  </si>
  <si>
    <t>objekt</t>
  </si>
  <si>
    <t>typ činností</t>
  </si>
  <si>
    <t>pořadí</t>
  </si>
  <si>
    <t>číslo</t>
  </si>
  <si>
    <t>popis</t>
  </si>
  <si>
    <t>m.j.</t>
  </si>
  <si>
    <t>množství</t>
  </si>
  <si>
    <t>cena</t>
  </si>
  <si>
    <t>hmotnost</t>
  </si>
  <si>
    <t>suť</t>
  </si>
  <si>
    <t>cena hmot (dodávka)</t>
  </si>
  <si>
    <t>cena ostatních složek (montáž)</t>
  </si>
  <si>
    <t>pomocná definiční oblast pro výpočty</t>
  </si>
  <si>
    <t>jednotka</t>
  </si>
  <si>
    <t>celkem</t>
  </si>
  <si>
    <t>_stavebi_dil</t>
  </si>
  <si>
    <t>_stavebni_dil_sum</t>
  </si>
  <si>
    <t>_hpm</t>
  </si>
  <si>
    <t>_cenik</t>
  </si>
  <si>
    <t>_cenik_cast</t>
  </si>
  <si>
    <t>_typ_zaklad</t>
  </si>
  <si>
    <t>_typ_def</t>
  </si>
  <si>
    <t>_typ_def_hpm</t>
  </si>
  <si>
    <t>_typ_def_cenik</t>
  </si>
  <si>
    <t>_typ_def_cenik_cast</t>
  </si>
  <si>
    <t>_nasobek</t>
  </si>
  <si>
    <t>_dph</t>
  </si>
  <si>
    <t>_typ_slozky</t>
  </si>
  <si>
    <t>31 (Zdi podpěrné a volné)</t>
  </si>
  <si>
    <t>310 23 9411_/00</t>
  </si>
  <si>
    <t>Zazdívka otvorů plocha do 4 m2 zdivo malta MC</t>
  </si>
  <si>
    <t>m3</t>
  </si>
  <si>
    <t>díl 31</t>
  </si>
  <si>
    <t>H</t>
  </si>
  <si>
    <t>801-4</t>
  </si>
  <si>
    <t>801-4,C01</t>
  </si>
  <si>
    <t>sp</t>
  </si>
  <si>
    <t>tl. 450 - nosné zdivo</t>
  </si>
  <si>
    <t>6,09*0,45</t>
  </si>
  <si>
    <t>317 94 1121_/00</t>
  </si>
  <si>
    <t>Osazení včetně dodávky válcovaných ocelových nosníků I,IE,U,UE,L na zdivo do 120mm</t>
  </si>
  <si>
    <t>t</t>
  </si>
  <si>
    <t>801-1</t>
  </si>
  <si>
    <t>801-1,A01</t>
  </si>
  <si>
    <t>překlady nadedvřní - nosné zdivo - 2*L 100/100/10mm/otvor</t>
  </si>
  <si>
    <t>(3*2+1,5*4)*15/1000</t>
  </si>
  <si>
    <t>díl 31 (Zdi podpěrné a volné)</t>
  </si>
  <si>
    <t>34 (Stěny a příčky)</t>
  </si>
  <si>
    <t>342 27 2336_/00</t>
  </si>
  <si>
    <t>Příčky z tvárnic tl. 10cm YTONG 550kg/m3</t>
  </si>
  <si>
    <t>m2</t>
  </si>
  <si>
    <t>díl 34</t>
  </si>
  <si>
    <t>tl. 100mm, navrhuji pěnosylikátové, v případě SDK samostatná kalkulace, protihluk, kce atd...</t>
  </si>
  <si>
    <t>0,7*3,2+5,5*3,2-1,6+2,525*3,2-1,6+6,45*3,2-1,6+2,75*3,2+0,6*3,2+(1,6*3,2-1,4)*2+1,5*0,8*2+3,4*3,2-1,6+2,3*3,2</t>
  </si>
  <si>
    <t>342 27 2536_/00</t>
  </si>
  <si>
    <t>Příčky z tvárnic tl. 15cm YTONG 550kg/m3</t>
  </si>
  <si>
    <t>tl. 150mm</t>
  </si>
  <si>
    <t>0,9*2,1+1,4*3,2-1,8</t>
  </si>
  <si>
    <t>349 23 1811_/00</t>
  </si>
  <si>
    <t>Přizdívka ostění z cihel, zavázání kapes, tl. 8 -15cm</t>
  </si>
  <si>
    <t>hrubé začištění po vybourání otvorů</t>
  </si>
  <si>
    <t>(2,3+2,3+2,1+2,1+2,1+2,1)*0,45+(3,2*4*0,15)</t>
  </si>
  <si>
    <t>díl 34 (Stěny a příčky)</t>
  </si>
  <si>
    <t>61 (Úprava povrchů vnitřní)</t>
  </si>
  <si>
    <t>611 42 1221_/00</t>
  </si>
  <si>
    <t>Oprava vápenných omítek stropů železobetonových rovných hladkých do 5% opr. plochy</t>
  </si>
  <si>
    <t>díl 61</t>
  </si>
  <si>
    <t>začištění stávajících omítek, odhad množství</t>
  </si>
  <si>
    <t>612 42 1131_/00</t>
  </si>
  <si>
    <t>Oprava vápenných omítek stěn vnitřních štukových do 5% opr. plochy</t>
  </si>
  <si>
    <t>612 47 3182_/00</t>
  </si>
  <si>
    <t>Omítka vnitřní vápenocementovou maltou ze suchých směsí zdiva štuková</t>
  </si>
  <si>
    <t>dozdívky, příčky, ostění</t>
  </si>
  <si>
    <t>(4,57+80,96)*2+6*0,65+2*1,3+1,0*2,5+8</t>
  </si>
  <si>
    <t>díl 61 (Úprava povrchů vnitřní)</t>
  </si>
  <si>
    <t>62 (Úprava povrchů vnější)</t>
  </si>
  <si>
    <t>620 47 2911_/00</t>
  </si>
  <si>
    <t>Vyrovnání podkladu pro tenkovrstvé omítky tmelem a skelnou tkaninou</t>
  </si>
  <si>
    <t>díl 62</t>
  </si>
  <si>
    <t>díl 62 (Úprava povrchů vnější)</t>
  </si>
  <si>
    <t>64 (Osazování výplní otvorů)</t>
  </si>
  <si>
    <t>642 94 2111_/00</t>
  </si>
  <si>
    <t>Osazování dveřní zárubně ocelové kovové lisované i z úhelníků na jakoukoliv MC do 2,5m2</t>
  </si>
  <si>
    <t>ks</t>
  </si>
  <si>
    <t>díl 64</t>
  </si>
  <si>
    <t>dle podkladů neznámá výměra, uvádím cenu za jednotku, dodávku zajistí investor</t>
  </si>
  <si>
    <t>díl 64 (Osazování výplní otvorů)</t>
  </si>
  <si>
    <t>95 (Různé dokončovací konstrukce a práce)</t>
  </si>
  <si>
    <t>952 90 1111_/00</t>
  </si>
  <si>
    <t>Vyčistění budov (bytových/občanských) výšky podlaží do 4m</t>
  </si>
  <si>
    <t>díl 95</t>
  </si>
  <si>
    <t>úklid prostor průběžný plus konečný po dokončení prací</t>
  </si>
  <si>
    <t>59,31+32,83+36,15+42,84+8,5*1,4</t>
  </si>
  <si>
    <t>díl 95 (Různé dokončovací konstrukce a práce)</t>
  </si>
  <si>
    <t>96 (Bourání a demontáž konstrukcí)</t>
  </si>
  <si>
    <t>962 03 1133_/00</t>
  </si>
  <si>
    <t>Bourání příček cihelných pálených malta MV/MVC tl. do 15cm</t>
  </si>
  <si>
    <t>díl 96</t>
  </si>
  <si>
    <t>801-3</t>
  </si>
  <si>
    <t>801-3,B01</t>
  </si>
  <si>
    <t>fakturace dle skutečně provedených</t>
  </si>
  <si>
    <t>965 08 1713_/00</t>
  </si>
  <si>
    <t>Bourání dlažeb -dlaždice xylolitové/ keramické plochy přes 1m2 do tl. 10mm</t>
  </si>
  <si>
    <t>dle podkladů neznámá výměra, uvádím cenu za jednotku</t>
  </si>
  <si>
    <t>968 06 1113_/00</t>
  </si>
  <si>
    <t>Vyvěšení nebo zavěšení dřevěných křídel oken plochy nad 1,5m2</t>
  </si>
  <si>
    <t>968 07 2455_/00</t>
  </si>
  <si>
    <t>Vybourání zárubní dveřních kovových plochy do 2m2</t>
  </si>
  <si>
    <t>1,2*2+4*1,6</t>
  </si>
  <si>
    <t>díl 96 (Bourání a demontáž konstrukcí)</t>
  </si>
  <si>
    <t>97 (Prorážení otvorů a ostatní bourací práce, doprava vybouraných hmot)</t>
  </si>
  <si>
    <t>971 03 3651_/00</t>
  </si>
  <si>
    <t>Vybourání otvorů plochy do 4m2 ve zdivu cihelném na MV/MVC do tl. 60cm</t>
  </si>
  <si>
    <t>díl 97</t>
  </si>
  <si>
    <t>tl 450mm</t>
  </si>
  <si>
    <t>0,45*(2,3*2,1+2,1*1+2,1*1,2</t>
  </si>
  <si>
    <t>tl 250 - instalační šachta</t>
  </si>
  <si>
    <t>0,25*0,8*3,2</t>
  </si>
  <si>
    <t>973 02 8131_/00</t>
  </si>
  <si>
    <t>Vysekání kapes ve zdivu pro zavázání nových příček do tl. 15cm</t>
  </si>
  <si>
    <t>m</t>
  </si>
  <si>
    <t>11*3,2</t>
  </si>
  <si>
    <t>973 02 8151_/00</t>
  </si>
  <si>
    <t>Vysekání kapes ve zdivu pro zavázání nových příček do tl. 45cm</t>
  </si>
  <si>
    <t>6*2,1</t>
  </si>
  <si>
    <t>974 03 1664_/00</t>
  </si>
  <si>
    <t>Vysekání rýhy ve zdivu cihelném pro vložení nosníku do hloubkyxšířky 15x15cm</t>
  </si>
  <si>
    <t>(3*2+1,5*4)</t>
  </si>
  <si>
    <t>978 01 3191_/00</t>
  </si>
  <si>
    <t>Otlučení omítky vnitřní u stěny na MV/MVC v rozsahu do 100%</t>
  </si>
  <si>
    <t>978 05 9521_/00</t>
  </si>
  <si>
    <t>Odsekání obkladů u stěn vnitřních z obkladaček plochy do 2m2</t>
  </si>
  <si>
    <t>díl 97 (Prorážení otvorů a ostatní bourací práce, doprava vybouraných hmot)</t>
  </si>
  <si>
    <t>979 (Odvoz suti)</t>
  </si>
  <si>
    <t>979 01 1111_/00</t>
  </si>
  <si>
    <t>Svislá doprava suti za jedno podlaží</t>
  </si>
  <si>
    <t>díl 979</t>
  </si>
  <si>
    <t>cenik_cast</t>
  </si>
  <si>
    <t>979 01 1121_/00</t>
  </si>
  <si>
    <t>Svislá doprava suti za každé další podlaží</t>
  </si>
  <si>
    <t>hpm</t>
  </si>
  <si>
    <t>979 08 2111_/00</t>
  </si>
  <si>
    <t>Vnitrostaveništní doprava suti vodorovná do 10m</t>
  </si>
  <si>
    <t>díl 979 (Odvoz suti)</t>
  </si>
  <si>
    <t>99 (Přesun hmot, dočasné jeřábové dráhy)</t>
  </si>
  <si>
    <t>998 01 1002_/00</t>
  </si>
  <si>
    <t>Přesun hmot pro budovy s nosnou konstrukcí zděnou nebo kovovou výšky do 12 m</t>
  </si>
  <si>
    <t>díl 99</t>
  </si>
  <si>
    <t>hmoty</t>
  </si>
  <si>
    <t>díl 99 (Přesun hmot, dočasné jeřábové dráhy)</t>
  </si>
  <si>
    <t>dozdívky, příčky, ostění - doporučuji jako ochranu proti mikrotrhlinám v omítce</t>
  </si>
  <si>
    <r>
      <t xml:space="preserve">Poznámka: </t>
    </r>
    <r>
      <rPr>
        <sz val="10"/>
        <rFont val="Arial"/>
        <family val="2"/>
        <charset val="238"/>
      </rPr>
      <t xml:space="preserve">konečná fakturace bude provedena na základě skutečně provedených prací odsouhlasených s investorem. Nabídková cena neobsahuje: odvoz sutí a poplatky za skládku, malířské a natěračské práce, vyrovnání podlah pod podlahové krytiny. 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</si>
</sst>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0.000"/>
    <numFmt numFmtId="165" formatCode="0.00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Symbol"/>
      <family val="1"/>
      <charset val="2"/>
    </font>
    <font>
      <i/>
      <sz val="10"/>
      <name val="Arial"/>
      <family val="2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>
      <alignment vertical="top"/>
    </xf>
    <xf numFmtId="0" fontId="20" fillId="0" borderId="11" xfId="0" applyFont="1" applyBorder="1">
      <alignment vertical="top"/>
    </xf>
    <xf numFmtId="0" fontId="20" fillId="0" borderId="0" xfId="0" applyFont="1">
      <alignment vertical="top"/>
    </xf>
    <xf numFmtId="9" fontId="0" fillId="0" borderId="0" xfId="0" applyNumberFormat="1">
      <alignment vertical="top"/>
    </xf>
    <xf numFmtId="44" fontId="0" fillId="0" borderId="0" xfId="0" applyNumberFormat="1">
      <alignment vertical="top"/>
    </xf>
    <xf numFmtId="49" fontId="26" fillId="35" borderId="0" xfId="0" applyNumberFormat="1" applyFont="1" applyFill="1">
      <alignment vertical="top"/>
    </xf>
    <xf numFmtId="165" fontId="26" fillId="35" borderId="0" xfId="0" applyNumberFormat="1" applyFont="1" applyFill="1" applyAlignment="1">
      <alignment vertical="top"/>
    </xf>
    <xf numFmtId="0" fontId="24" fillId="33" borderId="17" xfId="0" applyFont="1" applyFill="1" applyBorder="1" applyAlignment="1">
      <alignment horizontal="center" vertical="center" wrapText="1"/>
    </xf>
    <xf numFmtId="49" fontId="25" fillId="35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vertical="top" wrapText="1"/>
    </xf>
    <xf numFmtId="164" fontId="23" fillId="0" borderId="0" xfId="0" applyNumberFormat="1" applyFont="1" applyFill="1" applyAlignment="1">
      <alignment vertical="top"/>
    </xf>
    <xf numFmtId="44" fontId="23" fillId="0" borderId="0" xfId="0" applyNumberFormat="1" applyFont="1">
      <alignment vertical="top"/>
    </xf>
    <xf numFmtId="165" fontId="0" fillId="0" borderId="0" xfId="0" applyNumberFormat="1" applyFill="1" applyAlignment="1">
      <alignment vertical="top"/>
    </xf>
    <xf numFmtId="0" fontId="26" fillId="35" borderId="0" xfId="0" applyNumberFormat="1" applyFont="1" applyFill="1" applyAlignment="1">
      <alignment vertical="top"/>
    </xf>
    <xf numFmtId="49" fontId="22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/>
    </xf>
    <xf numFmtId="0" fontId="19" fillId="34" borderId="0" xfId="0" applyFont="1" applyFill="1" applyAlignment="1">
      <alignment horizontal="right" vertical="center"/>
    </xf>
    <xf numFmtId="44" fontId="23" fillId="34" borderId="0" xfId="0" applyNumberFormat="1" applyFont="1" applyFill="1" applyAlignment="1">
      <alignment vertical="center"/>
    </xf>
    <xf numFmtId="165" fontId="0" fillId="34" borderId="0" xfId="0" applyNumberFormat="1" applyFill="1" applyAlignment="1">
      <alignment vertical="center"/>
    </xf>
    <xf numFmtId="44" fontId="0" fillId="34" borderId="0" xfId="0" applyNumberFormat="1" applyFill="1" applyAlignment="1">
      <alignment vertical="center"/>
    </xf>
    <xf numFmtId="49" fontId="20" fillId="0" borderId="0" xfId="0" applyNumberFormat="1" applyFont="1" applyFill="1" applyAlignment="1">
      <alignment vertical="top" wrapText="1"/>
    </xf>
    <xf numFmtId="0" fontId="19" fillId="33" borderId="18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vertical="center"/>
    </xf>
    <xf numFmtId="44" fontId="23" fillId="33" borderId="18" xfId="0" applyNumberFormat="1" applyFont="1" applyFill="1" applyBorder="1" applyAlignment="1">
      <alignment vertical="center"/>
    </xf>
    <xf numFmtId="165" fontId="0" fillId="33" borderId="18" xfId="0" applyNumberFormat="1" applyFill="1" applyBorder="1" applyAlignment="1">
      <alignment vertical="center"/>
    </xf>
    <xf numFmtId="44" fontId="0" fillId="33" borderId="18" xfId="0" applyNumberFormat="1" applyFill="1" applyBorder="1" applyAlignment="1">
      <alignment vertical="center"/>
    </xf>
    <xf numFmtId="44" fontId="0" fillId="0" borderId="13" xfId="0" applyNumberFormat="1" applyBorder="1">
      <alignment vertical="top"/>
    </xf>
    <xf numFmtId="0" fontId="20" fillId="0" borderId="0" xfId="0" applyFont="1" applyBorder="1">
      <alignment vertical="top"/>
    </xf>
    <xf numFmtId="0" fontId="20" fillId="0" borderId="11" xfId="0" applyFont="1" applyBorder="1">
      <alignment vertical="top"/>
    </xf>
    <xf numFmtId="44" fontId="0" fillId="0" borderId="12" xfId="0" applyNumberFormat="1" applyBorder="1">
      <alignment vertical="top"/>
    </xf>
    <xf numFmtId="0" fontId="21" fillId="34" borderId="13" xfId="0" applyFont="1" applyFill="1" applyBorder="1">
      <alignment vertical="top"/>
    </xf>
    <xf numFmtId="0" fontId="21" fillId="34" borderId="16" xfId="0" applyFont="1" applyFill="1" applyBorder="1">
      <alignment vertical="top"/>
    </xf>
    <xf numFmtId="44" fontId="23" fillId="34" borderId="13" xfId="0" applyNumberFormat="1" applyFont="1" applyFill="1" applyBorder="1">
      <alignment vertical="top"/>
    </xf>
    <xf numFmtId="44" fontId="23" fillId="34" borderId="14" xfId="0" applyNumberFormat="1" applyFont="1" applyFill="1" applyBorder="1">
      <alignment vertical="top"/>
    </xf>
    <xf numFmtId="44" fontId="23" fillId="34" borderId="0" xfId="0" applyNumberFormat="1" applyFont="1" applyFill="1">
      <alignment vertical="top"/>
    </xf>
    <xf numFmtId="0" fontId="21" fillId="0" borderId="13" xfId="0" applyFont="1" applyBorder="1">
      <alignment vertical="top"/>
    </xf>
    <xf numFmtId="0" fontId="21" fillId="0" borderId="16" xfId="0" applyFont="1" applyBorder="1">
      <alignment vertical="top"/>
    </xf>
    <xf numFmtId="0" fontId="18" fillId="33" borderId="10" xfId="0" applyFont="1" applyFill="1" applyBorder="1" applyAlignment="1">
      <alignment horizontal="left" vertical="center"/>
    </xf>
    <xf numFmtId="0" fontId="20" fillId="34" borderId="10" xfId="0" applyFont="1" applyFill="1" applyBorder="1">
      <alignment vertical="top"/>
    </xf>
    <xf numFmtId="0" fontId="20" fillId="34" borderId="15" xfId="0" applyFont="1" applyFill="1" applyBorder="1">
      <alignment vertical="top"/>
    </xf>
    <xf numFmtId="44" fontId="23" fillId="34" borderId="10" xfId="0" applyNumberFormat="1" applyFont="1" applyFill="1" applyBorder="1">
      <alignment vertical="top"/>
    </xf>
    <xf numFmtId="44" fontId="23" fillId="34" borderId="12" xfId="0" applyNumberFormat="1" applyFont="1" applyFill="1" applyBorder="1">
      <alignment vertical="top"/>
    </xf>
    <xf numFmtId="0" fontId="20" fillId="0" borderId="10" xfId="0" applyFont="1" applyBorder="1">
      <alignment vertical="top"/>
    </xf>
    <xf numFmtId="0" fontId="20" fillId="0" borderId="15" xfId="0" applyFont="1" applyBorder="1">
      <alignment vertical="top"/>
    </xf>
    <xf numFmtId="44" fontId="23" fillId="34" borderId="15" xfId="0" applyNumberFormat="1" applyFont="1" applyFill="1" applyBorder="1">
      <alignment vertical="top"/>
    </xf>
    <xf numFmtId="0" fontId="21" fillId="0" borderId="0" xfId="0" applyFont="1" applyBorder="1">
      <alignment vertical="top"/>
    </xf>
    <xf numFmtId="0" fontId="21" fillId="0" borderId="11" xfId="0" applyFont="1" applyBorder="1">
      <alignment vertical="top"/>
    </xf>
    <xf numFmtId="44" fontId="23" fillId="34" borderId="0" xfId="0" applyNumberFormat="1" applyFont="1" applyFill="1" applyBorder="1">
      <alignment vertical="top"/>
    </xf>
    <xf numFmtId="44" fontId="23" fillId="34" borderId="11" xfId="0" applyNumberFormat="1" applyFont="1" applyFill="1" applyBorder="1">
      <alignment vertical="top"/>
    </xf>
    <xf numFmtId="0" fontId="23" fillId="0" borderId="0" xfId="0" applyFont="1">
      <alignment vertical="top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3" xfId="0" applyFont="1" applyBorder="1">
      <alignment vertical="top"/>
    </xf>
    <xf numFmtId="0" fontId="23" fillId="0" borderId="12" xfId="0" applyFont="1" applyBorder="1">
      <alignment vertical="top"/>
    </xf>
    <xf numFmtId="0" fontId="23" fillId="0" borderId="14" xfId="0" applyFont="1" applyBorder="1">
      <alignment vertical="top"/>
    </xf>
    <xf numFmtId="0" fontId="23" fillId="34" borderId="12" xfId="0" applyFont="1" applyFill="1" applyBorder="1">
      <alignment vertical="top"/>
    </xf>
    <xf numFmtId="0" fontId="23" fillId="34" borderId="13" xfId="0" applyFont="1" applyFill="1" applyBorder="1">
      <alignment vertical="top"/>
    </xf>
    <xf numFmtId="0" fontId="23" fillId="34" borderId="14" xfId="0" applyFont="1" applyFill="1" applyBorder="1">
      <alignment vertical="top"/>
    </xf>
    <xf numFmtId="0" fontId="23" fillId="34" borderId="0" xfId="0" applyFont="1" applyFill="1">
      <alignment vertical="top"/>
    </xf>
    <xf numFmtId="0" fontId="27" fillId="0" borderId="0" xfId="0" applyFont="1" applyAlignment="1">
      <alignment horizontal="left" vertical="top" wrapText="1"/>
    </xf>
    <xf numFmtId="0" fontId="24" fillId="33" borderId="0" xfId="0" applyFont="1" applyFill="1" applyBorder="1" applyAlignment="1">
      <alignment horizontal="center" vertical="center" wrapText="1"/>
    </xf>
    <xf numFmtId="49" fontId="25" fillId="35" borderId="0" xfId="0" applyNumberFormat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Normal="100" zoomScaleSheetLayoutView="100" workbookViewId="0">
      <selection activeCell="K27" sqref="K27:L30"/>
    </sheetView>
  </sheetViews>
  <sheetFormatPr defaultRowHeight="12.75"/>
  <cols>
    <col min="1" max="1" width="5.28515625" customWidth="1"/>
    <col min="2" max="5" width="10.7109375" customWidth="1"/>
    <col min="6" max="7" width="5.28515625" customWidth="1"/>
    <col min="8" max="11" width="10.7109375" customWidth="1"/>
  </cols>
  <sheetData>
    <row r="1" spans="1:12" ht="18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 customHeight="1">
      <c r="B2" s="1" t="s">
        <v>1</v>
      </c>
      <c r="C2" s="56" t="s">
        <v>2</v>
      </c>
      <c r="D2" s="55"/>
      <c r="E2" s="55"/>
      <c r="F2" s="55"/>
      <c r="G2" s="55"/>
      <c r="H2" s="55"/>
      <c r="I2" s="55"/>
      <c r="J2" s="55"/>
      <c r="K2" s="55"/>
      <c r="L2" s="55"/>
    </row>
    <row r="3" spans="1:12" ht="12.75" customHeight="1">
      <c r="B3" s="1" t="s">
        <v>3</v>
      </c>
      <c r="C3" s="57" t="s">
        <v>4</v>
      </c>
      <c r="D3" s="51"/>
      <c r="E3" s="51"/>
      <c r="F3" s="51"/>
      <c r="G3" s="51"/>
      <c r="H3" s="51"/>
      <c r="I3" s="51"/>
      <c r="J3" s="51"/>
      <c r="K3" s="51"/>
      <c r="L3" s="51"/>
    </row>
    <row r="5" spans="1:12" ht="18.75" customHeight="1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 customHeight="1">
      <c r="B6" s="1" t="s">
        <v>6</v>
      </c>
      <c r="C6" s="58" t="s">
        <v>7</v>
      </c>
      <c r="D6" s="59"/>
      <c r="E6" s="59"/>
      <c r="F6" s="59"/>
      <c r="G6" s="59"/>
      <c r="H6" s="59"/>
      <c r="I6" s="59"/>
      <c r="J6" s="59"/>
      <c r="K6" s="59"/>
      <c r="L6" s="59"/>
    </row>
    <row r="7" spans="1:12" ht="12.75" customHeight="1">
      <c r="B7" s="1" t="s">
        <v>8</v>
      </c>
      <c r="C7" s="60" t="s">
        <v>9</v>
      </c>
      <c r="D7" s="61"/>
      <c r="E7" s="61"/>
      <c r="F7" s="61"/>
      <c r="G7" s="61"/>
      <c r="H7" s="61"/>
      <c r="I7" s="61"/>
      <c r="J7" s="61"/>
      <c r="K7" s="61"/>
      <c r="L7" s="61"/>
    </row>
    <row r="9" spans="1:12" ht="18.75" customHeight="1">
      <c r="A9" s="39" t="s">
        <v>10</v>
      </c>
      <c r="B9" s="39"/>
      <c r="C9" s="39"/>
      <c r="D9" s="39"/>
      <c r="E9" s="39"/>
      <c r="F9" s="39"/>
      <c r="G9" s="39" t="s">
        <v>11</v>
      </c>
      <c r="H9" s="39"/>
      <c r="I9" s="39"/>
      <c r="J9" s="39"/>
      <c r="K9" s="39"/>
      <c r="L9" s="39"/>
    </row>
    <row r="10" spans="1:12" ht="12.75" customHeight="1">
      <c r="B10" s="55" t="s">
        <v>12</v>
      </c>
      <c r="C10" s="55"/>
      <c r="D10" s="55"/>
      <c r="E10" s="55"/>
      <c r="F10" s="55"/>
      <c r="G10" s="55"/>
      <c r="H10" s="55" t="s">
        <v>13</v>
      </c>
      <c r="I10" s="55"/>
      <c r="J10" s="55"/>
      <c r="K10" s="55"/>
      <c r="L10" s="55"/>
    </row>
    <row r="11" spans="1:12" ht="12.75" customHeight="1">
      <c r="B11" s="51" t="s">
        <v>14</v>
      </c>
      <c r="C11" s="51"/>
      <c r="D11" s="51"/>
      <c r="E11" s="51"/>
      <c r="F11" s="51"/>
      <c r="G11" s="51"/>
      <c r="H11" s="51" t="s">
        <v>13</v>
      </c>
      <c r="I11" s="51"/>
      <c r="J11" s="51"/>
      <c r="K11" s="51"/>
      <c r="L11" s="51"/>
    </row>
    <row r="12" spans="1:12" ht="12.75" customHeight="1">
      <c r="B12" s="51" t="s">
        <v>15</v>
      </c>
      <c r="C12" s="51"/>
      <c r="D12" s="51"/>
      <c r="E12" s="51"/>
      <c r="F12" s="51"/>
      <c r="G12" s="51"/>
      <c r="H12" s="51" t="s">
        <v>13</v>
      </c>
      <c r="I12" s="51"/>
      <c r="J12" s="51"/>
      <c r="K12" s="51"/>
      <c r="L12" s="51"/>
    </row>
    <row r="14" spans="1:12" ht="18.75" customHeight="1">
      <c r="A14" s="39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75" customHeight="1">
      <c r="B15" s="44"/>
      <c r="C15" s="45"/>
      <c r="D15" s="52" t="s">
        <v>17</v>
      </c>
      <c r="E15" s="53"/>
      <c r="F15" s="52" t="s">
        <v>18</v>
      </c>
      <c r="G15" s="52"/>
      <c r="H15" s="53"/>
      <c r="I15" s="52" t="s">
        <v>19</v>
      </c>
      <c r="J15" s="53"/>
      <c r="K15" s="54" t="s">
        <v>20</v>
      </c>
      <c r="L15" s="54"/>
    </row>
    <row r="16" spans="1:12" ht="12.75" customHeight="1">
      <c r="B16" s="29" t="s">
        <v>21</v>
      </c>
      <c r="C16" s="30"/>
      <c r="D16" s="49">
        <f>'1-09-2014-HSV'!$Q$1</f>
        <v>0</v>
      </c>
      <c r="E16" s="50"/>
      <c r="F16" s="49">
        <f>0</f>
        <v>0</v>
      </c>
      <c r="G16" s="49"/>
      <c r="H16" s="50"/>
      <c r="I16" s="49">
        <f>0</f>
        <v>0</v>
      </c>
      <c r="J16" s="50"/>
      <c r="K16" s="43">
        <f>SUM(D16:J16)</f>
        <v>0</v>
      </c>
      <c r="L16" s="34"/>
    </row>
    <row r="17" spans="1:12" ht="12.75" customHeight="1">
      <c r="B17" s="30" t="s">
        <v>22</v>
      </c>
      <c r="C17" s="30"/>
      <c r="D17" s="49">
        <f>'1-09-2014-HSV'!$R$1</f>
        <v>0</v>
      </c>
      <c r="E17" s="50"/>
      <c r="F17" s="49">
        <f>0</f>
        <v>0</v>
      </c>
      <c r="G17" s="49"/>
      <c r="H17" s="50"/>
      <c r="I17" s="49">
        <f>0</f>
        <v>0</v>
      </c>
      <c r="J17" s="50"/>
      <c r="K17" s="35">
        <f>SUM(D17:J17)</f>
        <v>0</v>
      </c>
      <c r="L17" s="36"/>
    </row>
    <row r="18" spans="1:12" ht="12.75" customHeight="1">
      <c r="B18" s="30" t="s">
        <v>23</v>
      </c>
      <c r="C18" s="30"/>
      <c r="D18" s="49">
        <f>'1-09-2014-HSV'!$S$1</f>
        <v>0</v>
      </c>
      <c r="E18" s="50"/>
      <c r="F18" s="49">
        <f>0</f>
        <v>0</v>
      </c>
      <c r="G18" s="49"/>
      <c r="H18" s="50"/>
      <c r="I18" s="49">
        <f>0</f>
        <v>0</v>
      </c>
      <c r="J18" s="50"/>
      <c r="K18" s="35">
        <f>SUM(D18:J18)</f>
        <v>0</v>
      </c>
      <c r="L18" s="36"/>
    </row>
    <row r="19" spans="1:12" ht="12.75" customHeight="1">
      <c r="B19" s="30" t="s">
        <v>24</v>
      </c>
      <c r="C19" s="30"/>
      <c r="D19" s="49">
        <f>'1-09-2014-HSV'!$T$1</f>
        <v>0</v>
      </c>
      <c r="E19" s="50"/>
      <c r="F19" s="49">
        <f>0</f>
        <v>0</v>
      </c>
      <c r="G19" s="49"/>
      <c r="H19" s="50"/>
      <c r="I19" s="49">
        <f>0</f>
        <v>0</v>
      </c>
      <c r="J19" s="50"/>
      <c r="K19" s="35">
        <f>SUM(D19:J19)</f>
        <v>0</v>
      </c>
      <c r="L19" s="36"/>
    </row>
    <row r="20" spans="1:12" ht="12.75" customHeight="1">
      <c r="B20" s="44" t="s">
        <v>25</v>
      </c>
      <c r="C20" s="45"/>
      <c r="D20" s="42">
        <f>'1-09-2014-HSV'!$U$1</f>
        <v>0</v>
      </c>
      <c r="E20" s="46"/>
      <c r="F20" s="42">
        <f>0</f>
        <v>0</v>
      </c>
      <c r="G20" s="42"/>
      <c r="H20" s="46"/>
      <c r="I20" s="42">
        <f>0</f>
        <v>0</v>
      </c>
      <c r="J20" s="46"/>
      <c r="K20" s="42">
        <f>SUM(D20:J20)</f>
        <v>0</v>
      </c>
      <c r="L20" s="42"/>
    </row>
    <row r="21" spans="1:12" ht="12.75" customHeight="1">
      <c r="B21" s="47" t="s">
        <v>20</v>
      </c>
      <c r="C21" s="48"/>
      <c r="D21" s="49">
        <f>SUM(D16:E20)</f>
        <v>0</v>
      </c>
      <c r="E21" s="50"/>
      <c r="F21" s="49">
        <f>SUM(F16:H20)</f>
        <v>0</v>
      </c>
      <c r="G21" s="49"/>
      <c r="H21" s="50"/>
      <c r="I21" s="49">
        <f>SUM(I16:J20)</f>
        <v>0</v>
      </c>
      <c r="J21" s="50"/>
      <c r="K21" s="43">
        <f>SUM(K16:L20)</f>
        <v>0</v>
      </c>
      <c r="L21" s="34"/>
    </row>
    <row r="23" spans="1:12" ht="18.75" customHeight="1">
      <c r="A23" s="39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.75" customHeight="1">
      <c r="B24" s="29" t="s">
        <v>27</v>
      </c>
      <c r="C24" s="29"/>
      <c r="D24" s="29"/>
      <c r="E24" s="29"/>
      <c r="F24" s="29"/>
      <c r="G24" s="29"/>
      <c r="H24" s="29"/>
      <c r="I24" s="29"/>
      <c r="J24" s="30"/>
      <c r="K24" s="43"/>
      <c r="L24" s="34"/>
    </row>
    <row r="26" spans="1:12" ht="18.75" customHeight="1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.75" customHeight="1">
      <c r="B27" s="29" t="s">
        <v>29</v>
      </c>
      <c r="C27" s="29"/>
      <c r="D27" s="29"/>
      <c r="E27" s="29"/>
      <c r="F27" s="29"/>
      <c r="G27" s="29"/>
      <c r="H27" s="29"/>
      <c r="I27" s="29"/>
      <c r="J27" s="30"/>
      <c r="K27" s="43"/>
      <c r="L27" s="34"/>
    </row>
    <row r="28" spans="1:12" ht="12.75" customHeight="1">
      <c r="B28" s="30" t="s">
        <v>30</v>
      </c>
      <c r="C28" s="30"/>
      <c r="D28" s="30"/>
      <c r="E28" s="30"/>
      <c r="F28" s="30"/>
      <c r="G28" s="30"/>
      <c r="H28" s="30"/>
      <c r="I28" s="30"/>
      <c r="J28" s="30"/>
      <c r="K28" s="35"/>
      <c r="L28" s="36"/>
    </row>
    <row r="29" spans="1:12" ht="12.75" customHeight="1">
      <c r="B29" s="37" t="s">
        <v>20</v>
      </c>
      <c r="C29" s="37"/>
      <c r="D29" s="37"/>
      <c r="E29" s="37"/>
      <c r="F29" s="37"/>
      <c r="G29" s="37"/>
      <c r="H29" s="37"/>
      <c r="I29" s="37"/>
      <c r="J29" s="38"/>
      <c r="K29" s="34"/>
      <c r="L29" s="34"/>
    </row>
    <row r="31" spans="1:12" ht="18.75" customHeight="1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75" customHeight="1">
      <c r="B32" s="40" t="s">
        <v>32</v>
      </c>
      <c r="C32" s="40"/>
      <c r="D32" s="40"/>
      <c r="E32" s="40"/>
      <c r="F32" s="40"/>
      <c r="G32" s="40"/>
      <c r="H32" s="40"/>
      <c r="I32" s="40"/>
      <c r="J32" s="41"/>
      <c r="K32" s="42">
        <f>$K$21+$K$24+$K$29</f>
        <v>0</v>
      </c>
      <c r="L32" s="42"/>
    </row>
    <row r="33" spans="2:12" ht="12.75" customHeight="1">
      <c r="C33" s="2" t="s">
        <v>33</v>
      </c>
      <c r="D33" s="3">
        <v>0.14000000000000001</v>
      </c>
      <c r="E33" s="2" t="s">
        <v>34</v>
      </c>
      <c r="F33" s="28">
        <f>$K$24+$K$29+'1-09-2014-HSV'!$W$1</f>
        <v>0</v>
      </c>
      <c r="G33" s="28"/>
      <c r="H33" s="28"/>
      <c r="I33" s="29"/>
      <c r="J33" s="30"/>
      <c r="K33" s="31">
        <f>F33*D33</f>
        <v>0</v>
      </c>
      <c r="L33" s="28"/>
    </row>
    <row r="34" spans="2:12" ht="12.75" customHeight="1">
      <c r="B34" s="32" t="s">
        <v>20</v>
      </c>
      <c r="C34" s="32"/>
      <c r="D34" s="32"/>
      <c r="E34" s="32"/>
      <c r="F34" s="32"/>
      <c r="G34" s="32"/>
      <c r="H34" s="32"/>
      <c r="I34" s="32"/>
      <c r="J34" s="33"/>
      <c r="K34" s="34">
        <f>SUM($K$33:$K$33)+$K$21+$K$24+$K$29</f>
        <v>0</v>
      </c>
      <c r="L34" s="34"/>
    </row>
  </sheetData>
  <mergeCells count="68">
    <mergeCell ref="C7:L7"/>
    <mergeCell ref="A1:L1"/>
    <mergeCell ref="C2:L2"/>
    <mergeCell ref="C3:L3"/>
    <mergeCell ref="A5:L5"/>
    <mergeCell ref="C6:L6"/>
    <mergeCell ref="A9:F9"/>
    <mergeCell ref="G9:L9"/>
    <mergeCell ref="B10:G10"/>
    <mergeCell ref="H10:L10"/>
    <mergeCell ref="B11:G11"/>
    <mergeCell ref="H11:L11"/>
    <mergeCell ref="B12:G12"/>
    <mergeCell ref="H12:L12"/>
    <mergeCell ref="A14:L14"/>
    <mergeCell ref="B15:C15"/>
    <mergeCell ref="D15:E15"/>
    <mergeCell ref="F15:H15"/>
    <mergeCell ref="I15:J15"/>
    <mergeCell ref="K15:L15"/>
    <mergeCell ref="B17:C17"/>
    <mergeCell ref="D17:E17"/>
    <mergeCell ref="F17:H17"/>
    <mergeCell ref="I17:J17"/>
    <mergeCell ref="K17:L17"/>
    <mergeCell ref="B16:C16"/>
    <mergeCell ref="D16:E16"/>
    <mergeCell ref="F16:H16"/>
    <mergeCell ref="I16:J16"/>
    <mergeCell ref="K16:L16"/>
    <mergeCell ref="B19:C19"/>
    <mergeCell ref="D19:E19"/>
    <mergeCell ref="F19:H19"/>
    <mergeCell ref="I19:J19"/>
    <mergeCell ref="K19:L19"/>
    <mergeCell ref="B18:C18"/>
    <mergeCell ref="D18:E18"/>
    <mergeCell ref="F18:H18"/>
    <mergeCell ref="I18:J18"/>
    <mergeCell ref="K18:L18"/>
    <mergeCell ref="B21:C21"/>
    <mergeCell ref="D21:E21"/>
    <mergeCell ref="F21:H21"/>
    <mergeCell ref="I21:J21"/>
    <mergeCell ref="K21:L21"/>
    <mergeCell ref="B20:C20"/>
    <mergeCell ref="D20:E20"/>
    <mergeCell ref="F20:H20"/>
    <mergeCell ref="I20:J20"/>
    <mergeCell ref="K20:L20"/>
    <mergeCell ref="B32:J32"/>
    <mergeCell ref="K32:L32"/>
    <mergeCell ref="A23:L23"/>
    <mergeCell ref="B24:J24"/>
    <mergeCell ref="K24:L24"/>
    <mergeCell ref="A26:L26"/>
    <mergeCell ref="B27:J27"/>
    <mergeCell ref="K27:L27"/>
    <mergeCell ref="B28:J28"/>
    <mergeCell ref="K28:L28"/>
    <mergeCell ref="B29:J29"/>
    <mergeCell ref="K29:L29"/>
    <mergeCell ref="A31:L31"/>
    <mergeCell ref="F33:H33"/>
    <mergeCell ref="I33:J33"/>
    <mergeCell ref="K33:L33"/>
    <mergeCell ref="B34:J34"/>
    <mergeCell ref="K34:L34"/>
  </mergeCells>
  <pageMargins left="0.78740157499999996" right="0.59" top="0.984251969" bottom="0.984251969" header="0.4921259845" footer="0.4921259845"/>
  <pageSetup paperSize="9"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1"/>
  <sheetViews>
    <sheetView tabSelected="1" view="pageBreakPreview" zoomScaleNormal="100" zoomScaleSheetLayoutView="100" workbookViewId="0">
      <selection activeCell="F11" sqref="F11:F15"/>
    </sheetView>
  </sheetViews>
  <sheetFormatPr defaultRowHeight="12.75"/>
  <cols>
    <col min="1" max="1" width="5.7109375" customWidth="1"/>
    <col min="2" max="2" width="14.7109375" customWidth="1"/>
    <col min="3" max="3" width="80.7109375" customWidth="1"/>
    <col min="4" max="4" width="8.5703125" customWidth="1"/>
    <col min="5" max="7" width="17.140625" customWidth="1"/>
    <col min="8" max="28" width="0" hidden="1" customWidth="1"/>
  </cols>
  <sheetData>
    <row r="1" spans="1:28" ht="18.7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5" t="s">
        <v>36</v>
      </c>
      <c r="Q1" s="6">
        <f>SUMIF($AB:$AB,"sp",$G:$G)</f>
        <v>0</v>
      </c>
      <c r="R1" s="6">
        <f>SUMIF($AB:$AB,"spec",$G:$G)</f>
        <v>0</v>
      </c>
      <c r="S1" s="6">
        <f>SUMIF($AB:$AB,"str",$G:$G)</f>
        <v>0</v>
      </c>
      <c r="T1" s="6">
        <f>SUMIF($AB:$AB,"hzs",$G:$G)</f>
        <v>0</v>
      </c>
      <c r="U1" s="6">
        <f>SUMIF($AB:$AB,"ost",$G:$G)</f>
        <v>0</v>
      </c>
      <c r="V1" s="5" t="s">
        <v>37</v>
      </c>
      <c r="W1" s="6">
        <f>SUMIF($AA:$AA,14,$G:$G)</f>
        <v>0</v>
      </c>
      <c r="X1" s="6">
        <f>SUMIF($AA:$AA,-1,$G:$G)</f>
        <v>0</v>
      </c>
      <c r="Y1" s="6">
        <f>SUMIF($AA:$AA,-1,$G:$G)</f>
        <v>0</v>
      </c>
      <c r="Z1" s="6">
        <f>SUMIF($AA:$AA,-1,$G:$G)</f>
        <v>0</v>
      </c>
    </row>
    <row r="2" spans="1:28" ht="12.75" customHeight="1">
      <c r="B2" s="1" t="s">
        <v>38</v>
      </c>
      <c r="C2" s="58" t="s">
        <v>39</v>
      </c>
      <c r="D2" s="59"/>
      <c r="E2" s="59"/>
      <c r="F2" s="59"/>
      <c r="G2" s="59"/>
      <c r="P2" s="5"/>
      <c r="Q2" s="6">
        <f>Q$1</f>
        <v>0</v>
      </c>
      <c r="R2" s="6">
        <f>R$1</f>
        <v>0</v>
      </c>
      <c r="S2" s="6">
        <f>S$1</f>
        <v>0</v>
      </c>
      <c r="T2" s="6">
        <f>T$1</f>
        <v>0</v>
      </c>
      <c r="U2" s="6">
        <f>U$1</f>
        <v>0</v>
      </c>
      <c r="V2" s="5"/>
      <c r="W2" s="6">
        <f>W$1</f>
        <v>0</v>
      </c>
      <c r="X2" s="6">
        <f>X$1</f>
        <v>0</v>
      </c>
      <c r="Y2" s="6">
        <f>Y$1</f>
        <v>0</v>
      </c>
      <c r="Z2" s="6">
        <f>Z$1</f>
        <v>0</v>
      </c>
    </row>
    <row r="3" spans="1:28" ht="12.75" customHeight="1">
      <c r="B3" s="1" t="s">
        <v>40</v>
      </c>
      <c r="C3" s="60" t="s">
        <v>7</v>
      </c>
      <c r="D3" s="61"/>
      <c r="E3" s="61"/>
      <c r="F3" s="61"/>
      <c r="G3" s="61"/>
    </row>
    <row r="4" spans="1:28" ht="12.75" customHeight="1">
      <c r="B4" s="1" t="s">
        <v>41</v>
      </c>
      <c r="C4" s="60" t="s">
        <v>9</v>
      </c>
      <c r="D4" s="61"/>
      <c r="E4" s="61"/>
      <c r="F4" s="61"/>
      <c r="G4" s="61"/>
    </row>
    <row r="5" spans="1:28" ht="12.75" customHeight="1">
      <c r="B5" s="1" t="s">
        <v>42</v>
      </c>
      <c r="C5" s="60" t="s">
        <v>17</v>
      </c>
      <c r="D5" s="61"/>
      <c r="E5" s="61"/>
      <c r="F5" s="61"/>
      <c r="G5" s="61"/>
    </row>
    <row r="7" spans="1:28" ht="11.25" customHeight="1" thickBot="1">
      <c r="A7" s="65" t="s">
        <v>43</v>
      </c>
      <c r="B7" s="65" t="s">
        <v>44</v>
      </c>
      <c r="C7" s="65" t="s">
        <v>45</v>
      </c>
      <c r="D7" s="65" t="s">
        <v>46</v>
      </c>
      <c r="E7" s="65" t="s">
        <v>47</v>
      </c>
      <c r="F7" s="63" t="s">
        <v>48</v>
      </c>
      <c r="G7" s="63"/>
      <c r="H7" s="63" t="s">
        <v>49</v>
      </c>
      <c r="I7" s="63"/>
      <c r="J7" s="63" t="s">
        <v>50</v>
      </c>
      <c r="K7" s="63"/>
      <c r="L7" s="63" t="s">
        <v>51</v>
      </c>
      <c r="M7" s="63"/>
      <c r="N7" s="63" t="s">
        <v>52</v>
      </c>
      <c r="O7" s="63"/>
      <c r="P7" s="64" t="s">
        <v>53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1.25" customHeight="1" thickBot="1">
      <c r="A8" s="65"/>
      <c r="B8" s="65"/>
      <c r="C8" s="65"/>
      <c r="D8" s="65"/>
      <c r="E8" s="65"/>
      <c r="F8" s="7" t="s">
        <v>54</v>
      </c>
      <c r="G8" s="7" t="s">
        <v>55</v>
      </c>
      <c r="H8" s="7" t="s">
        <v>54</v>
      </c>
      <c r="I8" s="7" t="s">
        <v>55</v>
      </c>
      <c r="J8" s="7" t="s">
        <v>54</v>
      </c>
      <c r="K8" s="7" t="s">
        <v>55</v>
      </c>
      <c r="L8" s="7" t="s">
        <v>54</v>
      </c>
      <c r="M8" s="7" t="s">
        <v>55</v>
      </c>
      <c r="N8" s="7" t="s">
        <v>54</v>
      </c>
      <c r="O8" s="7" t="s">
        <v>55</v>
      </c>
      <c r="P8" s="8" t="s">
        <v>56</v>
      </c>
      <c r="Q8" s="8" t="s">
        <v>57</v>
      </c>
      <c r="R8" s="8" t="s">
        <v>58</v>
      </c>
      <c r="S8" s="8" t="s">
        <v>59</v>
      </c>
      <c r="T8" s="8" t="s">
        <v>60</v>
      </c>
      <c r="U8" s="8" t="s">
        <v>61</v>
      </c>
      <c r="V8" s="8" t="s">
        <v>62</v>
      </c>
      <c r="W8" s="8" t="s">
        <v>63</v>
      </c>
      <c r="X8" s="8" t="s">
        <v>64</v>
      </c>
      <c r="Y8" s="8" t="s">
        <v>65</v>
      </c>
      <c r="Z8" s="8" t="s">
        <v>66</v>
      </c>
      <c r="AA8" s="8" t="s">
        <v>67</v>
      </c>
      <c r="AB8" s="8" t="s">
        <v>68</v>
      </c>
    </row>
    <row r="9" spans="1:28" ht="12.75" customHeight="1"/>
    <row r="10" spans="1:28" ht="18.75" customHeight="1">
      <c r="A10" s="9"/>
      <c r="B10" s="9" t="s">
        <v>69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>
        <v>1</v>
      </c>
      <c r="B11" s="10" t="s">
        <v>70</v>
      </c>
      <c r="C11" s="11" t="s">
        <v>71</v>
      </c>
      <c r="D11" s="10" t="s">
        <v>72</v>
      </c>
      <c r="E11" s="12">
        <v>2.7404999999999999</v>
      </c>
      <c r="F11" s="13"/>
      <c r="G11" s="13">
        <f>E11*F11</f>
        <v>0</v>
      </c>
      <c r="H11" s="14">
        <v>2.0115400000000001</v>
      </c>
      <c r="I11" s="14">
        <f>E11*H11</f>
        <v>5.5126253700000003</v>
      </c>
      <c r="J11" s="14">
        <v>0</v>
      </c>
      <c r="K11" s="14">
        <f>E11*J11</f>
        <v>0</v>
      </c>
      <c r="L11" s="4">
        <v>0</v>
      </c>
      <c r="M11" s="4">
        <f>E11*L11</f>
        <v>0</v>
      </c>
      <c r="N11" s="4">
        <f>3840</f>
        <v>3840</v>
      </c>
      <c r="O11" s="4">
        <f>E11*N11</f>
        <v>10523.52</v>
      </c>
      <c r="P11" s="5" t="s">
        <v>73</v>
      </c>
      <c r="Q11" s="5"/>
      <c r="R11" s="5" t="s">
        <v>74</v>
      </c>
      <c r="S11" s="5" t="s">
        <v>75</v>
      </c>
      <c r="T11" s="5" t="s">
        <v>76</v>
      </c>
      <c r="U11" s="5"/>
      <c r="V11" s="5"/>
      <c r="W11" s="5"/>
      <c r="X11" s="5"/>
      <c r="Y11" s="5"/>
      <c r="Z11" s="5"/>
      <c r="AA11" s="15">
        <v>14</v>
      </c>
      <c r="AB11" s="5" t="s">
        <v>77</v>
      </c>
    </row>
    <row r="12" spans="1:28">
      <c r="B12">
        <v>1</v>
      </c>
      <c r="C12" s="16" t="s">
        <v>78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C13" s="16" t="s">
        <v>79</v>
      </c>
      <c r="E13" s="17">
        <v>2.7404999999999999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5.5">
      <c r="A14">
        <v>2</v>
      </c>
      <c r="B14" s="10" t="s">
        <v>80</v>
      </c>
      <c r="C14" s="11" t="s">
        <v>81</v>
      </c>
      <c r="D14" s="10" t="s">
        <v>82</v>
      </c>
      <c r="E14" s="12">
        <v>0.18</v>
      </c>
      <c r="F14" s="13"/>
      <c r="G14" s="13">
        <f>E14*F14</f>
        <v>0</v>
      </c>
      <c r="H14" s="14">
        <v>1.0195399999999999</v>
      </c>
      <c r="I14" s="14">
        <f>E14*H14</f>
        <v>0.18351719999999996</v>
      </c>
      <c r="J14" s="14">
        <v>0</v>
      </c>
      <c r="K14" s="14">
        <f>E14*J14</f>
        <v>0</v>
      </c>
      <c r="L14" s="4">
        <v>0</v>
      </c>
      <c r="M14" s="4">
        <f>E14*L14</f>
        <v>0</v>
      </c>
      <c r="N14" s="4">
        <f>28343</f>
        <v>28343</v>
      </c>
      <c r="O14" s="4">
        <f>E14*N14</f>
        <v>5101.74</v>
      </c>
      <c r="P14" s="5" t="s">
        <v>73</v>
      </c>
      <c r="Q14" s="5"/>
      <c r="R14" s="5" t="s">
        <v>74</v>
      </c>
      <c r="S14" s="5" t="s">
        <v>83</v>
      </c>
      <c r="T14" s="5" t="s">
        <v>84</v>
      </c>
      <c r="U14" s="5"/>
      <c r="V14" s="5"/>
      <c r="W14" s="5"/>
      <c r="X14" s="5"/>
      <c r="Y14" s="5"/>
      <c r="Z14" s="5"/>
      <c r="AA14" s="15">
        <v>14</v>
      </c>
      <c r="AB14" s="5" t="s">
        <v>77</v>
      </c>
    </row>
    <row r="15" spans="1:28">
      <c r="B15">
        <v>1</v>
      </c>
      <c r="C15" s="16" t="s">
        <v>85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>
      <c r="C16" s="16" t="s">
        <v>86</v>
      </c>
      <c r="E16" s="17">
        <v>0.18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.75" customHeight="1">
      <c r="A17" s="18" t="s">
        <v>20</v>
      </c>
      <c r="B17" s="9" t="s">
        <v>87</v>
      </c>
      <c r="C17" s="9"/>
      <c r="D17" s="9"/>
      <c r="E17" s="9"/>
      <c r="F17" s="9"/>
      <c r="G17" s="19">
        <f>SUMIF($P:$P,$Q17,G:G)</f>
        <v>0</v>
      </c>
      <c r="H17" s="9"/>
      <c r="I17" s="20">
        <f>SUMIF($P:$P,$Q17,I:I)</f>
        <v>5.6961425700000001</v>
      </c>
      <c r="J17" s="9"/>
      <c r="K17" s="20">
        <f>SUMIF($P:$P,$Q17,K:K)</f>
        <v>0</v>
      </c>
      <c r="L17" s="9"/>
      <c r="M17" s="21">
        <f>SUMIF($P:$P,$Q17,M:M)</f>
        <v>0</v>
      </c>
      <c r="N17" s="9"/>
      <c r="O17" s="21">
        <f>SUMIF($P:$P,$Q17,O:O)</f>
        <v>15625.26</v>
      </c>
      <c r="P17" s="5" t="s">
        <v>20</v>
      </c>
      <c r="Q17" s="5" t="s">
        <v>73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/>
    <row r="19" spans="1:28" ht="18.75" customHeight="1">
      <c r="A19" s="9"/>
      <c r="B19" s="9" t="s">
        <v>88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>
        <v>3</v>
      </c>
      <c r="B20" s="10" t="s">
        <v>89</v>
      </c>
      <c r="C20" s="11" t="s">
        <v>90</v>
      </c>
      <c r="D20" s="10" t="s">
        <v>91</v>
      </c>
      <c r="E20" s="12">
        <v>80.959999999999994</v>
      </c>
      <c r="F20" s="13"/>
      <c r="G20" s="13">
        <f>E20*F20</f>
        <v>0</v>
      </c>
      <c r="H20" s="14">
        <v>7.6939999999999995E-2</v>
      </c>
      <c r="I20" s="14">
        <f>E20*H20</f>
        <v>6.2290623999999992</v>
      </c>
      <c r="J20" s="14">
        <v>0</v>
      </c>
      <c r="K20" s="14">
        <f>E20*J20</f>
        <v>0</v>
      </c>
      <c r="L20" s="4">
        <v>330</v>
      </c>
      <c r="M20" s="4">
        <f>E20*L20</f>
        <v>26716.799999999999</v>
      </c>
      <c r="N20" s="4">
        <f>115.218699</f>
        <v>115.218699</v>
      </c>
      <c r="O20" s="4">
        <f>E20*N20</f>
        <v>9328.1058710399993</v>
      </c>
      <c r="P20" s="5" t="s">
        <v>92</v>
      </c>
      <c r="Q20" s="5"/>
      <c r="R20" s="5" t="s">
        <v>74</v>
      </c>
      <c r="S20" s="5" t="s">
        <v>83</v>
      </c>
      <c r="T20" s="5" t="s">
        <v>84</v>
      </c>
      <c r="U20" s="5"/>
      <c r="V20" s="5"/>
      <c r="W20" s="5"/>
      <c r="X20" s="5"/>
      <c r="Y20" s="5"/>
      <c r="Z20" s="5"/>
      <c r="AA20" s="15">
        <v>14</v>
      </c>
      <c r="AB20" s="5" t="s">
        <v>77</v>
      </c>
    </row>
    <row r="21" spans="1:28">
      <c r="B21">
        <v>1</v>
      </c>
      <c r="C21" s="16" t="s">
        <v>93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5.5">
      <c r="C22" s="16" t="s">
        <v>94</v>
      </c>
      <c r="E22" s="17">
        <v>80.959999999999994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>
      <c r="A23">
        <v>4</v>
      </c>
      <c r="B23" s="10" t="s">
        <v>95</v>
      </c>
      <c r="C23" s="11" t="s">
        <v>96</v>
      </c>
      <c r="D23" s="10" t="s">
        <v>91</v>
      </c>
      <c r="E23" s="12">
        <v>4.57</v>
      </c>
      <c r="F23" s="13"/>
      <c r="G23" s="13">
        <f>E23*F23</f>
        <v>0</v>
      </c>
      <c r="H23" s="14">
        <v>0.11518</v>
      </c>
      <c r="I23" s="14">
        <f>E23*H23</f>
        <v>0.52637260000000008</v>
      </c>
      <c r="J23" s="14">
        <v>0</v>
      </c>
      <c r="K23" s="14">
        <f>E23*J23</f>
        <v>0</v>
      </c>
      <c r="L23" s="4">
        <v>0</v>
      </c>
      <c r="M23" s="4">
        <f>E23*L23</f>
        <v>0</v>
      </c>
      <c r="N23" s="4">
        <f>547</f>
        <v>547</v>
      </c>
      <c r="O23" s="4">
        <f>E23*N23</f>
        <v>2499.79</v>
      </c>
      <c r="P23" s="5" t="s">
        <v>92</v>
      </c>
      <c r="Q23" s="5"/>
      <c r="R23" s="5" t="s">
        <v>74</v>
      </c>
      <c r="S23" s="5" t="s">
        <v>83</v>
      </c>
      <c r="T23" s="5" t="s">
        <v>84</v>
      </c>
      <c r="U23" s="5"/>
      <c r="V23" s="5"/>
      <c r="W23" s="5"/>
      <c r="X23" s="5"/>
      <c r="Y23" s="5"/>
      <c r="Z23" s="5"/>
      <c r="AA23" s="15">
        <v>14</v>
      </c>
      <c r="AB23" s="5" t="s">
        <v>77</v>
      </c>
    </row>
    <row r="24" spans="1:28">
      <c r="B24">
        <v>1</v>
      </c>
      <c r="C24" s="16" t="s">
        <v>97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>
      <c r="C25" s="16" t="s">
        <v>98</v>
      </c>
      <c r="E25" s="17">
        <v>4.57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>
      <c r="A26">
        <v>5</v>
      </c>
      <c r="B26" s="10" t="s">
        <v>99</v>
      </c>
      <c r="C26" s="11" t="s">
        <v>100</v>
      </c>
      <c r="D26" s="10" t="s">
        <v>91</v>
      </c>
      <c r="E26" s="12">
        <v>7.77</v>
      </c>
      <c r="F26" s="13"/>
      <c r="G26" s="13">
        <f>E26*F26</f>
        <v>0</v>
      </c>
      <c r="H26" s="14">
        <v>0.30542000000000002</v>
      </c>
      <c r="I26" s="14">
        <f>E26*H26</f>
        <v>2.3731134000000003</v>
      </c>
      <c r="J26" s="14">
        <v>0</v>
      </c>
      <c r="K26" s="14">
        <f>E26*J26</f>
        <v>0</v>
      </c>
      <c r="L26" s="4">
        <v>0</v>
      </c>
      <c r="M26" s="4">
        <f>E26*L26</f>
        <v>0</v>
      </c>
      <c r="N26" s="4">
        <f>633</f>
        <v>633</v>
      </c>
      <c r="O26" s="4">
        <f>E26*N26</f>
        <v>4918.41</v>
      </c>
      <c r="P26" s="5" t="s">
        <v>92</v>
      </c>
      <c r="Q26" s="5"/>
      <c r="R26" s="5" t="s">
        <v>74</v>
      </c>
      <c r="S26" s="5" t="s">
        <v>75</v>
      </c>
      <c r="T26" s="5" t="s">
        <v>76</v>
      </c>
      <c r="U26" s="5"/>
      <c r="V26" s="5"/>
      <c r="W26" s="5"/>
      <c r="X26" s="5"/>
      <c r="Y26" s="5"/>
      <c r="Z26" s="5"/>
      <c r="AA26" s="15">
        <v>14</v>
      </c>
      <c r="AB26" s="5" t="s">
        <v>77</v>
      </c>
    </row>
    <row r="27" spans="1:28">
      <c r="B27">
        <v>1</v>
      </c>
      <c r="C27" s="16" t="s">
        <v>101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>
      <c r="C28" s="16" t="s">
        <v>102</v>
      </c>
      <c r="E28" s="17">
        <v>7.77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.75" customHeight="1">
      <c r="A29" s="18" t="s">
        <v>20</v>
      </c>
      <c r="B29" s="9" t="s">
        <v>103</v>
      </c>
      <c r="C29" s="9"/>
      <c r="D29" s="9"/>
      <c r="E29" s="9"/>
      <c r="F29" s="9"/>
      <c r="G29" s="19">
        <f>SUMIF($P:$P,$Q29,G:G)</f>
        <v>0</v>
      </c>
      <c r="H29" s="9"/>
      <c r="I29" s="20">
        <f>SUMIF($P:$P,$Q29,I:I)</f>
        <v>9.1285483999999997</v>
      </c>
      <c r="J29" s="9"/>
      <c r="K29" s="20">
        <f>SUMIF($P:$P,$Q29,K:K)</f>
        <v>0</v>
      </c>
      <c r="L29" s="9"/>
      <c r="M29" s="21">
        <f>SUMIF($P:$P,$Q29,M:M)</f>
        <v>26716.799999999999</v>
      </c>
      <c r="N29" s="9"/>
      <c r="O29" s="21">
        <f>SUMIF($P:$P,$Q29,O:O)</f>
        <v>16746.30587104</v>
      </c>
      <c r="P29" s="5" t="s">
        <v>20</v>
      </c>
      <c r="Q29" s="5" t="s">
        <v>92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/>
    <row r="31" spans="1:28" ht="18.75" customHeight="1">
      <c r="A31" s="9"/>
      <c r="B31" s="9" t="s">
        <v>104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25.5">
      <c r="A32">
        <v>6</v>
      </c>
      <c r="B32" s="10" t="s">
        <v>105</v>
      </c>
      <c r="C32" s="11" t="s">
        <v>106</v>
      </c>
      <c r="D32" s="10" t="s">
        <v>91</v>
      </c>
      <c r="E32" s="12">
        <v>170</v>
      </c>
      <c r="F32" s="13"/>
      <c r="G32" s="13">
        <f>E32*F32</f>
        <v>0</v>
      </c>
      <c r="H32" s="14">
        <v>5.7499999999999999E-3</v>
      </c>
      <c r="I32" s="14">
        <f>E32*H32</f>
        <v>0.97750000000000004</v>
      </c>
      <c r="J32" s="14">
        <v>0</v>
      </c>
      <c r="K32" s="14">
        <f>E32*J32</f>
        <v>0</v>
      </c>
      <c r="L32" s="4">
        <v>0</v>
      </c>
      <c r="M32" s="4">
        <f>E32*L32</f>
        <v>0</v>
      </c>
      <c r="N32" s="4">
        <f>38</f>
        <v>38</v>
      </c>
      <c r="O32" s="4">
        <f>E32*N32</f>
        <v>6460</v>
      </c>
      <c r="P32" s="5" t="s">
        <v>107</v>
      </c>
      <c r="Q32" s="5"/>
      <c r="R32" s="5" t="s">
        <v>74</v>
      </c>
      <c r="S32" s="5" t="s">
        <v>75</v>
      </c>
      <c r="T32" s="5" t="s">
        <v>76</v>
      </c>
      <c r="U32" s="5"/>
      <c r="V32" s="5"/>
      <c r="W32" s="5"/>
      <c r="X32" s="5"/>
      <c r="Y32" s="5"/>
      <c r="Z32" s="5"/>
      <c r="AA32" s="15">
        <v>14</v>
      </c>
      <c r="AB32" s="5" t="s">
        <v>77</v>
      </c>
    </row>
    <row r="33" spans="1:28">
      <c r="C33" s="22" t="s">
        <v>108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>
      <c r="A34">
        <v>7</v>
      </c>
      <c r="B34" s="10" t="s">
        <v>109</v>
      </c>
      <c r="C34" s="11" t="s">
        <v>110</v>
      </c>
      <c r="D34" s="10" t="s">
        <v>91</v>
      </c>
      <c r="E34" s="12">
        <v>330</v>
      </c>
      <c r="F34" s="13"/>
      <c r="G34" s="13">
        <f>E34*F34</f>
        <v>0</v>
      </c>
      <c r="H34" s="14">
        <v>3.6437000000000002E-3</v>
      </c>
      <c r="I34" s="14">
        <f>E34*H34</f>
        <v>1.202421</v>
      </c>
      <c r="J34" s="14">
        <v>0</v>
      </c>
      <c r="K34" s="14">
        <f>E34*J34</f>
        <v>0</v>
      </c>
      <c r="L34" s="4">
        <v>2.7240000000000002</v>
      </c>
      <c r="M34" s="4">
        <f>E34*L34</f>
        <v>898.92000000000007</v>
      </c>
      <c r="N34" s="4">
        <f>26.177009</f>
        <v>26.177009000000002</v>
      </c>
      <c r="O34" s="4">
        <f>E34*N34</f>
        <v>8638.4129700000012</v>
      </c>
      <c r="P34" s="5" t="s">
        <v>107</v>
      </c>
      <c r="Q34" s="5"/>
      <c r="R34" s="5" t="s">
        <v>74</v>
      </c>
      <c r="S34" s="5" t="s">
        <v>75</v>
      </c>
      <c r="T34" s="5" t="s">
        <v>76</v>
      </c>
      <c r="U34" s="5"/>
      <c r="V34" s="5"/>
      <c r="W34" s="5"/>
      <c r="X34" s="5"/>
      <c r="Y34" s="5"/>
      <c r="Z34" s="5"/>
      <c r="AA34" s="15">
        <v>14</v>
      </c>
      <c r="AB34" s="5" t="s">
        <v>77</v>
      </c>
    </row>
    <row r="35" spans="1:28">
      <c r="C35" s="22" t="s">
        <v>108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>
      <c r="A36">
        <v>8</v>
      </c>
      <c r="B36" s="10" t="s">
        <v>111</v>
      </c>
      <c r="C36" s="11" t="s">
        <v>112</v>
      </c>
      <c r="D36" s="10" t="s">
        <v>91</v>
      </c>
      <c r="E36" s="12">
        <v>188.06</v>
      </c>
      <c r="F36" s="13"/>
      <c r="G36" s="13">
        <f>E36*F36</f>
        <v>0</v>
      </c>
      <c r="H36" s="14">
        <v>3.508E-2</v>
      </c>
      <c r="I36" s="14">
        <f>E36*H36</f>
        <v>6.5971447999999997</v>
      </c>
      <c r="J36" s="14">
        <v>0</v>
      </c>
      <c r="K36" s="14">
        <f>E36*J36</f>
        <v>0</v>
      </c>
      <c r="L36" s="4">
        <v>0</v>
      </c>
      <c r="M36" s="4">
        <f>E36*L36</f>
        <v>0</v>
      </c>
      <c r="N36" s="4">
        <f>148</f>
        <v>148</v>
      </c>
      <c r="O36" s="4">
        <f>E36*N36</f>
        <v>27832.880000000001</v>
      </c>
      <c r="P36" s="5" t="s">
        <v>107</v>
      </c>
      <c r="Q36" s="5"/>
      <c r="R36" s="5" t="s">
        <v>74</v>
      </c>
      <c r="S36" s="5" t="s">
        <v>83</v>
      </c>
      <c r="T36" s="5" t="s">
        <v>84</v>
      </c>
      <c r="U36" s="5"/>
      <c r="V36" s="5"/>
      <c r="W36" s="5"/>
      <c r="X36" s="5"/>
      <c r="Y36" s="5"/>
      <c r="Z36" s="5"/>
      <c r="AA36" s="15">
        <v>14</v>
      </c>
      <c r="AB36" s="5" t="s">
        <v>77</v>
      </c>
    </row>
    <row r="37" spans="1:28">
      <c r="B37">
        <v>1</v>
      </c>
      <c r="C37" s="16" t="s">
        <v>113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>
      <c r="C38" s="16" t="s">
        <v>114</v>
      </c>
      <c r="E38" s="17">
        <v>188.06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75" customHeight="1">
      <c r="A39" s="18" t="s">
        <v>20</v>
      </c>
      <c r="B39" s="9" t="s">
        <v>115</v>
      </c>
      <c r="C39" s="9"/>
      <c r="D39" s="9"/>
      <c r="E39" s="9"/>
      <c r="F39" s="9"/>
      <c r="G39" s="19">
        <f>SUMIF($P:$P,$Q39,G:G)</f>
        <v>0</v>
      </c>
      <c r="H39" s="9"/>
      <c r="I39" s="20">
        <f>SUMIF($P:$P,$Q39,I:I)</f>
        <v>8.777065799999999</v>
      </c>
      <c r="J39" s="9"/>
      <c r="K39" s="20">
        <f>SUMIF($P:$P,$Q39,K:K)</f>
        <v>0</v>
      </c>
      <c r="L39" s="9"/>
      <c r="M39" s="21">
        <f>SUMIF($P:$P,$Q39,M:M)</f>
        <v>898.92000000000007</v>
      </c>
      <c r="N39" s="9"/>
      <c r="O39" s="21">
        <f>SUMIF($P:$P,$Q39,O:O)</f>
        <v>42931.292970000002</v>
      </c>
      <c r="P39" s="5" t="s">
        <v>20</v>
      </c>
      <c r="Q39" s="5" t="s">
        <v>107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/>
    <row r="41" spans="1:28" ht="18.75" customHeight="1">
      <c r="A41" s="9"/>
      <c r="B41" s="9" t="s">
        <v>116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>
      <c r="A42">
        <v>9</v>
      </c>
      <c r="B42" s="10" t="s">
        <v>117</v>
      </c>
      <c r="C42" s="11" t="s">
        <v>118</v>
      </c>
      <c r="D42" s="10" t="s">
        <v>91</v>
      </c>
      <c r="E42" s="12">
        <v>188.06</v>
      </c>
      <c r="F42" s="13"/>
      <c r="G42" s="13">
        <f>E42*F42</f>
        <v>0</v>
      </c>
      <c r="H42" s="14">
        <v>4.1799999999999997E-3</v>
      </c>
      <c r="I42" s="14">
        <f>E42*H42</f>
        <v>0.78609079999999998</v>
      </c>
      <c r="J42" s="14">
        <v>0</v>
      </c>
      <c r="K42" s="14">
        <f>E42*J42</f>
        <v>0</v>
      </c>
      <c r="L42" s="4">
        <v>0</v>
      </c>
      <c r="M42" s="4">
        <f>E42*L42</f>
        <v>0</v>
      </c>
      <c r="N42" s="4">
        <f>78</f>
        <v>78</v>
      </c>
      <c r="O42" s="4">
        <f>E42*N42</f>
        <v>14668.68</v>
      </c>
      <c r="P42" s="5" t="s">
        <v>119</v>
      </c>
      <c r="Q42" s="5"/>
      <c r="R42" s="5" t="s">
        <v>74</v>
      </c>
      <c r="S42" s="5" t="s">
        <v>83</v>
      </c>
      <c r="T42" s="5" t="s">
        <v>84</v>
      </c>
      <c r="U42" s="5"/>
      <c r="V42" s="5"/>
      <c r="W42" s="5"/>
      <c r="X42" s="5"/>
      <c r="Y42" s="5"/>
      <c r="Z42" s="5"/>
      <c r="AA42" s="15">
        <v>14</v>
      </c>
      <c r="AB42" s="5" t="s">
        <v>77</v>
      </c>
    </row>
    <row r="43" spans="1:28">
      <c r="B43">
        <v>1</v>
      </c>
      <c r="C43" s="16" t="s">
        <v>191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>
      <c r="C44" s="16" t="s">
        <v>114</v>
      </c>
      <c r="E44" s="17">
        <v>188.06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.75" customHeight="1">
      <c r="A45" s="18" t="s">
        <v>20</v>
      </c>
      <c r="B45" s="9" t="s">
        <v>120</v>
      </c>
      <c r="C45" s="9"/>
      <c r="D45" s="9"/>
      <c r="E45" s="9"/>
      <c r="F45" s="9"/>
      <c r="G45" s="19">
        <f>SUMIF($P:$P,$Q45,G:G)</f>
        <v>0</v>
      </c>
      <c r="H45" s="9"/>
      <c r="I45" s="20">
        <f>SUMIF($P:$P,$Q45,I:I)</f>
        <v>0.78609079999999998</v>
      </c>
      <c r="J45" s="9"/>
      <c r="K45" s="20">
        <f>SUMIF($P:$P,$Q45,K:K)</f>
        <v>0</v>
      </c>
      <c r="L45" s="9"/>
      <c r="M45" s="21">
        <f>SUMIF($P:$P,$Q45,M:M)</f>
        <v>0</v>
      </c>
      <c r="N45" s="9"/>
      <c r="O45" s="21">
        <f>SUMIF($P:$P,$Q45,O:O)</f>
        <v>14668.68</v>
      </c>
      <c r="P45" s="5" t="s">
        <v>20</v>
      </c>
      <c r="Q45" s="5" t="s">
        <v>119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/>
    <row r="47" spans="1:28" ht="18.75" customHeight="1">
      <c r="A47" s="9"/>
      <c r="B47" s="9" t="s">
        <v>121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25.5">
      <c r="A48">
        <v>10</v>
      </c>
      <c r="B48" s="10" t="s">
        <v>122</v>
      </c>
      <c r="C48" s="11" t="s">
        <v>123</v>
      </c>
      <c r="D48" s="10" t="s">
        <v>124</v>
      </c>
      <c r="E48" s="12">
        <v>1</v>
      </c>
      <c r="F48" s="13"/>
      <c r="G48" s="13">
        <f>E48*F48</f>
        <v>0</v>
      </c>
      <c r="H48" s="14">
        <v>1.6979999999999999E-2</v>
      </c>
      <c r="I48" s="14">
        <f>E48*H48</f>
        <v>1.6979999999999999E-2</v>
      </c>
      <c r="J48" s="14">
        <v>0</v>
      </c>
      <c r="K48" s="14">
        <f>E48*J48</f>
        <v>0</v>
      </c>
      <c r="L48" s="4">
        <v>0</v>
      </c>
      <c r="M48" s="4">
        <f>E48*L48</f>
        <v>0</v>
      </c>
      <c r="N48" s="4">
        <f>375</f>
        <v>375</v>
      </c>
      <c r="O48" s="4">
        <f>E48*N48</f>
        <v>375</v>
      </c>
      <c r="P48" s="5" t="s">
        <v>125</v>
      </c>
      <c r="Q48" s="5"/>
      <c r="R48" s="5" t="s">
        <v>74</v>
      </c>
      <c r="S48" s="5" t="s">
        <v>83</v>
      </c>
      <c r="T48" s="5" t="s">
        <v>84</v>
      </c>
      <c r="U48" s="5"/>
      <c r="V48" s="5"/>
      <c r="W48" s="5"/>
      <c r="X48" s="5"/>
      <c r="Y48" s="5"/>
      <c r="Z48" s="5"/>
      <c r="AA48" s="15">
        <v>14</v>
      </c>
      <c r="AB48" s="5" t="s">
        <v>77</v>
      </c>
    </row>
    <row r="49" spans="1:28">
      <c r="C49" s="22" t="s">
        <v>126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.75" customHeight="1">
      <c r="A50" s="18" t="s">
        <v>20</v>
      </c>
      <c r="B50" s="9" t="s">
        <v>127</v>
      </c>
      <c r="C50" s="9"/>
      <c r="D50" s="9"/>
      <c r="E50" s="9"/>
      <c r="F50" s="9"/>
      <c r="G50" s="19">
        <f>SUMIF($P:$P,$Q50,G:G)</f>
        <v>0</v>
      </c>
      <c r="H50" s="9"/>
      <c r="I50" s="20">
        <f>SUMIF($P:$P,$Q50,I:I)</f>
        <v>1.6979999999999999E-2</v>
      </c>
      <c r="J50" s="9"/>
      <c r="K50" s="20">
        <f>SUMIF($P:$P,$Q50,K:K)</f>
        <v>0</v>
      </c>
      <c r="L50" s="9"/>
      <c r="M50" s="21">
        <f>SUMIF($P:$P,$Q50,M:M)</f>
        <v>0</v>
      </c>
      <c r="N50" s="9"/>
      <c r="O50" s="21">
        <f>SUMIF($P:$P,$Q50,O:O)</f>
        <v>375</v>
      </c>
      <c r="P50" s="5" t="s">
        <v>20</v>
      </c>
      <c r="Q50" s="5" t="s">
        <v>125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/>
    <row r="52" spans="1:28" ht="18.75" customHeight="1">
      <c r="A52" s="9"/>
      <c r="B52" s="9" t="s">
        <v>128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>
      <c r="A53">
        <v>11</v>
      </c>
      <c r="B53" s="10" t="s">
        <v>129</v>
      </c>
      <c r="C53" s="11" t="s">
        <v>130</v>
      </c>
      <c r="D53" s="10" t="s">
        <v>91</v>
      </c>
      <c r="E53" s="12">
        <v>183.03</v>
      </c>
      <c r="F53" s="13"/>
      <c r="G53" s="13">
        <f>E53*F53</f>
        <v>0</v>
      </c>
      <c r="H53" s="14">
        <v>3.9499999999999998E-5</v>
      </c>
      <c r="I53" s="14">
        <f>E53*H53</f>
        <v>7.2296849999999996E-3</v>
      </c>
      <c r="J53" s="14">
        <v>0</v>
      </c>
      <c r="K53" s="14">
        <f>E53*J53</f>
        <v>0</v>
      </c>
      <c r="L53" s="4">
        <v>1.3832</v>
      </c>
      <c r="M53" s="4">
        <f>E53*L53</f>
        <v>253.16709599999999</v>
      </c>
      <c r="N53" s="4">
        <f>66.095618</f>
        <v>66.095618000000002</v>
      </c>
      <c r="O53" s="4">
        <f>E53*N53</f>
        <v>12097.480962540001</v>
      </c>
      <c r="P53" s="5" t="s">
        <v>131</v>
      </c>
      <c r="Q53" s="5"/>
      <c r="R53" s="5" t="s">
        <v>74</v>
      </c>
      <c r="S53" s="5" t="s">
        <v>83</v>
      </c>
      <c r="T53" s="5" t="s">
        <v>84</v>
      </c>
      <c r="U53" s="5"/>
      <c r="V53" s="5"/>
      <c r="W53" s="5"/>
      <c r="X53" s="5"/>
      <c r="Y53" s="5"/>
      <c r="Z53" s="5"/>
      <c r="AA53" s="15">
        <v>14</v>
      </c>
      <c r="AB53" s="5" t="s">
        <v>77</v>
      </c>
    </row>
    <row r="54" spans="1:28">
      <c r="B54">
        <v>1</v>
      </c>
      <c r="C54" s="16" t="s">
        <v>132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>
      <c r="C55" s="16" t="s">
        <v>133</v>
      </c>
      <c r="E55" s="17">
        <v>183.03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.75" customHeight="1">
      <c r="A56" s="18" t="s">
        <v>20</v>
      </c>
      <c r="B56" s="9" t="s">
        <v>134</v>
      </c>
      <c r="C56" s="9"/>
      <c r="D56" s="9"/>
      <c r="E56" s="9"/>
      <c r="F56" s="9"/>
      <c r="G56" s="19">
        <f>SUMIF($P:$P,$Q56,G:G)</f>
        <v>0</v>
      </c>
      <c r="H56" s="9"/>
      <c r="I56" s="20">
        <f>SUMIF($P:$P,$Q56,I:I)</f>
        <v>7.2296849999999996E-3</v>
      </c>
      <c r="J56" s="9"/>
      <c r="K56" s="20">
        <f>SUMIF($P:$P,$Q56,K:K)</f>
        <v>0</v>
      </c>
      <c r="L56" s="9"/>
      <c r="M56" s="21">
        <f>SUMIF($P:$P,$Q56,M:M)</f>
        <v>253.16709599999999</v>
      </c>
      <c r="N56" s="9"/>
      <c r="O56" s="21">
        <f>SUMIF($P:$P,$Q56,O:O)</f>
        <v>12097.480962540001</v>
      </c>
      <c r="P56" s="5" t="s">
        <v>20</v>
      </c>
      <c r="Q56" s="5" t="s">
        <v>131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/>
    <row r="58" spans="1:28" ht="18.75" customHeight="1">
      <c r="A58" s="9"/>
      <c r="B58" s="9" t="s">
        <v>135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>
      <c r="A59">
        <v>12</v>
      </c>
      <c r="B59" s="10" t="s">
        <v>136</v>
      </c>
      <c r="C59" s="11" t="s">
        <v>137</v>
      </c>
      <c r="D59" s="10" t="s">
        <v>91</v>
      </c>
      <c r="E59" s="12">
        <v>40.774999999999999</v>
      </c>
      <c r="F59" s="13"/>
      <c r="G59" s="13">
        <f>E59*F59</f>
        <v>0</v>
      </c>
      <c r="H59" s="14">
        <v>6.8000000000000005E-4</v>
      </c>
      <c r="I59" s="14">
        <f>E59*H59</f>
        <v>2.7727000000000002E-2</v>
      </c>
      <c r="J59" s="14">
        <v>0.26100000000000001</v>
      </c>
      <c r="K59" s="14">
        <f>E59*J59</f>
        <v>10.642275</v>
      </c>
      <c r="L59" s="4">
        <v>0</v>
      </c>
      <c r="M59" s="4">
        <f>E59*L59</f>
        <v>0</v>
      </c>
      <c r="N59" s="4">
        <f>119</f>
        <v>119</v>
      </c>
      <c r="O59" s="4">
        <f>E59*N59</f>
        <v>4852.2249999999995</v>
      </c>
      <c r="P59" s="5" t="s">
        <v>138</v>
      </c>
      <c r="Q59" s="5"/>
      <c r="R59" s="5" t="s">
        <v>74</v>
      </c>
      <c r="S59" s="5" t="s">
        <v>139</v>
      </c>
      <c r="T59" s="5" t="s">
        <v>140</v>
      </c>
      <c r="U59" s="5"/>
      <c r="V59" s="5"/>
      <c r="W59" s="5"/>
      <c r="X59" s="5"/>
      <c r="Y59" s="5"/>
      <c r="Z59" s="5"/>
      <c r="AA59" s="15">
        <v>14</v>
      </c>
      <c r="AB59" s="5" t="s">
        <v>77</v>
      </c>
    </row>
    <row r="60" spans="1:28">
      <c r="C60" s="22" t="s">
        <v>141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>
      <c r="A61">
        <v>13</v>
      </c>
      <c r="B61" s="10" t="s">
        <v>142</v>
      </c>
      <c r="C61" s="11" t="s">
        <v>143</v>
      </c>
      <c r="D61" s="10" t="s">
        <v>91</v>
      </c>
      <c r="E61" s="12">
        <v>1</v>
      </c>
      <c r="F61" s="13"/>
      <c r="G61" s="13">
        <f>E61*F61</f>
        <v>0</v>
      </c>
      <c r="H61" s="14">
        <v>0</v>
      </c>
      <c r="I61" s="14">
        <f>E61*H61</f>
        <v>0</v>
      </c>
      <c r="J61" s="14">
        <v>0.02</v>
      </c>
      <c r="K61" s="14">
        <f>E61*J61</f>
        <v>0.02</v>
      </c>
      <c r="L61" s="4">
        <v>0</v>
      </c>
      <c r="M61" s="4">
        <f>E61*L61</f>
        <v>0</v>
      </c>
      <c r="N61" s="4">
        <f>75</f>
        <v>75</v>
      </c>
      <c r="O61" s="4">
        <f>E61*N61</f>
        <v>75</v>
      </c>
      <c r="P61" s="5" t="s">
        <v>138</v>
      </c>
      <c r="Q61" s="5"/>
      <c r="R61" s="5" t="s">
        <v>74</v>
      </c>
      <c r="S61" s="5" t="s">
        <v>139</v>
      </c>
      <c r="T61" s="5" t="s">
        <v>140</v>
      </c>
      <c r="U61" s="5"/>
      <c r="V61" s="5"/>
      <c r="W61" s="5"/>
      <c r="X61" s="5"/>
      <c r="Y61" s="5"/>
      <c r="Z61" s="5"/>
      <c r="AA61" s="15">
        <v>14</v>
      </c>
      <c r="AB61" s="5" t="s">
        <v>77</v>
      </c>
    </row>
    <row r="62" spans="1:28">
      <c r="C62" s="22" t="s">
        <v>144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>
      <c r="A63">
        <v>14</v>
      </c>
      <c r="B63" s="10" t="s">
        <v>145</v>
      </c>
      <c r="C63" s="11" t="s">
        <v>146</v>
      </c>
      <c r="D63" s="10" t="s">
        <v>124</v>
      </c>
      <c r="E63" s="12">
        <v>10</v>
      </c>
      <c r="F63" s="13"/>
      <c r="G63" s="13">
        <f>E63*F63</f>
        <v>0</v>
      </c>
      <c r="H63" s="14">
        <v>0</v>
      </c>
      <c r="I63" s="14">
        <f>E63*H63</f>
        <v>0</v>
      </c>
      <c r="J63" s="14">
        <v>0</v>
      </c>
      <c r="K63" s="14">
        <f>E63*J63</f>
        <v>0</v>
      </c>
      <c r="L63" s="4">
        <v>0</v>
      </c>
      <c r="M63" s="4">
        <f>E63*L63</f>
        <v>0</v>
      </c>
      <c r="N63" s="4">
        <f>13.431994</f>
        <v>13.431994</v>
      </c>
      <c r="O63" s="4">
        <f>E63*N63</f>
        <v>134.31994</v>
      </c>
      <c r="P63" s="5" t="s">
        <v>138</v>
      </c>
      <c r="Q63" s="5"/>
      <c r="R63" s="5" t="s">
        <v>74</v>
      </c>
      <c r="S63" s="5" t="s">
        <v>139</v>
      </c>
      <c r="T63" s="5" t="s">
        <v>140</v>
      </c>
      <c r="U63" s="5"/>
      <c r="V63" s="5"/>
      <c r="W63" s="5"/>
      <c r="X63" s="5"/>
      <c r="Y63" s="5"/>
      <c r="Z63" s="5"/>
      <c r="AA63" s="15">
        <v>14</v>
      </c>
      <c r="AB63" s="5" t="s">
        <v>77</v>
      </c>
    </row>
    <row r="64" spans="1:28">
      <c r="A64">
        <v>15</v>
      </c>
      <c r="B64" s="10" t="s">
        <v>147</v>
      </c>
      <c r="C64" s="11" t="s">
        <v>148</v>
      </c>
      <c r="D64" s="10" t="s">
        <v>91</v>
      </c>
      <c r="E64" s="12">
        <v>8.8000000000000007</v>
      </c>
      <c r="F64" s="13"/>
      <c r="G64" s="13">
        <f>E64*F64</f>
        <v>0</v>
      </c>
      <c r="H64" s="14">
        <v>1.2055919999999999E-3</v>
      </c>
      <c r="I64" s="14">
        <f>E64*H64</f>
        <v>1.0609209600000001E-2</v>
      </c>
      <c r="J64" s="14">
        <v>7.5999999999999998E-2</v>
      </c>
      <c r="K64" s="14">
        <f>E64*J64</f>
        <v>0.66880000000000006</v>
      </c>
      <c r="L64" s="4">
        <v>27.878</v>
      </c>
      <c r="M64" s="4">
        <f>E64*L64</f>
        <v>245.32640000000001</v>
      </c>
      <c r="N64" s="4">
        <f>213.900667</f>
        <v>213.900667</v>
      </c>
      <c r="O64" s="4">
        <f>E64*N64</f>
        <v>1882.3258696</v>
      </c>
      <c r="P64" s="5" t="s">
        <v>138</v>
      </c>
      <c r="Q64" s="5"/>
      <c r="R64" s="5" t="s">
        <v>74</v>
      </c>
      <c r="S64" s="5" t="s">
        <v>139</v>
      </c>
      <c r="T64" s="5" t="s">
        <v>140</v>
      </c>
      <c r="U64" s="5"/>
      <c r="V64" s="5"/>
      <c r="W64" s="5"/>
      <c r="X64" s="5"/>
      <c r="Y64" s="5"/>
      <c r="Z64" s="5"/>
      <c r="AA64" s="15">
        <v>14</v>
      </c>
      <c r="AB64" s="5" t="s">
        <v>77</v>
      </c>
    </row>
    <row r="65" spans="1:28">
      <c r="B65">
        <v>1</v>
      </c>
      <c r="C65" s="16" t="s">
        <v>149</v>
      </c>
      <c r="E65" s="17">
        <v>8.8000000000000007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.75" customHeight="1">
      <c r="A66" s="18" t="s">
        <v>20</v>
      </c>
      <c r="B66" s="9" t="s">
        <v>150</v>
      </c>
      <c r="C66" s="9"/>
      <c r="D66" s="9"/>
      <c r="E66" s="9"/>
      <c r="F66" s="9"/>
      <c r="G66" s="19">
        <f>SUMIF($P:$P,$Q66,G:G)</f>
        <v>0</v>
      </c>
      <c r="H66" s="9"/>
      <c r="I66" s="20">
        <f>SUMIF($P:$P,$Q66,I:I)</f>
        <v>3.8336209600000004E-2</v>
      </c>
      <c r="J66" s="9"/>
      <c r="K66" s="20">
        <f>SUMIF($P:$P,$Q66,K:K)</f>
        <v>11.331074999999998</v>
      </c>
      <c r="L66" s="9"/>
      <c r="M66" s="21">
        <f>SUMIF($P:$P,$Q66,M:M)</f>
        <v>245.32640000000001</v>
      </c>
      <c r="N66" s="9"/>
      <c r="O66" s="21">
        <f>SUMIF($P:$P,$Q66,O:O)</f>
        <v>6943.8708096</v>
      </c>
      <c r="P66" s="5" t="s">
        <v>20</v>
      </c>
      <c r="Q66" s="5" t="s">
        <v>138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/>
    <row r="68" spans="1:28" ht="18.75" customHeight="1">
      <c r="A68" s="9"/>
      <c r="B68" s="9" t="s">
        <v>151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>
      <c r="A69">
        <v>16</v>
      </c>
      <c r="B69" s="10" t="s">
        <v>152</v>
      </c>
      <c r="C69" s="11" t="s">
        <v>153</v>
      </c>
      <c r="D69" s="10" t="s">
        <v>72</v>
      </c>
      <c r="E69" s="12">
        <v>4.8925000000000001</v>
      </c>
      <c r="F69" s="13"/>
      <c r="G69" s="13">
        <f>E69*F69</f>
        <v>0</v>
      </c>
      <c r="H69" s="14">
        <v>1.87944E-3</v>
      </c>
      <c r="I69" s="14">
        <f>E69*H69</f>
        <v>9.1951602E-3</v>
      </c>
      <c r="J69" s="14">
        <v>1.8</v>
      </c>
      <c r="K69" s="14">
        <f>E69*J69</f>
        <v>8.8064999999999998</v>
      </c>
      <c r="L69" s="4">
        <v>43.46</v>
      </c>
      <c r="M69" s="4">
        <f>E69*L69</f>
        <v>212.62805</v>
      </c>
      <c r="N69" s="4">
        <f>775.598902</f>
        <v>775.59890199999995</v>
      </c>
      <c r="O69" s="4">
        <f>E69*N69</f>
        <v>3794.6176280349996</v>
      </c>
      <c r="P69" s="5" t="s">
        <v>154</v>
      </c>
      <c r="Q69" s="5"/>
      <c r="R69" s="5" t="s">
        <v>74</v>
      </c>
      <c r="S69" s="5" t="s">
        <v>139</v>
      </c>
      <c r="T69" s="5" t="s">
        <v>140</v>
      </c>
      <c r="U69" s="5"/>
      <c r="V69" s="5"/>
      <c r="W69" s="5"/>
      <c r="X69" s="5"/>
      <c r="Y69" s="5"/>
      <c r="Z69" s="5"/>
      <c r="AA69" s="15">
        <v>14</v>
      </c>
      <c r="AB69" s="5" t="s">
        <v>77</v>
      </c>
    </row>
    <row r="70" spans="1:28">
      <c r="B70">
        <v>1</v>
      </c>
      <c r="C70" s="16" t="s">
        <v>155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>
      <c r="C71" s="16" t="s">
        <v>156</v>
      </c>
      <c r="E71" s="17">
        <v>4.2525000000000004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>
      <c r="B72">
        <v>2</v>
      </c>
      <c r="C72" s="16" t="s">
        <v>157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>
      <c r="C73" s="16" t="s">
        <v>158</v>
      </c>
      <c r="E73" s="17">
        <v>0.64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>
      <c r="A74">
        <v>17</v>
      </c>
      <c r="B74" s="10" t="s">
        <v>159</v>
      </c>
      <c r="C74" s="11" t="s">
        <v>160</v>
      </c>
      <c r="D74" s="10" t="s">
        <v>161</v>
      </c>
      <c r="E74" s="12">
        <v>35.200000000000003</v>
      </c>
      <c r="F74" s="13"/>
      <c r="G74" s="13">
        <f>E74*F74</f>
        <v>0</v>
      </c>
      <c r="H74" s="14">
        <v>0</v>
      </c>
      <c r="I74" s="14">
        <f>E74*H74</f>
        <v>0</v>
      </c>
      <c r="J74" s="14">
        <v>1.0999999999999999E-2</v>
      </c>
      <c r="K74" s="14">
        <f>E74*J74</f>
        <v>0.38719999999999999</v>
      </c>
      <c r="L74" s="4">
        <v>0</v>
      </c>
      <c r="M74" s="4">
        <f>E74*L74</f>
        <v>0</v>
      </c>
      <c r="N74" s="4">
        <f>79</f>
        <v>79</v>
      </c>
      <c r="O74" s="4">
        <f>E74*N74</f>
        <v>2780.8</v>
      </c>
      <c r="P74" s="5" t="s">
        <v>154</v>
      </c>
      <c r="Q74" s="5"/>
      <c r="R74" s="5" t="s">
        <v>74</v>
      </c>
      <c r="S74" s="5" t="s">
        <v>139</v>
      </c>
      <c r="T74" s="5" t="s">
        <v>140</v>
      </c>
      <c r="U74" s="5"/>
      <c r="V74" s="5"/>
      <c r="W74" s="5"/>
      <c r="X74" s="5"/>
      <c r="Y74" s="5"/>
      <c r="Z74" s="5"/>
      <c r="AA74" s="15">
        <v>14</v>
      </c>
      <c r="AB74" s="5" t="s">
        <v>77</v>
      </c>
    </row>
    <row r="75" spans="1:28">
      <c r="B75">
        <v>1</v>
      </c>
      <c r="C75" s="16" t="s">
        <v>162</v>
      </c>
      <c r="E75" s="17">
        <v>35.200000000000003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>
      <c r="A76">
        <v>18</v>
      </c>
      <c r="B76" s="10" t="s">
        <v>163</v>
      </c>
      <c r="C76" s="11" t="s">
        <v>164</v>
      </c>
      <c r="D76" s="10" t="s">
        <v>161</v>
      </c>
      <c r="E76" s="12">
        <v>12.6</v>
      </c>
      <c r="F76" s="13"/>
      <c r="G76" s="13">
        <f>E76*F76</f>
        <v>0</v>
      </c>
      <c r="H76" s="14">
        <v>0</v>
      </c>
      <c r="I76" s="14">
        <f>E76*H76</f>
        <v>0</v>
      </c>
      <c r="J76" s="14">
        <v>1.9E-2</v>
      </c>
      <c r="K76" s="14">
        <f>E76*J76</f>
        <v>0.23939999999999997</v>
      </c>
      <c r="L76" s="4">
        <v>0</v>
      </c>
      <c r="M76" s="4">
        <f>E76*L76</f>
        <v>0</v>
      </c>
      <c r="N76" s="4">
        <f>178</f>
        <v>178</v>
      </c>
      <c r="O76" s="4">
        <f>E76*N76</f>
        <v>2242.7999999999997</v>
      </c>
      <c r="P76" s="5" t="s">
        <v>154</v>
      </c>
      <c r="Q76" s="5"/>
      <c r="R76" s="5" t="s">
        <v>74</v>
      </c>
      <c r="S76" s="5" t="s">
        <v>139</v>
      </c>
      <c r="T76" s="5" t="s">
        <v>140</v>
      </c>
      <c r="U76" s="5"/>
      <c r="V76" s="5"/>
      <c r="W76" s="5"/>
      <c r="X76" s="5"/>
      <c r="Y76" s="5"/>
      <c r="Z76" s="5"/>
      <c r="AA76" s="15">
        <v>14</v>
      </c>
      <c r="AB76" s="5" t="s">
        <v>77</v>
      </c>
    </row>
    <row r="77" spans="1:28">
      <c r="B77">
        <v>1</v>
      </c>
      <c r="C77" s="16" t="s">
        <v>165</v>
      </c>
      <c r="E77" s="17">
        <v>12.6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>
      <c r="A78">
        <v>19</v>
      </c>
      <c r="B78" s="10" t="s">
        <v>166</v>
      </c>
      <c r="C78" s="11" t="s">
        <v>167</v>
      </c>
      <c r="D78" s="10" t="s">
        <v>161</v>
      </c>
      <c r="E78" s="12">
        <v>12</v>
      </c>
      <c r="F78" s="13"/>
      <c r="G78" s="13">
        <f>E78*F78</f>
        <v>0</v>
      </c>
      <c r="H78" s="14">
        <v>0</v>
      </c>
      <c r="I78" s="14">
        <f>E78*H78</f>
        <v>0</v>
      </c>
      <c r="J78" s="14">
        <v>4.2000000000000003E-2</v>
      </c>
      <c r="K78" s="14">
        <f>E78*J78</f>
        <v>0.504</v>
      </c>
      <c r="L78" s="4">
        <v>0</v>
      </c>
      <c r="M78" s="4">
        <f>E78*L78</f>
        <v>0</v>
      </c>
      <c r="N78" s="4">
        <f>153.416025</f>
        <v>153.41602499999999</v>
      </c>
      <c r="O78" s="4">
        <f>E78*N78</f>
        <v>1840.9922999999999</v>
      </c>
      <c r="P78" s="5" t="s">
        <v>154</v>
      </c>
      <c r="Q78" s="5"/>
      <c r="R78" s="5" t="s">
        <v>74</v>
      </c>
      <c r="S78" s="5" t="s">
        <v>139</v>
      </c>
      <c r="T78" s="5" t="s">
        <v>140</v>
      </c>
      <c r="U78" s="5"/>
      <c r="V78" s="5"/>
      <c r="W78" s="5"/>
      <c r="X78" s="5"/>
      <c r="Y78" s="5"/>
      <c r="Z78" s="5"/>
      <c r="AA78" s="15">
        <v>14</v>
      </c>
      <c r="AB78" s="5" t="s">
        <v>77</v>
      </c>
    </row>
    <row r="79" spans="1:28">
      <c r="B79">
        <v>1</v>
      </c>
      <c r="C79" s="16" t="s">
        <v>168</v>
      </c>
      <c r="E79" s="17">
        <v>12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>
      <c r="A80">
        <v>20</v>
      </c>
      <c r="B80" s="10" t="s">
        <v>169</v>
      </c>
      <c r="C80" s="11" t="s">
        <v>170</v>
      </c>
      <c r="D80" s="10" t="s">
        <v>91</v>
      </c>
      <c r="E80" s="12">
        <v>1</v>
      </c>
      <c r="F80" s="13"/>
      <c r="G80" s="13">
        <f>E80*F80</f>
        <v>0</v>
      </c>
      <c r="H80" s="14">
        <v>0</v>
      </c>
      <c r="I80" s="14">
        <f>E80*H80</f>
        <v>0</v>
      </c>
      <c r="J80" s="14">
        <v>4.5999999999999999E-2</v>
      </c>
      <c r="K80" s="14">
        <f>E80*J80</f>
        <v>4.5999999999999999E-2</v>
      </c>
      <c r="L80" s="4">
        <v>0</v>
      </c>
      <c r="M80" s="4">
        <f>E80*L80</f>
        <v>0</v>
      </c>
      <c r="N80" s="4">
        <f>72</f>
        <v>72</v>
      </c>
      <c r="O80" s="4">
        <f>E80*N80</f>
        <v>72</v>
      </c>
      <c r="P80" s="5" t="s">
        <v>154</v>
      </c>
      <c r="Q80" s="5"/>
      <c r="R80" s="5" t="s">
        <v>74</v>
      </c>
      <c r="S80" s="5" t="s">
        <v>139</v>
      </c>
      <c r="T80" s="5" t="s">
        <v>140</v>
      </c>
      <c r="U80" s="5"/>
      <c r="V80" s="5"/>
      <c r="W80" s="5"/>
      <c r="X80" s="5"/>
      <c r="Y80" s="5"/>
      <c r="Z80" s="5"/>
      <c r="AA80" s="15">
        <v>14</v>
      </c>
      <c r="AB80" s="5" t="s">
        <v>77</v>
      </c>
    </row>
    <row r="81" spans="1:28">
      <c r="C81" s="22" t="s">
        <v>144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>
      <c r="A82">
        <v>21</v>
      </c>
      <c r="B82" s="10" t="s">
        <v>171</v>
      </c>
      <c r="C82" s="11" t="s">
        <v>172</v>
      </c>
      <c r="D82" s="10" t="s">
        <v>91</v>
      </c>
      <c r="E82" s="12">
        <v>1</v>
      </c>
      <c r="F82" s="13"/>
      <c r="G82" s="13">
        <f>E82*F82</f>
        <v>0</v>
      </c>
      <c r="H82" s="14">
        <v>0</v>
      </c>
      <c r="I82" s="14">
        <f>E82*H82</f>
        <v>0</v>
      </c>
      <c r="J82" s="14">
        <v>6.8000000000000005E-2</v>
      </c>
      <c r="K82" s="14">
        <f>E82*J82</f>
        <v>6.8000000000000005E-2</v>
      </c>
      <c r="L82" s="4">
        <v>0</v>
      </c>
      <c r="M82" s="4">
        <f>E82*L82</f>
        <v>0</v>
      </c>
      <c r="N82" s="4">
        <f>102.27735</f>
        <v>102.27735</v>
      </c>
      <c r="O82" s="4">
        <f>E82*N82</f>
        <v>102.27735</v>
      </c>
      <c r="P82" s="5" t="s">
        <v>154</v>
      </c>
      <c r="Q82" s="5"/>
      <c r="R82" s="5" t="s">
        <v>74</v>
      </c>
      <c r="S82" s="5" t="s">
        <v>139</v>
      </c>
      <c r="T82" s="5" t="s">
        <v>140</v>
      </c>
      <c r="U82" s="5"/>
      <c r="V82" s="5"/>
      <c r="W82" s="5"/>
      <c r="X82" s="5"/>
      <c r="Y82" s="5"/>
      <c r="Z82" s="5"/>
      <c r="AA82" s="15">
        <v>14</v>
      </c>
      <c r="AB82" s="5" t="s">
        <v>77</v>
      </c>
    </row>
    <row r="83" spans="1:28">
      <c r="C83" s="22" t="s">
        <v>144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8.75" customHeight="1">
      <c r="A84" s="18" t="s">
        <v>20</v>
      </c>
      <c r="B84" s="9" t="s">
        <v>173</v>
      </c>
      <c r="C84" s="9"/>
      <c r="D84" s="9"/>
      <c r="E84" s="9"/>
      <c r="F84" s="9"/>
      <c r="G84" s="19">
        <f>SUMIF($P:$P,$Q84,G:G)</f>
        <v>0</v>
      </c>
      <c r="H84" s="9"/>
      <c r="I84" s="20">
        <f>SUMIF($P:$P,$Q84,I:I)</f>
        <v>9.1951602E-3</v>
      </c>
      <c r="J84" s="9"/>
      <c r="K84" s="20">
        <f>SUMIF($P:$P,$Q84,K:K)</f>
        <v>10.051099999999998</v>
      </c>
      <c r="L84" s="9"/>
      <c r="M84" s="21">
        <f>SUMIF($P:$P,$Q84,M:M)</f>
        <v>212.62805</v>
      </c>
      <c r="N84" s="9"/>
      <c r="O84" s="21">
        <f>SUMIF($P:$P,$Q84,O:O)</f>
        <v>10833.487278035</v>
      </c>
      <c r="P84" s="5" t="s">
        <v>20</v>
      </c>
      <c r="Q84" s="5" t="s">
        <v>154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/>
    <row r="86" spans="1:28" ht="18.75" customHeight="1">
      <c r="A86" s="9"/>
      <c r="B86" s="9" t="s">
        <v>174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>
      <c r="A87">
        <v>22</v>
      </c>
      <c r="B87" s="10" t="s">
        <v>175</v>
      </c>
      <c r="C87" s="11" t="s">
        <v>176</v>
      </c>
      <c r="D87" s="10" t="s">
        <v>82</v>
      </c>
      <c r="E87" s="12">
        <f>Z87*IF(V87="cenik_cast",SUMIF(T:T,Y87,K:K),IF(V87="cenik",SUMIF(S:S,X87,K:K),SUMIF(R:R,W87,K:K)))</f>
        <v>21.382175</v>
      </c>
      <c r="F87" s="13"/>
      <c r="G87" s="13">
        <f>E87*F87</f>
        <v>0</v>
      </c>
      <c r="H87" s="14">
        <v>0</v>
      </c>
      <c r="I87" s="14">
        <f>E87*H87</f>
        <v>0</v>
      </c>
      <c r="J87" s="14">
        <v>0</v>
      </c>
      <c r="K87" s="14">
        <f>E87*J87</f>
        <v>0</v>
      </c>
      <c r="L87" s="4">
        <v>0</v>
      </c>
      <c r="M87" s="4">
        <f>E87*L87</f>
        <v>0</v>
      </c>
      <c r="N87" s="4">
        <f>175</f>
        <v>175</v>
      </c>
      <c r="O87" s="4">
        <f>E87*N87</f>
        <v>3741.8806250000002</v>
      </c>
      <c r="P87" s="5" t="s">
        <v>177</v>
      </c>
      <c r="Q87" s="5"/>
      <c r="R87" s="5"/>
      <c r="S87" s="5"/>
      <c r="T87" s="5"/>
      <c r="U87" s="5" t="s">
        <v>50</v>
      </c>
      <c r="V87" s="5" t="s">
        <v>178</v>
      </c>
      <c r="W87" s="5" t="s">
        <v>74</v>
      </c>
      <c r="X87" s="5" t="s">
        <v>139</v>
      </c>
      <c r="Y87" s="5" t="s">
        <v>140</v>
      </c>
      <c r="Z87" s="6">
        <v>1</v>
      </c>
      <c r="AA87" s="15">
        <v>14</v>
      </c>
      <c r="AB87" s="5" t="s">
        <v>77</v>
      </c>
    </row>
    <row r="88" spans="1:28">
      <c r="A88">
        <v>23</v>
      </c>
      <c r="B88" s="10" t="s">
        <v>179</v>
      </c>
      <c r="C88" s="11" t="s">
        <v>180</v>
      </c>
      <c r="D88" s="10" t="s">
        <v>82</v>
      </c>
      <c r="E88" s="12">
        <f>Z88*IF(V88="cenik_cast",SUMIF(T:T,Y88,K:K),IF(V88="cenik",SUMIF(S:S,X88,K:K),SUMIF(R:R,W88,K:K)))</f>
        <v>42.76435</v>
      </c>
      <c r="F88" s="13"/>
      <c r="G88" s="13">
        <f>E88*F88</f>
        <v>0</v>
      </c>
      <c r="H88" s="14">
        <v>0</v>
      </c>
      <c r="I88" s="14">
        <f>E88*H88</f>
        <v>0</v>
      </c>
      <c r="J88" s="14">
        <v>0</v>
      </c>
      <c r="K88" s="14">
        <f>E88*J88</f>
        <v>0</v>
      </c>
      <c r="L88" s="4">
        <v>0</v>
      </c>
      <c r="M88" s="4">
        <f>E88*L88</f>
        <v>0</v>
      </c>
      <c r="N88" s="4">
        <f>138.5</f>
        <v>138.5</v>
      </c>
      <c r="O88" s="4">
        <f>E88*N88</f>
        <v>5922.8624749999999</v>
      </c>
      <c r="P88" s="5" t="s">
        <v>177</v>
      </c>
      <c r="Q88" s="5"/>
      <c r="R88" s="5"/>
      <c r="S88" s="5"/>
      <c r="T88" s="5"/>
      <c r="U88" s="5" t="s">
        <v>50</v>
      </c>
      <c r="V88" s="5" t="s">
        <v>178</v>
      </c>
      <c r="W88" s="5" t="s">
        <v>74</v>
      </c>
      <c r="X88" s="5" t="s">
        <v>139</v>
      </c>
      <c r="Y88" s="5" t="s">
        <v>140</v>
      </c>
      <c r="Z88" s="6">
        <v>2</v>
      </c>
      <c r="AA88" s="15">
        <v>14</v>
      </c>
      <c r="AB88" s="5" t="s">
        <v>77</v>
      </c>
    </row>
    <row r="89" spans="1:28">
      <c r="A89">
        <v>25</v>
      </c>
      <c r="B89" s="10" t="s">
        <v>182</v>
      </c>
      <c r="C89" s="11" t="s">
        <v>183</v>
      </c>
      <c r="D89" s="10" t="s">
        <v>82</v>
      </c>
      <c r="E89" s="12">
        <f>Z89*IF(V89="cenik_cast",SUMIF(T:T,Y89,K:K),IF(V89="cenik",SUMIF(S:S,X89,K:K),SUMIF(R:R,W89,K:K)))</f>
        <v>21.382175</v>
      </c>
      <c r="F89" s="13"/>
      <c r="G89" s="13">
        <f>E89*F89</f>
        <v>0</v>
      </c>
      <c r="H89" s="14">
        <v>0</v>
      </c>
      <c r="I89" s="14">
        <f>E89*H89</f>
        <v>0</v>
      </c>
      <c r="J89" s="14">
        <v>0</v>
      </c>
      <c r="K89" s="14">
        <f>E89*J89</f>
        <v>0</v>
      </c>
      <c r="L89" s="4">
        <v>0</v>
      </c>
      <c r="M89" s="4">
        <f>E89*L89</f>
        <v>0</v>
      </c>
      <c r="N89" s="4">
        <f>125</f>
        <v>125</v>
      </c>
      <c r="O89" s="4">
        <f>E89*N89</f>
        <v>2672.7718749999999</v>
      </c>
      <c r="P89" s="5" t="s">
        <v>177</v>
      </c>
      <c r="Q89" s="5"/>
      <c r="R89" s="5"/>
      <c r="S89" s="5"/>
      <c r="T89" s="5"/>
      <c r="U89" s="5" t="s">
        <v>50</v>
      </c>
      <c r="V89" s="5" t="s">
        <v>178</v>
      </c>
      <c r="W89" s="5" t="s">
        <v>74</v>
      </c>
      <c r="X89" s="5" t="s">
        <v>139</v>
      </c>
      <c r="Y89" s="5" t="s">
        <v>140</v>
      </c>
      <c r="Z89" s="6">
        <v>1</v>
      </c>
      <c r="AA89" s="15">
        <v>14</v>
      </c>
      <c r="AB89" s="5" t="s">
        <v>77</v>
      </c>
    </row>
    <row r="90" spans="1:28" ht="18.75" customHeight="1">
      <c r="A90" s="18" t="s">
        <v>20</v>
      </c>
      <c r="B90" s="9" t="s">
        <v>184</v>
      </c>
      <c r="C90" s="9"/>
      <c r="D90" s="9"/>
      <c r="E90" s="9"/>
      <c r="F90" s="9"/>
      <c r="G90" s="19">
        <f>SUMIF($P:$P,$Q90,G:G)</f>
        <v>0</v>
      </c>
      <c r="H90" s="9"/>
      <c r="I90" s="20">
        <f>SUMIF($P:$P,$Q90,I:I)</f>
        <v>0</v>
      </c>
      <c r="J90" s="9"/>
      <c r="K90" s="20">
        <f>SUMIF($P:$P,$Q90,K:K)</f>
        <v>0</v>
      </c>
      <c r="L90" s="9"/>
      <c r="M90" s="21">
        <f>SUMIF($P:$P,$Q90,M:M)</f>
        <v>0</v>
      </c>
      <c r="N90" s="9"/>
      <c r="O90" s="21">
        <f>SUMIF($P:$P,$Q90,O:O)</f>
        <v>12337.514975</v>
      </c>
      <c r="P90" s="5" t="s">
        <v>20</v>
      </c>
      <c r="Q90" s="5" t="s">
        <v>177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/>
    <row r="92" spans="1:28" ht="18.75" customHeight="1">
      <c r="A92" s="9"/>
      <c r="B92" s="9" t="s">
        <v>185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>
      <c r="A93">
        <v>26</v>
      </c>
      <c r="B93" s="10" t="s">
        <v>186</v>
      </c>
      <c r="C93" s="11" t="s">
        <v>187</v>
      </c>
      <c r="D93" s="10" t="s">
        <v>82</v>
      </c>
      <c r="E93" s="12">
        <f>Z93*IF(V93="cenik_cast",IF(U93="hmoty",SUMIF(T:T,Y93,I:I),IF(U93="cena_hmot",SUMIF(T:T,Y93,M:M)/1000,SUMIF(T:T,Y93,G:G)/1000)),IF(V93="cenik",IF(U93="hmoty",SUMIF(S:S,X93,I:I),IF(U93="cena_hmot",SUMIF(S:S,X93,M:M)/1000,SUMIF(S:S,X93,G:G)/1000)),IF(U93="hmoty",SUMIF(R:R,W93,I:I),IF(U93="cena_hmot",SUMIF(R:R,W93,M:M)/1000,SUMIF(R:R,W93,G:G)/1000))))</f>
        <v>24.459588624799995</v>
      </c>
      <c r="F93" s="13"/>
      <c r="G93" s="13">
        <f>E93*F93</f>
        <v>0</v>
      </c>
      <c r="H93" s="14">
        <v>0</v>
      </c>
      <c r="I93" s="14">
        <f>E93*H93</f>
        <v>0</v>
      </c>
      <c r="J93" s="14">
        <v>0</v>
      </c>
      <c r="K93" s="14">
        <f>E93*J93</f>
        <v>0</v>
      </c>
      <c r="L93" s="4">
        <v>0</v>
      </c>
      <c r="M93" s="4">
        <f>E93*L93</f>
        <v>0</v>
      </c>
      <c r="N93" s="4">
        <f>225</f>
        <v>225</v>
      </c>
      <c r="O93" s="4">
        <f>E93*N93</f>
        <v>5503.4074405799993</v>
      </c>
      <c r="P93" s="5" t="s">
        <v>188</v>
      </c>
      <c r="Q93" s="5"/>
      <c r="R93" s="5"/>
      <c r="S93" s="5"/>
      <c r="T93" s="5"/>
      <c r="U93" s="5" t="s">
        <v>189</v>
      </c>
      <c r="V93" s="5" t="s">
        <v>181</v>
      </c>
      <c r="W93" s="5" t="s">
        <v>74</v>
      </c>
      <c r="X93" s="5" t="s">
        <v>83</v>
      </c>
      <c r="Y93" s="5" t="s">
        <v>84</v>
      </c>
      <c r="Z93" s="6">
        <v>1</v>
      </c>
      <c r="AA93" s="15">
        <v>14</v>
      </c>
      <c r="AB93" s="5" t="s">
        <v>77</v>
      </c>
    </row>
    <row r="94" spans="1:28" ht="18.75" customHeight="1">
      <c r="A94" s="18" t="s">
        <v>20</v>
      </c>
      <c r="B94" s="9" t="s">
        <v>190</v>
      </c>
      <c r="C94" s="9"/>
      <c r="D94" s="9"/>
      <c r="E94" s="9"/>
      <c r="F94" s="9"/>
      <c r="G94" s="19">
        <f>SUMIF($P:$P,$Q94,G:G)</f>
        <v>0</v>
      </c>
      <c r="H94" s="9"/>
      <c r="I94" s="20">
        <f>SUMIF($P:$P,$Q94,I:I)</f>
        <v>0</v>
      </c>
      <c r="J94" s="9"/>
      <c r="K94" s="20">
        <f>SUMIF($P:$P,$Q94,K:K)</f>
        <v>0</v>
      </c>
      <c r="L94" s="9"/>
      <c r="M94" s="21">
        <f>SUMIF($P:$P,$Q94,M:M)</f>
        <v>0</v>
      </c>
      <c r="N94" s="9"/>
      <c r="O94" s="21">
        <f>SUMIF($P:$P,$Q94,O:O)</f>
        <v>5503.4074405799993</v>
      </c>
      <c r="P94" s="5" t="s">
        <v>20</v>
      </c>
      <c r="Q94" s="5" t="s">
        <v>188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 thickBot="1"/>
    <row r="96" spans="1:28" ht="18.75" customHeight="1">
      <c r="A96" s="23" t="s">
        <v>20</v>
      </c>
      <c r="B96" s="24"/>
      <c r="C96" s="24"/>
      <c r="D96" s="24"/>
      <c r="E96" s="24"/>
      <c r="F96" s="24"/>
      <c r="G96" s="25">
        <f>SUMIF($P:$P,"S",G:G)</f>
        <v>0</v>
      </c>
      <c r="H96" s="24"/>
      <c r="I96" s="26">
        <f>SUMIF($P:$P,"S",I:I)</f>
        <v>24.459588624799999</v>
      </c>
      <c r="J96" s="24"/>
      <c r="K96" s="26">
        <f>SUMIF($P:$P,"S",K:K)</f>
        <v>21.382174999999997</v>
      </c>
      <c r="L96" s="24"/>
      <c r="M96" s="27">
        <f>SUMIF($P:$P,"S",M:M)</f>
        <v>28326.841546000003</v>
      </c>
      <c r="N96" s="24"/>
      <c r="O96" s="27">
        <f>SUMIF($P:$P,"S",O:O)</f>
        <v>138062.30030679499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7">
      <c r="A97" s="62" t="s">
        <v>192</v>
      </c>
      <c r="B97" s="62"/>
      <c r="C97" s="62"/>
      <c r="D97" s="62"/>
      <c r="E97" s="62"/>
      <c r="F97" s="62"/>
      <c r="G97" s="62"/>
    </row>
    <row r="98" spans="1:7">
      <c r="A98" s="62"/>
      <c r="B98" s="62"/>
      <c r="C98" s="62"/>
      <c r="D98" s="62"/>
      <c r="E98" s="62"/>
      <c r="F98" s="62"/>
      <c r="G98" s="62"/>
    </row>
    <row r="99" spans="1:7">
      <c r="A99" s="62"/>
      <c r="B99" s="62"/>
      <c r="C99" s="62"/>
      <c r="D99" s="62"/>
      <c r="E99" s="62"/>
      <c r="F99" s="62"/>
      <c r="G99" s="62"/>
    </row>
    <row r="100" spans="1:7">
      <c r="A100" s="62"/>
      <c r="B100" s="62"/>
      <c r="C100" s="62"/>
      <c r="D100" s="62"/>
      <c r="E100" s="62"/>
      <c r="F100" s="62"/>
      <c r="G100" s="62"/>
    </row>
    <row r="101" spans="1:7">
      <c r="A101" s="62"/>
      <c r="B101" s="62"/>
      <c r="C101" s="62"/>
      <c r="D101" s="62"/>
      <c r="E101" s="62"/>
      <c r="F101" s="62"/>
      <c r="G101" s="62"/>
    </row>
  </sheetData>
  <mergeCells count="17">
    <mergeCell ref="N7:O7"/>
    <mergeCell ref="P7:AB7"/>
    <mergeCell ref="A1:O1"/>
    <mergeCell ref="C2:G2"/>
    <mergeCell ref="C3:G3"/>
    <mergeCell ref="C4:G4"/>
    <mergeCell ref="C5:G5"/>
    <mergeCell ref="A7:A8"/>
    <mergeCell ref="B7:B8"/>
    <mergeCell ref="C7:C8"/>
    <mergeCell ref="D7:D8"/>
    <mergeCell ref="E7:E8"/>
    <mergeCell ref="A97:G101"/>
    <mergeCell ref="F7:G7"/>
    <mergeCell ref="H7:I7"/>
    <mergeCell ref="J7:K7"/>
    <mergeCell ref="L7:M7"/>
  </mergeCells>
  <pageMargins left="0.78740157499999996" right="0.59" top="0.984251969" bottom="0.984251969" header="0.4921259845" footer="0.4921259845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1-09-2014</vt:lpstr>
      <vt:lpstr>1-09-2014-HSV</vt:lpstr>
      <vt:lpstr>'1-09-2014'!Oblast_tisku</vt:lpstr>
      <vt:lpstr>'1-09-2014-HSV'!Oblast_tisku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Táta</dc:creator>
  <cp:lastModifiedBy>Windows User</cp:lastModifiedBy>
  <dcterms:created xsi:type="dcterms:W3CDTF">2014-09-23T10:26:25Z</dcterms:created>
  <dcterms:modified xsi:type="dcterms:W3CDTF">2014-11-06T08:12:12Z</dcterms:modified>
</cp:coreProperties>
</file>