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<sst xmlns="http://schemas.openxmlformats.org/spreadsheetml/2006/main" count="740" uniqueCount="294">
  <si>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</si>
  <si>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</si>
  <si>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</si>
  <si>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</si>
  <si>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</si>
  <si>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</si>
  <si>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</si>
  <si>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</si>
  <si>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</si>
  <si>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</si>
  <si>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</si>
  <si>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</si>
  <si>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</si>
  <si>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</si>
  <si>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</si>
  <si>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</si>
  <si>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</si>
  <si>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</si>
  <si>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</si>
  <si>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</si>
  <si>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</si>
  <si>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</si>
  <si>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</si>
  <si>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</si>
  <si>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</si>
  <si>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</si>
  <si>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</si>
  <si>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</si>
  <si>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</si>
  <si>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</si>
  <si>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</si>
  <si>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</si>
  <si>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</si>
  <si>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</si>
  <si>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</si>
  <si>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</si>
  <si>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</si>
  <si>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</si>
  <si>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</si>
  <si>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</si>
  <si>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</si>
  <si>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</si>
  <si>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</si>
  <si>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</si>
  <si>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</si>
  <si>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</si>
  <si>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</si>
  <si>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</si>
  <si>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</si>
  <si>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</si>
  <si>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</si>
  <si>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</si>
  <si>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</si>
  <si>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</si>
  <si>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</si>
  <si>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</si>
  <si>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</si>
  <si>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</si>
  <si>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</si>
  <si>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</si>
  <si>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</si>
  <si>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</si>
  <si>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</si>
  <si>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Poznámka:</t>
  </si>
  <si>
    <t>Objekt</t>
  </si>
  <si>
    <t>S0-01</t>
  </si>
  <si>
    <t>Kód</t>
  </si>
  <si>
    <t>712</t>
  </si>
  <si>
    <t>712600832RT3</t>
  </si>
  <si>
    <t>762</t>
  </si>
  <si>
    <t>762341310RT2</t>
  </si>
  <si>
    <t>762342202RT4</t>
  </si>
  <si>
    <t>762342204RT4</t>
  </si>
  <si>
    <t>60510002</t>
  </si>
  <si>
    <t>762395000R00</t>
  </si>
  <si>
    <t>764</t>
  </si>
  <si>
    <t>764900010RA0</t>
  </si>
  <si>
    <t>764339831R00</t>
  </si>
  <si>
    <t>764391821R00</t>
  </si>
  <si>
    <t>764391841R00</t>
  </si>
  <si>
    <t>764322841R00</t>
  </si>
  <si>
    <t>764331831R00</t>
  </si>
  <si>
    <t>764352811R00</t>
  </si>
  <si>
    <t>764454801R00</t>
  </si>
  <si>
    <t>764362801R00</t>
  </si>
  <si>
    <t>764362811R00</t>
  </si>
  <si>
    <t>764222220R00</t>
  </si>
  <si>
    <t>764211202R00</t>
  </si>
  <si>
    <t>764222240R00</t>
  </si>
  <si>
    <t>764631200R00</t>
  </si>
  <si>
    <t>764292241R00</t>
  </si>
  <si>
    <t>764292250R00</t>
  </si>
  <si>
    <t>764291220R00</t>
  </si>
  <si>
    <t>764231230R00</t>
  </si>
  <si>
    <t>764211491R00</t>
  </si>
  <si>
    <t>764252203R00</t>
  </si>
  <si>
    <t>764259292R00</t>
  </si>
  <si>
    <t>5534425640</t>
  </si>
  <si>
    <t>764554202R00</t>
  </si>
  <si>
    <t>998764102R00</t>
  </si>
  <si>
    <t>765</t>
  </si>
  <si>
    <t>765799310R00</t>
  </si>
  <si>
    <t>28329021</t>
  </si>
  <si>
    <t>765322511RT1</t>
  </si>
  <si>
    <t>765322690R00</t>
  </si>
  <si>
    <t>765322810R00</t>
  </si>
  <si>
    <t>765322704R00</t>
  </si>
  <si>
    <t>765322706R00</t>
  </si>
  <si>
    <t>765322707R00</t>
  </si>
  <si>
    <t>765322708R00</t>
  </si>
  <si>
    <t>765322715R00</t>
  </si>
  <si>
    <t>765322711R00</t>
  </si>
  <si>
    <t>765328552R00</t>
  </si>
  <si>
    <t>765328590R00</t>
  </si>
  <si>
    <t>765328652R00</t>
  </si>
  <si>
    <t>765328690R00</t>
  </si>
  <si>
    <t>765799115R00</t>
  </si>
  <si>
    <t>6114025005</t>
  </si>
  <si>
    <t>611403055</t>
  </si>
  <si>
    <t>611405904</t>
  </si>
  <si>
    <t>998765102R00</t>
  </si>
  <si>
    <t>783</t>
  </si>
  <si>
    <t>783782209R00</t>
  </si>
  <si>
    <t>783100011R00</t>
  </si>
  <si>
    <t>S</t>
  </si>
  <si>
    <t>979990121R00</t>
  </si>
  <si>
    <t>900      RT1</t>
  </si>
  <si>
    <t>210202991RT1</t>
  </si>
  <si>
    <t>Stavební úpravy a změna užívání části objektu č.p.568 = 2NP, 3NP</t>
  </si>
  <si>
    <t>ul.Wolkerova, k.ú.Kročehlavy</t>
  </si>
  <si>
    <t>Zkrácený popis</t>
  </si>
  <si>
    <t>Rozměry</t>
  </si>
  <si>
    <t>Izolace střech (živičné krytiny)</t>
  </si>
  <si>
    <t>Odstranění živič.krytiny střech živičný šindel, podkladní pás</t>
  </si>
  <si>
    <t>Konstrukce tesařské</t>
  </si>
  <si>
    <t>Montáž bednění střech složitých, prkna hrubá na sraz</t>
  </si>
  <si>
    <t>Montáž laťování střech, vzdálenost latí do 22 cm</t>
  </si>
  <si>
    <t>Montáž laťování střech, svislé, vzdálenost 100 cm</t>
  </si>
  <si>
    <t>Lať střešní profil SM/BO 40/60 mm  dl = 3 - 5 m</t>
  </si>
  <si>
    <t>Spojovací a ochranné prostředky pro střechy</t>
  </si>
  <si>
    <t>Konstrukce klempířské</t>
  </si>
  <si>
    <t>Demontáž krytiny střech</t>
  </si>
  <si>
    <t>Demontáž lemování komínů v ploše, hl. kryt, do 45°</t>
  </si>
  <si>
    <t>Demontáž závětrné lišty, rš 250 a 330 mm, do 45°</t>
  </si>
  <si>
    <t>Demontáž závětrné lišty, rš 400 a 500 mm, do 45°</t>
  </si>
  <si>
    <t>Demontáž oplechování okapů, rš 500 mm, do 45°</t>
  </si>
  <si>
    <t>Demontáž lemování zdí, rš 250 a 330 mm, do 45°</t>
  </si>
  <si>
    <t>Demontáž žlabů půlkruh. rovných, rš 330 mm, do 45°</t>
  </si>
  <si>
    <t>Demontáž odpadních trub kruhových,D 75 a 100 mm</t>
  </si>
  <si>
    <t>Demontáž střešního výlezu, hladká krytina, do 45°</t>
  </si>
  <si>
    <t>Demontáž střešního okna, hladká krytina, do 45°</t>
  </si>
  <si>
    <t>Oplechování okapů Cu, tvrdá krytina, rš 200 mm</t>
  </si>
  <si>
    <t>Krytina hladká z Cu tabulí 2 x 1 m, sklon do 45° střecha složitá</t>
  </si>
  <si>
    <t>Oplechování okapů Cu, rš 500 mm</t>
  </si>
  <si>
    <t>Oplechování komínu CU</t>
  </si>
  <si>
    <t>Úžlabí z Cu plechu, rš 500 mm</t>
  </si>
  <si>
    <t>Úžlabí z Cu plechu, rš 660 mm</t>
  </si>
  <si>
    <t>Závětrná lišta z Cu plechu, rš 330 mm</t>
  </si>
  <si>
    <t>Lemování z Cu plechu zdí, tvrdá krytina, rš 330 mm</t>
  </si>
  <si>
    <t>Dilatační lišta CU rš100</t>
  </si>
  <si>
    <t>Žlaby z Cu plechu podokapní půlkruhové, rš 330 mm vč.háků a doplňků</t>
  </si>
  <si>
    <t>Montáž kotlíku z Cu kónického</t>
  </si>
  <si>
    <t>Kotlík žlabový33/100</t>
  </si>
  <si>
    <t>Odpadní trouby z Cu plechu, kruhové, D 100 mm vč.objímek , oblouků</t>
  </si>
  <si>
    <t>Přesun hmot pro klempířské konstr., výšky do 12 m</t>
  </si>
  <si>
    <t>Krytina tvrdá</t>
  </si>
  <si>
    <t>Montáž fólie na krokve přibitím</t>
  </si>
  <si>
    <t>Fólie hydroiz.difuzní</t>
  </si>
  <si>
    <t>Příplatek za sklon přes 30 do 45°</t>
  </si>
  <si>
    <t>Dvojité založení krytiny Cembrit u okapu do roviny</t>
  </si>
  <si>
    <t>Odvětrávací hlavice Oriko, Cembrit</t>
  </si>
  <si>
    <t>Anténní prostup</t>
  </si>
  <si>
    <t>Větrací pás proti ptákům</t>
  </si>
  <si>
    <t>Přířezy</t>
  </si>
  <si>
    <t>Výlez na střechu, Cembrit, s povrchovou úpravou</t>
  </si>
  <si>
    <t>Stoupací plošina 600 x 250 mm s taškou, Cembrit</t>
  </si>
  <si>
    <t>Hřeben vlákocem., pro šablony, složitý</t>
  </si>
  <si>
    <t>Přípl.za sklon pro hřeben k šablonám přes30 do 45°</t>
  </si>
  <si>
    <t>Nároží, úžlabí vláknocem., pro šablony</t>
  </si>
  <si>
    <t>Přípl. za sklon pro nároží, šablony přes 30 do 45°</t>
  </si>
  <si>
    <t>Montáž střešních oken interierových</t>
  </si>
  <si>
    <t>Okno střešní GGL 3060 M04 š. 78 x v. 98 cm Velux</t>
  </si>
  <si>
    <t>Lemování okna Velux EDW 2000 M04   78 x  98 cm</t>
  </si>
  <si>
    <t>Sada zateplovací Velux BDX 2000 M04 78x98 cm</t>
  </si>
  <si>
    <t>Přesun hmot pro krytiny tvrdé, výšky do 12 m</t>
  </si>
  <si>
    <t>Nátěry</t>
  </si>
  <si>
    <t>Nátěr tesařských konstrukcí Lignofix 2x - bednění</t>
  </si>
  <si>
    <t>Úprava a očištění bednění</t>
  </si>
  <si>
    <t>Přesuny sutí</t>
  </si>
  <si>
    <t>Poplatek za skládku suti - asfaltové pásy, odvoz</t>
  </si>
  <si>
    <t>Ostatní položky práce</t>
  </si>
  <si>
    <t>HZS -  DMTZ hromosvodu, zpětná MTZ hromosvodu</t>
  </si>
  <si>
    <t>Hromosvod - dodávka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</si>
  <si>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</si>
  <si>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</si>
  <si>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</si>
  <si>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</si>
  <si>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</si>
  <si>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</si>
  <si>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</si>
  <si>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</si>
  <si>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kus</t>
  </si>
  <si>
    <t>t</t>
  </si>
  <si>
    <t>h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</si>
  <si>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</si>
  <si>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</si>
  <si>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</si>
  <si>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</si>
  <si>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</si>
  <si>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</si>
  <si>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</si>
  <si>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</si>
  <si>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</si>
  <si>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</si>
  <si>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</si>
  <si>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CATERPPILLAR CLUB s.r.o.</t>
  </si>
  <si>
    <t>T&amp;N stavební a obchodní s.r.o.</t>
  </si>
  <si>
    <t>Celkem</t>
  </si>
  <si>
    <t>Hmotnost (t)</t>
  </si>
  <si>
    <t>Cenová</t>
  </si>
  <si>
    <t>soustava</t>
  </si>
  <si>
    <t>RTS II / 2015</t>
  </si>
  <si>
    <t>0</t>
  </si>
  <si>
    <t>Přesuny</t>
  </si>
  <si>
    <t>Typ skupiny</t>
  </si>
  <si>
    <t>PS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</si>
  <si>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</si>
  <si>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</si>
  <si>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</si>
  <si>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</si>
  <si>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</si>
  <si>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</si>
  <si>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</si>
  <si>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</si>
  <si>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712_</t>
  </si>
  <si>
    <t>762_</t>
  </si>
  <si>
    <t>764_</t>
  </si>
  <si>
    <t>765_</t>
  </si>
  <si>
    <t>783_</t>
  </si>
  <si>
    <t>S_</t>
  </si>
  <si>
    <t>Z88888_</t>
  </si>
  <si>
    <t>71_</t>
  </si>
  <si>
    <t>76_</t>
  </si>
  <si>
    <t>78_</t>
  </si>
  <si>
    <t>9_</t>
  </si>
  <si>
    <t>Z_</t>
  </si>
  <si>
    <t>S0-01_</t>
  </si>
  <si>
    <t>Výkaz výměr</t>
  </si>
  <si>
    <t>Cenová soustava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</si>
  <si>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</si>
  <si>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</si>
  <si>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</si>
  <si>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</si>
  <si>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</si>
  <si>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</si>
  <si>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</si>
  <si>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</si>
  <si>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</si>
  <si>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</si>
  <si>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</si>
  <si>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</si>
  <si>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</si>
  <si>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</si>
  <si>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</si>
  <si>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</si>
  <si>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</si>
  <si>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</si>
  <si>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</si>
  <si>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</si>
  <si>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Provozní vlivy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</si>
  <si>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</si>
  <si>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</si>
  <si>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</si>
  <si>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</si>
  <si>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</si>
  <si>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</si>
  <si>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</si>
  <si>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</si>
  <si>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</si>
  <si>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</si>
  <si>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</si>
  <si>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</si>
  <si>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</si>
  <si>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</si>
  <si>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</si>
  <si>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</si>
  <si>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</si>
  <si>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</si>
  <si>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</si>
  <si>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</si>
  <si>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</si>
  <si>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</si>
  <si>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</si>
  <si>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Krytina vláknocementová, složitá Betternit-česká šablona, černá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</si>
</sst>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6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right" vertical="center"/>
      <protection/>
    </xf>
    <xf numFmtId="49" fontId="10" fillId="34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2" fillId="35" borderId="29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4" fillId="0" borderId="29" xfId="0" applyNumberFormat="1" applyFont="1" applyFill="1" applyBorder="1" applyAlignment="1" applyProtection="1">
      <alignment horizontal="right" vertical="center"/>
      <protection/>
    </xf>
    <xf numFmtId="49" fontId="14" fillId="0" borderId="29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5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9" fillId="33" borderId="12" xfId="0" applyNumberFormat="1" applyFont="1" applyFill="1" applyBorder="1" applyAlignment="1" applyProtection="1">
      <alignment horizontal="left" vertical="center"/>
      <protection/>
    </xf>
    <xf numFmtId="0" fontId="9" fillId="33" borderId="12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35" borderId="37" xfId="0" applyNumberFormat="1" applyFont="1" applyFill="1" applyBorder="1" applyAlignment="1" applyProtection="1">
      <alignment horizontal="left" vertical="center"/>
      <protection/>
    </xf>
    <xf numFmtId="0" fontId="13" fillId="35" borderId="47" xfId="0" applyNumberFormat="1" applyFont="1" applyFill="1" applyBorder="1" applyAlignment="1" applyProtection="1">
      <alignment horizontal="left" vertical="center"/>
      <protection/>
    </xf>
    <xf numFmtId="49" fontId="14" fillId="0" borderId="4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50" xfId="0" applyNumberFormat="1" applyFont="1" applyFill="1" applyBorder="1" applyAlignment="1" applyProtection="1">
      <alignment horizontal="left" vertical="center"/>
      <protection/>
    </xf>
    <xf numFmtId="49" fontId="14" fillId="0" borderId="51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2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8"/>
  <sheetViews>
    <sheetView tabSelected="1" zoomScalePageLayoutView="0" workbookViewId="0" topLeftCell="A1">
      <selection activeCell="G6" sqref="G6:H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59.4218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7" width="12.140625" style="0" hidden="1" customWidth="1"/>
  </cols>
  <sheetData>
    <row r="1" spans="1:13" ht="72.7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4" ht="12.75">
      <c r="A2" s="63" t="s">
        <v>1</v>
      </c>
      <c r="B2" s="64"/>
      <c r="C2" s="64"/>
      <c r="D2" s="67" t="s">
        <v>128</v>
      </c>
      <c r="E2" s="69" t="s">
        <v>193</v>
      </c>
      <c r="F2" s="64"/>
      <c r="G2" s="69"/>
      <c r="H2" s="64"/>
      <c r="I2" s="70" t="s">
        <v>210</v>
      </c>
      <c r="J2" s="70" t="s">
        <v>6</v>
      </c>
      <c r="K2" s="64"/>
      <c r="L2" s="64"/>
      <c r="M2" s="71"/>
      <c r="N2" s="31"/>
    </row>
    <row r="3" spans="1:14" ht="12.75">
      <c r="A3" s="65"/>
      <c r="B3" s="66"/>
      <c r="C3" s="66"/>
      <c r="D3" s="68"/>
      <c r="E3" s="66"/>
      <c r="F3" s="66"/>
      <c r="G3" s="66"/>
      <c r="H3" s="66"/>
      <c r="I3" s="66"/>
      <c r="J3" s="66"/>
      <c r="K3" s="66"/>
      <c r="L3" s="66"/>
      <c r="M3" s="72"/>
      <c r="N3" s="31"/>
    </row>
    <row r="4" spans="1:14" ht="12.75">
      <c r="A4" s="73" t="s">
        <v>2</v>
      </c>
      <c r="B4" s="66"/>
      <c r="C4" s="66"/>
      <c r="D4" s="74"/>
      <c r="E4" s="75" t="s">
        <v>194</v>
      </c>
      <c r="F4" s="66"/>
      <c r="G4" s="76" t="s">
        <v>6</v>
      </c>
      <c r="H4" s="66"/>
      <c r="I4" s="74" t="s">
        <v>211</v>
      </c>
      <c r="J4" s="74"/>
      <c r="K4" s="66"/>
      <c r="L4" s="66"/>
      <c r="M4" s="72"/>
      <c r="N4" s="31"/>
    </row>
    <row r="5" spans="1:14" ht="12.75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2"/>
      <c r="N5" s="31"/>
    </row>
    <row r="6" spans="1:14" ht="12.75">
      <c r="A6" s="73" t="s">
        <v>3</v>
      </c>
      <c r="B6" s="66"/>
      <c r="C6" s="66"/>
      <c r="D6" s="74" t="s">
        <v>129</v>
      </c>
      <c r="E6" s="75" t="s">
        <v>195</v>
      </c>
      <c r="F6" s="66"/>
      <c r="G6" s="66"/>
      <c r="H6" s="66"/>
      <c r="I6" s="74" t="s">
        <v>212</v>
      </c>
      <c r="J6" s="74" t="s">
        <v>216</v>
      </c>
      <c r="K6" s="66"/>
      <c r="L6" s="66"/>
      <c r="M6" s="72"/>
      <c r="N6" s="31"/>
    </row>
    <row r="7" spans="1:14" ht="12.75">
      <c r="A7" s="65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72"/>
      <c r="N7" s="31"/>
    </row>
    <row r="8" spans="1:14" ht="12.75">
      <c r="A8" s="73" t="s">
        <v>4</v>
      </c>
      <c r="B8" s="66"/>
      <c r="C8" s="66"/>
      <c r="D8" s="74"/>
      <c r="E8" s="75" t="s">
        <v>196</v>
      </c>
      <c r="F8" s="66"/>
      <c r="G8" s="76" t="s">
        <v>6</v>
      </c>
      <c r="H8" s="66"/>
      <c r="I8" s="74" t="s">
        <v>213</v>
      </c>
      <c r="J8" s="74"/>
      <c r="K8" s="66"/>
      <c r="L8" s="66"/>
      <c r="M8" s="72"/>
      <c r="N8" s="31"/>
    </row>
    <row r="9" spans="1:14" ht="12.75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9"/>
      <c r="N9" s="31"/>
    </row>
    <row r="10" spans="1:14" ht="12.75">
      <c r="A10" s="1" t="s">
        <v>5</v>
      </c>
      <c r="B10" s="10" t="s">
        <v>64</v>
      </c>
      <c r="C10" s="10" t="s">
        <v>66</v>
      </c>
      <c r="D10" s="10" t="s">
        <v>130</v>
      </c>
      <c r="E10" s="10" t="s">
        <v>197</v>
      </c>
      <c r="F10" s="15" t="s">
        <v>204</v>
      </c>
      <c r="G10" s="19" t="s">
        <v>205</v>
      </c>
      <c r="H10" s="80" t="s">
        <v>207</v>
      </c>
      <c r="I10" s="81"/>
      <c r="J10" s="82"/>
      <c r="K10" s="80" t="s">
        <v>218</v>
      </c>
      <c r="L10" s="82"/>
      <c r="M10" s="26" t="s">
        <v>219</v>
      </c>
      <c r="N10" s="32"/>
    </row>
    <row r="11" spans="1:24" ht="12.75">
      <c r="A11" s="2" t="s">
        <v>6</v>
      </c>
      <c r="B11" s="11" t="s">
        <v>6</v>
      </c>
      <c r="C11" s="11" t="s">
        <v>6</v>
      </c>
      <c r="D11" s="14" t="s">
        <v>131</v>
      </c>
      <c r="E11" s="11" t="s">
        <v>6</v>
      </c>
      <c r="F11" s="11" t="s">
        <v>6</v>
      </c>
      <c r="G11" s="20" t="s">
        <v>206</v>
      </c>
      <c r="H11" s="21" t="s">
        <v>208</v>
      </c>
      <c r="I11" s="22" t="s">
        <v>214</v>
      </c>
      <c r="J11" s="23" t="s">
        <v>217</v>
      </c>
      <c r="K11" s="21" t="s">
        <v>205</v>
      </c>
      <c r="L11" s="23" t="s">
        <v>217</v>
      </c>
      <c r="M11" s="27" t="s">
        <v>220</v>
      </c>
      <c r="N11" s="32"/>
      <c r="P11" s="25" t="s">
        <v>223</v>
      </c>
      <c r="Q11" s="25" t="s">
        <v>224</v>
      </c>
      <c r="R11" s="25" t="s">
        <v>227</v>
      </c>
      <c r="S11" s="25" t="s">
        <v>228</v>
      </c>
      <c r="T11" s="25" t="s">
        <v>229</v>
      </c>
      <c r="U11" s="25" t="s">
        <v>230</v>
      </c>
      <c r="V11" s="25" t="s">
        <v>231</v>
      </c>
      <c r="W11" s="25" t="s">
        <v>232</v>
      </c>
      <c r="X11" s="25" t="s">
        <v>233</v>
      </c>
    </row>
    <row r="12" spans="1:13" ht="12.75">
      <c r="A12" s="3"/>
      <c r="B12" s="12" t="s">
        <v>65</v>
      </c>
      <c r="C12" s="12"/>
      <c r="D12" s="83"/>
      <c r="E12" s="84"/>
      <c r="F12" s="84"/>
      <c r="G12" s="84"/>
      <c r="H12" s="35">
        <f>H13+H15+H21+H47+H68+H71+H73</f>
        <v>0</v>
      </c>
      <c r="I12" s="35">
        <f>I13+I15+I21+I47+I68+I71+I73</f>
        <v>0</v>
      </c>
      <c r="J12" s="35">
        <f>H12+I12</f>
        <v>0</v>
      </c>
      <c r="K12" s="24"/>
      <c r="L12" s="35">
        <f>L13+L15+L21+L47+L68+L71+L73</f>
        <v>17.391833400000003</v>
      </c>
      <c r="M12" s="24"/>
    </row>
    <row r="13" spans="1:37" ht="12.75">
      <c r="A13" s="4"/>
      <c r="B13" s="13" t="s">
        <v>65</v>
      </c>
      <c r="C13" s="13" t="s">
        <v>67</v>
      </c>
      <c r="D13" s="85" t="s">
        <v>132</v>
      </c>
      <c r="E13" s="86"/>
      <c r="F13" s="86"/>
      <c r="G13" s="86"/>
      <c r="H13" s="36">
        <f>SUM(H14:H14)</f>
        <v>0</v>
      </c>
      <c r="I13" s="36">
        <f>SUM(I14:I14)</f>
        <v>0</v>
      </c>
      <c r="J13" s="36">
        <f>H13+I13</f>
        <v>0</v>
      </c>
      <c r="K13" s="25"/>
      <c r="L13" s="36">
        <f>SUM(L14:L14)</f>
        <v>2.676</v>
      </c>
      <c r="M13" s="25"/>
      <c r="P13" s="36">
        <f>IF(Q13="PR",J13,SUM(O14:O14))</f>
        <v>0</v>
      </c>
      <c r="Q13" s="25" t="s">
        <v>225</v>
      </c>
      <c r="R13" s="36">
        <f>IF(Q13="HS",H13,0)</f>
        <v>0</v>
      </c>
      <c r="S13" s="36">
        <f>IF(Q13="HS",I13-P13,0)</f>
        <v>0</v>
      </c>
      <c r="T13" s="36">
        <f>IF(Q13="PS",H13,0)</f>
        <v>0</v>
      </c>
      <c r="U13" s="36">
        <f>IF(Q13="PS",I13-P13,0)</f>
        <v>0</v>
      </c>
      <c r="V13" s="36">
        <f>IF(Q13="MP",H13,0)</f>
        <v>0</v>
      </c>
      <c r="W13" s="36">
        <f>IF(Q13="MP",I13-P13,0)</f>
        <v>0</v>
      </c>
      <c r="X13" s="36">
        <f>IF(Q13="OM",H13,0)</f>
        <v>0</v>
      </c>
      <c r="Y13" s="25" t="s">
        <v>65</v>
      </c>
      <c r="AI13" s="36">
        <f>SUM(Z14:Z14)</f>
        <v>0</v>
      </c>
      <c r="AJ13" s="36">
        <f>SUM(AA14:AA14)</f>
        <v>0</v>
      </c>
      <c r="AK13" s="36">
        <f>SUM(AB14:AB14)</f>
        <v>0</v>
      </c>
    </row>
    <row r="14" spans="1:43" ht="12.75">
      <c r="A14" s="5" t="s">
        <v>7</v>
      </c>
      <c r="B14" s="5" t="s">
        <v>65</v>
      </c>
      <c r="C14" s="5" t="s">
        <v>68</v>
      </c>
      <c r="D14" s="5" t="s">
        <v>133</v>
      </c>
      <c r="E14" s="5" t="s">
        <v>198</v>
      </c>
      <c r="F14" s="16">
        <v>223</v>
      </c>
      <c r="G14" s="16">
        <v>0</v>
      </c>
      <c r="H14" s="16">
        <f>F14*AE14</f>
        <v>0</v>
      </c>
      <c r="I14" s="16">
        <f>J14-H14</f>
        <v>0</v>
      </c>
      <c r="J14" s="16">
        <f>F14*G14</f>
        <v>0</v>
      </c>
      <c r="K14" s="16">
        <v>0.012</v>
      </c>
      <c r="L14" s="16">
        <f>F14*K14</f>
        <v>2.676</v>
      </c>
      <c r="M14" s="28" t="s">
        <v>221</v>
      </c>
      <c r="N14" s="28" t="s">
        <v>7</v>
      </c>
      <c r="O14" s="16">
        <f>IF(N14="5",I14,0)</f>
        <v>0</v>
      </c>
      <c r="Z14" s="16">
        <f>IF(AD14=0,J14,0)</f>
        <v>0</v>
      </c>
      <c r="AA14" s="16">
        <f>IF(AD14=15,J14,0)</f>
        <v>0</v>
      </c>
      <c r="AB14" s="16">
        <f>IF(AD14=21,J14,0)</f>
        <v>0</v>
      </c>
      <c r="AD14" s="33">
        <v>21</v>
      </c>
      <c r="AE14" s="33">
        <f>G14*0</f>
        <v>0</v>
      </c>
      <c r="AF14" s="33">
        <f>G14*(1-0)</f>
        <v>0</v>
      </c>
      <c r="AM14" s="33">
        <f>F14*AE14</f>
        <v>0</v>
      </c>
      <c r="AN14" s="33">
        <f>F14*AF14</f>
        <v>0</v>
      </c>
      <c r="AO14" s="34" t="s">
        <v>234</v>
      </c>
      <c r="AP14" s="34" t="s">
        <v>241</v>
      </c>
      <c r="AQ14" s="25" t="s">
        <v>246</v>
      </c>
    </row>
    <row r="15" spans="1:37" ht="12.75">
      <c r="A15" s="4"/>
      <c r="B15" s="13" t="s">
        <v>65</v>
      </c>
      <c r="C15" s="13" t="s">
        <v>69</v>
      </c>
      <c r="D15" s="85" t="s">
        <v>134</v>
      </c>
      <c r="E15" s="86"/>
      <c r="F15" s="86"/>
      <c r="G15" s="86"/>
      <c r="H15" s="36">
        <f>SUM(H16:H20)</f>
        <v>0</v>
      </c>
      <c r="I15" s="36">
        <f>SUM(I16:I20)</f>
        <v>0</v>
      </c>
      <c r="J15" s="36">
        <f>H15+I15</f>
        <v>0</v>
      </c>
      <c r="K15" s="25"/>
      <c r="L15" s="36">
        <f>SUM(L16:L20)</f>
        <v>6.7204646</v>
      </c>
      <c r="M15" s="25"/>
      <c r="P15" s="36">
        <f>IF(Q15="PR",J15,SUM(O16:O20))</f>
        <v>0</v>
      </c>
      <c r="Q15" s="25" t="s">
        <v>225</v>
      </c>
      <c r="R15" s="36">
        <f>IF(Q15="HS",H15,0)</f>
        <v>0</v>
      </c>
      <c r="S15" s="36">
        <f>IF(Q15="HS",I15-P15,0)</f>
        <v>0</v>
      </c>
      <c r="T15" s="36">
        <f>IF(Q15="PS",H15,0)</f>
        <v>0</v>
      </c>
      <c r="U15" s="36">
        <f>IF(Q15="PS",I15-P15,0)</f>
        <v>0</v>
      </c>
      <c r="V15" s="36">
        <f>IF(Q15="MP",H15,0)</f>
        <v>0</v>
      </c>
      <c r="W15" s="36">
        <f>IF(Q15="MP",I15-P15,0)</f>
        <v>0</v>
      </c>
      <c r="X15" s="36">
        <f>IF(Q15="OM",H15,0)</f>
        <v>0</v>
      </c>
      <c r="Y15" s="25" t="s">
        <v>65</v>
      </c>
      <c r="AI15" s="36">
        <f>SUM(Z16:Z20)</f>
        <v>0</v>
      </c>
      <c r="AJ15" s="36">
        <f>SUM(AA16:AA20)</f>
        <v>0</v>
      </c>
      <c r="AK15" s="36">
        <f>SUM(AB16:AB20)</f>
        <v>0</v>
      </c>
    </row>
    <row r="16" spans="1:43" ht="12.75">
      <c r="A16" s="5" t="s">
        <v>8</v>
      </c>
      <c r="B16" s="5" t="s">
        <v>65</v>
      </c>
      <c r="C16" s="5" t="s">
        <v>70</v>
      </c>
      <c r="D16" s="5" t="s">
        <v>135</v>
      </c>
      <c r="E16" s="5" t="s">
        <v>198</v>
      </c>
      <c r="F16" s="16">
        <v>76</v>
      </c>
      <c r="G16" s="16">
        <v>0</v>
      </c>
      <c r="H16" s="16">
        <f>F16*AE16</f>
        <v>0</v>
      </c>
      <c r="I16" s="16">
        <f>J16-H16</f>
        <v>0</v>
      </c>
      <c r="J16" s="16">
        <f>F16*G16</f>
        <v>0</v>
      </c>
      <c r="K16" s="16">
        <v>0.01452</v>
      </c>
      <c r="L16" s="16">
        <f>F16*K16</f>
        <v>1.10352</v>
      </c>
      <c r="M16" s="28" t="s">
        <v>221</v>
      </c>
      <c r="N16" s="28" t="s">
        <v>7</v>
      </c>
      <c r="O16" s="16">
        <f>IF(N16="5",I16,0)</f>
        <v>0</v>
      </c>
      <c r="Z16" s="16">
        <f>IF(AD16=0,J16,0)</f>
        <v>0</v>
      </c>
      <c r="AA16" s="16">
        <f>IF(AD16=15,J16,0)</f>
        <v>0</v>
      </c>
      <c r="AB16" s="16">
        <f>IF(AD16=21,J16,0)</f>
        <v>0</v>
      </c>
      <c r="AD16" s="33">
        <v>21</v>
      </c>
      <c r="AE16" s="33">
        <f>G16*0.635597667638484</f>
        <v>0</v>
      </c>
      <c r="AF16" s="33">
        <f>G16*(1-0.635597667638484)</f>
        <v>0</v>
      </c>
      <c r="AM16" s="33">
        <f>F16*AE16</f>
        <v>0</v>
      </c>
      <c r="AN16" s="33">
        <f>F16*AF16</f>
        <v>0</v>
      </c>
      <c r="AO16" s="34" t="s">
        <v>235</v>
      </c>
      <c r="AP16" s="34" t="s">
        <v>242</v>
      </c>
      <c r="AQ16" s="25" t="s">
        <v>246</v>
      </c>
    </row>
    <row r="17" spans="1:43" ht="12.75">
      <c r="A17" s="5" t="s">
        <v>9</v>
      </c>
      <c r="B17" s="5" t="s">
        <v>65</v>
      </c>
      <c r="C17" s="5" t="s">
        <v>71</v>
      </c>
      <c r="D17" s="5" t="s">
        <v>136</v>
      </c>
      <c r="E17" s="5" t="s">
        <v>198</v>
      </c>
      <c r="F17" s="16">
        <v>223</v>
      </c>
      <c r="G17" s="16">
        <v>0</v>
      </c>
      <c r="H17" s="16">
        <f>F17*AE17</f>
        <v>0</v>
      </c>
      <c r="I17" s="16">
        <f>J17-H17</f>
        <v>0</v>
      </c>
      <c r="J17" s="16">
        <f>F17*G17</f>
        <v>0</v>
      </c>
      <c r="K17" s="16">
        <v>0.0066</v>
      </c>
      <c r="L17" s="16">
        <f>F17*K17</f>
        <v>1.4718</v>
      </c>
      <c r="M17" s="28" t="s">
        <v>221</v>
      </c>
      <c r="N17" s="28" t="s">
        <v>7</v>
      </c>
      <c r="O17" s="16">
        <f>IF(N17="5",I17,0)</f>
        <v>0</v>
      </c>
      <c r="Z17" s="16">
        <f>IF(AD17=0,J17,0)</f>
        <v>0</v>
      </c>
      <c r="AA17" s="16">
        <f>IF(AD17=15,J17,0)</f>
        <v>0</v>
      </c>
      <c r="AB17" s="16">
        <f>IF(AD17=21,J17,0)</f>
        <v>0</v>
      </c>
      <c r="AD17" s="33">
        <v>21</v>
      </c>
      <c r="AE17" s="33">
        <f>G17*0.526637931034483</f>
        <v>0</v>
      </c>
      <c r="AF17" s="33">
        <f>G17*(1-0.526637931034483)</f>
        <v>0</v>
      </c>
      <c r="AM17" s="33">
        <f>F17*AE17</f>
        <v>0</v>
      </c>
      <c r="AN17" s="33">
        <f>F17*AF17</f>
        <v>0</v>
      </c>
      <c r="AO17" s="34" t="s">
        <v>235</v>
      </c>
      <c r="AP17" s="34" t="s">
        <v>242</v>
      </c>
      <c r="AQ17" s="25" t="s">
        <v>246</v>
      </c>
    </row>
    <row r="18" spans="1:43" ht="12.75">
      <c r="A18" s="5" t="s">
        <v>10</v>
      </c>
      <c r="B18" s="5" t="s">
        <v>65</v>
      </c>
      <c r="C18" s="5" t="s">
        <v>72</v>
      </c>
      <c r="D18" s="5" t="s">
        <v>137</v>
      </c>
      <c r="E18" s="5" t="s">
        <v>198</v>
      </c>
      <c r="F18" s="16">
        <v>76</v>
      </c>
      <c r="G18" s="16">
        <v>0</v>
      </c>
      <c r="H18" s="16">
        <f>F18*AE18</f>
        <v>0</v>
      </c>
      <c r="I18" s="16">
        <f>J18-H18</f>
        <v>0</v>
      </c>
      <c r="J18" s="16">
        <f>F18*G18</f>
        <v>0</v>
      </c>
      <c r="K18" s="16">
        <v>0.00145</v>
      </c>
      <c r="L18" s="16">
        <f>F18*K18</f>
        <v>0.11019999999999999</v>
      </c>
      <c r="M18" s="28" t="s">
        <v>221</v>
      </c>
      <c r="N18" s="28" t="s">
        <v>7</v>
      </c>
      <c r="O18" s="16">
        <f>IF(N18="5",I18,0)</f>
        <v>0</v>
      </c>
      <c r="Z18" s="16">
        <f>IF(AD18=0,J18,0)</f>
        <v>0</v>
      </c>
      <c r="AA18" s="16">
        <f>IF(AD18=15,J18,0)</f>
        <v>0</v>
      </c>
      <c r="AB18" s="16">
        <f>IF(AD18=21,J18,0)</f>
        <v>0</v>
      </c>
      <c r="AD18" s="33">
        <v>21</v>
      </c>
      <c r="AE18" s="33">
        <f>G18*0.47980238302819</f>
        <v>0</v>
      </c>
      <c r="AF18" s="33">
        <f>G18*(1-0.47980238302819)</f>
        <v>0</v>
      </c>
      <c r="AM18" s="33">
        <f>F18*AE18</f>
        <v>0</v>
      </c>
      <c r="AN18" s="33">
        <f>F18*AF18</f>
        <v>0</v>
      </c>
      <c r="AO18" s="34" t="s">
        <v>235</v>
      </c>
      <c r="AP18" s="34" t="s">
        <v>242</v>
      </c>
      <c r="AQ18" s="25" t="s">
        <v>246</v>
      </c>
    </row>
    <row r="19" spans="1:43" ht="12.75">
      <c r="A19" s="6" t="s">
        <v>11</v>
      </c>
      <c r="B19" s="6" t="s">
        <v>65</v>
      </c>
      <c r="C19" s="6" t="s">
        <v>73</v>
      </c>
      <c r="D19" s="6" t="s">
        <v>138</v>
      </c>
      <c r="E19" s="6" t="s">
        <v>199</v>
      </c>
      <c r="F19" s="17">
        <v>2900</v>
      </c>
      <c r="G19" s="17">
        <v>0</v>
      </c>
      <c r="H19" s="17">
        <f>F19*AE19</f>
        <v>0</v>
      </c>
      <c r="I19" s="17">
        <f>J19-H19</f>
        <v>0</v>
      </c>
      <c r="J19" s="17">
        <f>F19*G19</f>
        <v>0</v>
      </c>
      <c r="K19" s="17">
        <v>0.00132</v>
      </c>
      <c r="L19" s="17">
        <f>F19*K19</f>
        <v>3.828</v>
      </c>
      <c r="M19" s="29" t="s">
        <v>221</v>
      </c>
      <c r="N19" s="29" t="s">
        <v>222</v>
      </c>
      <c r="O19" s="17">
        <f>IF(N19="5",I19,0)</f>
        <v>0</v>
      </c>
      <c r="Z19" s="17">
        <f>IF(AD19=0,J19,0)</f>
        <v>0</v>
      </c>
      <c r="AA19" s="17">
        <f>IF(AD19=15,J19,0)</f>
        <v>0</v>
      </c>
      <c r="AB19" s="17">
        <f>IF(AD19=21,J19,0)</f>
        <v>0</v>
      </c>
      <c r="AD19" s="33">
        <v>21</v>
      </c>
      <c r="AE19" s="33">
        <f>G19*1</f>
        <v>0</v>
      </c>
      <c r="AF19" s="33">
        <f>G19*(1-1)</f>
        <v>0</v>
      </c>
      <c r="AM19" s="33">
        <f>F19*AE19</f>
        <v>0</v>
      </c>
      <c r="AN19" s="33">
        <f>F19*AF19</f>
        <v>0</v>
      </c>
      <c r="AO19" s="34" t="s">
        <v>235</v>
      </c>
      <c r="AP19" s="34" t="s">
        <v>242</v>
      </c>
      <c r="AQ19" s="25" t="s">
        <v>246</v>
      </c>
    </row>
    <row r="20" spans="1:43" ht="12.75">
      <c r="A20" s="5" t="s">
        <v>12</v>
      </c>
      <c r="B20" s="5" t="s">
        <v>65</v>
      </c>
      <c r="C20" s="5" t="s">
        <v>74</v>
      </c>
      <c r="D20" s="5" t="s">
        <v>139</v>
      </c>
      <c r="E20" s="5" t="s">
        <v>200</v>
      </c>
      <c r="F20" s="16">
        <v>8.78</v>
      </c>
      <c r="G20" s="16">
        <v>0</v>
      </c>
      <c r="H20" s="16">
        <f>F20*AE20</f>
        <v>0</v>
      </c>
      <c r="I20" s="16">
        <f>J20-H20</f>
        <v>0</v>
      </c>
      <c r="J20" s="16">
        <f>F20*G20</f>
        <v>0</v>
      </c>
      <c r="K20" s="16">
        <v>0.02357</v>
      </c>
      <c r="L20" s="16">
        <f>F20*K20</f>
        <v>0.20694459999999998</v>
      </c>
      <c r="M20" s="28" t="s">
        <v>221</v>
      </c>
      <c r="N20" s="28" t="s">
        <v>7</v>
      </c>
      <c r="O20" s="16">
        <f>IF(N20="5",I20,0)</f>
        <v>0</v>
      </c>
      <c r="Z20" s="16">
        <f>IF(AD20=0,J20,0)</f>
        <v>0</v>
      </c>
      <c r="AA20" s="16">
        <f>IF(AD20=15,J20,0)</f>
        <v>0</v>
      </c>
      <c r="AB20" s="16">
        <f>IF(AD20=21,J20,0)</f>
        <v>0</v>
      </c>
      <c r="AD20" s="33">
        <v>21</v>
      </c>
      <c r="AE20" s="33">
        <f>G20*1</f>
        <v>0</v>
      </c>
      <c r="AF20" s="33">
        <f>G20*(1-1)</f>
        <v>0</v>
      </c>
      <c r="AM20" s="33">
        <f>F20*AE20</f>
        <v>0</v>
      </c>
      <c r="AN20" s="33">
        <f>F20*AF20</f>
        <v>0</v>
      </c>
      <c r="AO20" s="34" t="s">
        <v>235</v>
      </c>
      <c r="AP20" s="34" t="s">
        <v>242</v>
      </c>
      <c r="AQ20" s="25" t="s">
        <v>246</v>
      </c>
    </row>
    <row r="21" spans="1:37" ht="12.75">
      <c r="A21" s="4"/>
      <c r="B21" s="13" t="s">
        <v>65</v>
      </c>
      <c r="C21" s="13" t="s">
        <v>75</v>
      </c>
      <c r="D21" s="85" t="s">
        <v>140</v>
      </c>
      <c r="E21" s="86"/>
      <c r="F21" s="86"/>
      <c r="G21" s="86"/>
      <c r="H21" s="36">
        <f>SUM(H22:H46)</f>
        <v>0</v>
      </c>
      <c r="I21" s="36">
        <f>SUM(I22:I46)</f>
        <v>0</v>
      </c>
      <c r="J21" s="36">
        <f>H21+I21</f>
        <v>0</v>
      </c>
      <c r="K21" s="25"/>
      <c r="L21" s="36">
        <f>SUM(L22:L46)</f>
        <v>3.6113</v>
      </c>
      <c r="M21" s="25"/>
      <c r="P21" s="36">
        <f>IF(Q21="PR",J21,SUM(O22:O46))</f>
        <v>0</v>
      </c>
      <c r="Q21" s="25" t="s">
        <v>225</v>
      </c>
      <c r="R21" s="36">
        <f>IF(Q21="HS",H21,0)</f>
        <v>0</v>
      </c>
      <c r="S21" s="36">
        <f>IF(Q21="HS",I21-P21,0)</f>
        <v>0</v>
      </c>
      <c r="T21" s="36">
        <f>IF(Q21="PS",H21,0)</f>
        <v>0</v>
      </c>
      <c r="U21" s="36">
        <f>IF(Q21="PS",I21-P21,0)</f>
        <v>0</v>
      </c>
      <c r="V21" s="36">
        <f>IF(Q21="MP",H21,0)</f>
        <v>0</v>
      </c>
      <c r="W21" s="36">
        <f>IF(Q21="MP",I21-P21,0)</f>
        <v>0</v>
      </c>
      <c r="X21" s="36">
        <f>IF(Q21="OM",H21,0)</f>
        <v>0</v>
      </c>
      <c r="Y21" s="25" t="s">
        <v>65</v>
      </c>
      <c r="AI21" s="36">
        <f>SUM(Z22:Z46)</f>
        <v>0</v>
      </c>
      <c r="AJ21" s="36">
        <f>SUM(AA22:AA46)</f>
        <v>0</v>
      </c>
      <c r="AK21" s="36">
        <f>SUM(AB22:AB46)</f>
        <v>0</v>
      </c>
    </row>
    <row r="22" spans="1:43" ht="12.75">
      <c r="A22" s="5" t="s">
        <v>13</v>
      </c>
      <c r="B22" s="5" t="s">
        <v>65</v>
      </c>
      <c r="C22" s="5" t="s">
        <v>76</v>
      </c>
      <c r="D22" s="5" t="s">
        <v>141</v>
      </c>
      <c r="E22" s="5" t="s">
        <v>198</v>
      </c>
      <c r="F22" s="16">
        <v>76</v>
      </c>
      <c r="G22" s="16">
        <v>0</v>
      </c>
      <c r="H22" s="16">
        <f aca="true" t="shared" si="0" ref="H22:H46">F22*AE22</f>
        <v>0</v>
      </c>
      <c r="I22" s="16">
        <f aca="true" t="shared" si="1" ref="I22:I46">J22-H22</f>
        <v>0</v>
      </c>
      <c r="J22" s="16">
        <f aca="true" t="shared" si="2" ref="J22:J46">F22*G22</f>
        <v>0</v>
      </c>
      <c r="K22" s="16">
        <v>0.00732</v>
      </c>
      <c r="L22" s="16">
        <f aca="true" t="shared" si="3" ref="L22:L46">F22*K22</f>
        <v>0.55632</v>
      </c>
      <c r="M22" s="28" t="s">
        <v>221</v>
      </c>
      <c r="N22" s="28" t="s">
        <v>9</v>
      </c>
      <c r="O22" s="16">
        <f aca="true" t="shared" si="4" ref="O22:O46">IF(N22="5",I22,0)</f>
        <v>0</v>
      </c>
      <c r="Z22" s="16">
        <f aca="true" t="shared" si="5" ref="Z22:Z46">IF(AD22=0,J22,0)</f>
        <v>0</v>
      </c>
      <c r="AA22" s="16">
        <f aca="true" t="shared" si="6" ref="AA22:AA46">IF(AD22=15,J22,0)</f>
        <v>0</v>
      </c>
      <c r="AB22" s="16">
        <f aca="true" t="shared" si="7" ref="AB22:AB46">IF(AD22=21,J22,0)</f>
        <v>0</v>
      </c>
      <c r="AD22" s="33">
        <v>21</v>
      </c>
      <c r="AE22" s="33">
        <f aca="true" t="shared" si="8" ref="AE22:AE32">G22*0</f>
        <v>0</v>
      </c>
      <c r="AF22" s="33">
        <f aca="true" t="shared" si="9" ref="AF22:AF32">G22*(1-0)</f>
        <v>0</v>
      </c>
      <c r="AM22" s="33">
        <f aca="true" t="shared" si="10" ref="AM22:AM46">F22*AE22</f>
        <v>0</v>
      </c>
      <c r="AN22" s="33">
        <f aca="true" t="shared" si="11" ref="AN22:AN46">F22*AF22</f>
        <v>0</v>
      </c>
      <c r="AO22" s="34" t="s">
        <v>236</v>
      </c>
      <c r="AP22" s="34" t="s">
        <v>242</v>
      </c>
      <c r="AQ22" s="25" t="s">
        <v>246</v>
      </c>
    </row>
    <row r="23" spans="1:43" ht="12.75">
      <c r="A23" s="5" t="s">
        <v>14</v>
      </c>
      <c r="B23" s="5" t="s">
        <v>65</v>
      </c>
      <c r="C23" s="5" t="s">
        <v>77</v>
      </c>
      <c r="D23" s="5" t="s">
        <v>142</v>
      </c>
      <c r="E23" s="5" t="s">
        <v>198</v>
      </c>
      <c r="F23" s="16">
        <v>9</v>
      </c>
      <c r="G23" s="16">
        <v>0</v>
      </c>
      <c r="H23" s="16">
        <f t="shared" si="0"/>
        <v>0</v>
      </c>
      <c r="I23" s="16">
        <f t="shared" si="1"/>
        <v>0</v>
      </c>
      <c r="J23" s="16">
        <f t="shared" si="2"/>
        <v>0</v>
      </c>
      <c r="K23" s="16">
        <v>0.00721</v>
      </c>
      <c r="L23" s="16">
        <f t="shared" si="3"/>
        <v>0.06489</v>
      </c>
      <c r="M23" s="28" t="s">
        <v>221</v>
      </c>
      <c r="N23" s="28" t="s">
        <v>7</v>
      </c>
      <c r="O23" s="16">
        <f t="shared" si="4"/>
        <v>0</v>
      </c>
      <c r="Z23" s="16">
        <f t="shared" si="5"/>
        <v>0</v>
      </c>
      <c r="AA23" s="16">
        <f t="shared" si="6"/>
        <v>0</v>
      </c>
      <c r="AB23" s="16">
        <f t="shared" si="7"/>
        <v>0</v>
      </c>
      <c r="AD23" s="33">
        <v>21</v>
      </c>
      <c r="AE23" s="33">
        <f t="shared" si="8"/>
        <v>0</v>
      </c>
      <c r="AF23" s="33">
        <f t="shared" si="9"/>
        <v>0</v>
      </c>
      <c r="AM23" s="33">
        <f t="shared" si="10"/>
        <v>0</v>
      </c>
      <c r="AN23" s="33">
        <f t="shared" si="11"/>
        <v>0</v>
      </c>
      <c r="AO23" s="34" t="s">
        <v>236</v>
      </c>
      <c r="AP23" s="34" t="s">
        <v>242</v>
      </c>
      <c r="AQ23" s="25" t="s">
        <v>246</v>
      </c>
    </row>
    <row r="24" spans="1:43" ht="12.75">
      <c r="A24" s="5" t="s">
        <v>15</v>
      </c>
      <c r="B24" s="5" t="s">
        <v>65</v>
      </c>
      <c r="C24" s="5" t="s">
        <v>78</v>
      </c>
      <c r="D24" s="5" t="s">
        <v>143</v>
      </c>
      <c r="E24" s="5" t="s">
        <v>199</v>
      </c>
      <c r="F24" s="16">
        <v>5</v>
      </c>
      <c r="G24" s="16">
        <v>0</v>
      </c>
      <c r="H24" s="16">
        <f t="shared" si="0"/>
        <v>0</v>
      </c>
      <c r="I24" s="16">
        <f t="shared" si="1"/>
        <v>0</v>
      </c>
      <c r="J24" s="16">
        <f t="shared" si="2"/>
        <v>0</v>
      </c>
      <c r="K24" s="16">
        <v>0.00192</v>
      </c>
      <c r="L24" s="16">
        <f t="shared" si="3"/>
        <v>0.009600000000000001</v>
      </c>
      <c r="M24" s="28" t="s">
        <v>221</v>
      </c>
      <c r="N24" s="28" t="s">
        <v>7</v>
      </c>
      <c r="O24" s="16">
        <f t="shared" si="4"/>
        <v>0</v>
      </c>
      <c r="Z24" s="16">
        <f t="shared" si="5"/>
        <v>0</v>
      </c>
      <c r="AA24" s="16">
        <f t="shared" si="6"/>
        <v>0</v>
      </c>
      <c r="AB24" s="16">
        <f t="shared" si="7"/>
        <v>0</v>
      </c>
      <c r="AD24" s="33">
        <v>21</v>
      </c>
      <c r="AE24" s="33">
        <f t="shared" si="8"/>
        <v>0</v>
      </c>
      <c r="AF24" s="33">
        <f t="shared" si="9"/>
        <v>0</v>
      </c>
      <c r="AM24" s="33">
        <f t="shared" si="10"/>
        <v>0</v>
      </c>
      <c r="AN24" s="33">
        <f t="shared" si="11"/>
        <v>0</v>
      </c>
      <c r="AO24" s="34" t="s">
        <v>236</v>
      </c>
      <c r="AP24" s="34" t="s">
        <v>242</v>
      </c>
      <c r="AQ24" s="25" t="s">
        <v>246</v>
      </c>
    </row>
    <row r="25" spans="1:43" ht="12.75">
      <c r="A25" s="5" t="s">
        <v>16</v>
      </c>
      <c r="B25" s="5" t="s">
        <v>65</v>
      </c>
      <c r="C25" s="5" t="s">
        <v>78</v>
      </c>
      <c r="D25" s="5" t="s">
        <v>143</v>
      </c>
      <c r="E25" s="5" t="s">
        <v>199</v>
      </c>
      <c r="F25" s="16">
        <v>12</v>
      </c>
      <c r="G25" s="16">
        <v>0</v>
      </c>
      <c r="H25" s="16">
        <f t="shared" si="0"/>
        <v>0</v>
      </c>
      <c r="I25" s="16">
        <f t="shared" si="1"/>
        <v>0</v>
      </c>
      <c r="J25" s="16">
        <f t="shared" si="2"/>
        <v>0</v>
      </c>
      <c r="K25" s="16">
        <v>0.00192</v>
      </c>
      <c r="L25" s="16">
        <f t="shared" si="3"/>
        <v>0.02304</v>
      </c>
      <c r="M25" s="28" t="s">
        <v>221</v>
      </c>
      <c r="N25" s="28" t="s">
        <v>7</v>
      </c>
      <c r="O25" s="16">
        <f t="shared" si="4"/>
        <v>0</v>
      </c>
      <c r="Z25" s="16">
        <f t="shared" si="5"/>
        <v>0</v>
      </c>
      <c r="AA25" s="16">
        <f t="shared" si="6"/>
        <v>0</v>
      </c>
      <c r="AB25" s="16">
        <f t="shared" si="7"/>
        <v>0</v>
      </c>
      <c r="AD25" s="33">
        <v>21</v>
      </c>
      <c r="AE25" s="33">
        <f t="shared" si="8"/>
        <v>0</v>
      </c>
      <c r="AF25" s="33">
        <f t="shared" si="9"/>
        <v>0</v>
      </c>
      <c r="AM25" s="33">
        <f t="shared" si="10"/>
        <v>0</v>
      </c>
      <c r="AN25" s="33">
        <f t="shared" si="11"/>
        <v>0</v>
      </c>
      <c r="AO25" s="34" t="s">
        <v>236</v>
      </c>
      <c r="AP25" s="34" t="s">
        <v>242</v>
      </c>
      <c r="AQ25" s="25" t="s">
        <v>246</v>
      </c>
    </row>
    <row r="26" spans="1:43" ht="12.75">
      <c r="A26" s="5" t="s">
        <v>17</v>
      </c>
      <c r="B26" s="5" t="s">
        <v>65</v>
      </c>
      <c r="C26" s="5" t="s">
        <v>79</v>
      </c>
      <c r="D26" s="5" t="s">
        <v>144</v>
      </c>
      <c r="E26" s="5" t="s">
        <v>199</v>
      </c>
      <c r="F26" s="16">
        <v>16</v>
      </c>
      <c r="G26" s="16">
        <v>0</v>
      </c>
      <c r="H26" s="16">
        <f t="shared" si="0"/>
        <v>0</v>
      </c>
      <c r="I26" s="16">
        <f t="shared" si="1"/>
        <v>0</v>
      </c>
      <c r="J26" s="16">
        <f t="shared" si="2"/>
        <v>0</v>
      </c>
      <c r="K26" s="16">
        <v>0.0025</v>
      </c>
      <c r="L26" s="16">
        <f t="shared" si="3"/>
        <v>0.04</v>
      </c>
      <c r="M26" s="28" t="s">
        <v>221</v>
      </c>
      <c r="N26" s="28" t="s">
        <v>7</v>
      </c>
      <c r="O26" s="16">
        <f t="shared" si="4"/>
        <v>0</v>
      </c>
      <c r="Z26" s="16">
        <f t="shared" si="5"/>
        <v>0</v>
      </c>
      <c r="AA26" s="16">
        <f t="shared" si="6"/>
        <v>0</v>
      </c>
      <c r="AB26" s="16">
        <f t="shared" si="7"/>
        <v>0</v>
      </c>
      <c r="AD26" s="33">
        <v>21</v>
      </c>
      <c r="AE26" s="33">
        <f t="shared" si="8"/>
        <v>0</v>
      </c>
      <c r="AF26" s="33">
        <f t="shared" si="9"/>
        <v>0</v>
      </c>
      <c r="AM26" s="33">
        <f t="shared" si="10"/>
        <v>0</v>
      </c>
      <c r="AN26" s="33">
        <f t="shared" si="11"/>
        <v>0</v>
      </c>
      <c r="AO26" s="34" t="s">
        <v>236</v>
      </c>
      <c r="AP26" s="34" t="s">
        <v>242</v>
      </c>
      <c r="AQ26" s="25" t="s">
        <v>246</v>
      </c>
    </row>
    <row r="27" spans="1:43" ht="12.75">
      <c r="A27" s="5" t="s">
        <v>18</v>
      </c>
      <c r="B27" s="5" t="s">
        <v>65</v>
      </c>
      <c r="C27" s="5" t="s">
        <v>80</v>
      </c>
      <c r="D27" s="5" t="s">
        <v>145</v>
      </c>
      <c r="E27" s="5" t="s">
        <v>199</v>
      </c>
      <c r="F27" s="16">
        <v>37</v>
      </c>
      <c r="G27" s="16">
        <v>0</v>
      </c>
      <c r="H27" s="16">
        <f t="shared" si="0"/>
        <v>0</v>
      </c>
      <c r="I27" s="16">
        <f t="shared" si="1"/>
        <v>0</v>
      </c>
      <c r="J27" s="16">
        <f t="shared" si="2"/>
        <v>0</v>
      </c>
      <c r="K27" s="16">
        <v>0.00384</v>
      </c>
      <c r="L27" s="16">
        <f t="shared" si="3"/>
        <v>0.14208</v>
      </c>
      <c r="M27" s="28" t="s">
        <v>221</v>
      </c>
      <c r="N27" s="28" t="s">
        <v>7</v>
      </c>
      <c r="O27" s="16">
        <f t="shared" si="4"/>
        <v>0</v>
      </c>
      <c r="Z27" s="16">
        <f t="shared" si="5"/>
        <v>0</v>
      </c>
      <c r="AA27" s="16">
        <f t="shared" si="6"/>
        <v>0</v>
      </c>
      <c r="AB27" s="16">
        <f t="shared" si="7"/>
        <v>0</v>
      </c>
      <c r="AD27" s="33">
        <v>21</v>
      </c>
      <c r="AE27" s="33">
        <f t="shared" si="8"/>
        <v>0</v>
      </c>
      <c r="AF27" s="33">
        <f t="shared" si="9"/>
        <v>0</v>
      </c>
      <c r="AM27" s="33">
        <f t="shared" si="10"/>
        <v>0</v>
      </c>
      <c r="AN27" s="33">
        <f t="shared" si="11"/>
        <v>0</v>
      </c>
      <c r="AO27" s="34" t="s">
        <v>236</v>
      </c>
      <c r="AP27" s="34" t="s">
        <v>242</v>
      </c>
      <c r="AQ27" s="25" t="s">
        <v>246</v>
      </c>
    </row>
    <row r="28" spans="1:43" ht="12.75">
      <c r="A28" s="5" t="s">
        <v>19</v>
      </c>
      <c r="B28" s="5" t="s">
        <v>65</v>
      </c>
      <c r="C28" s="5" t="s">
        <v>81</v>
      </c>
      <c r="D28" s="5" t="s">
        <v>146</v>
      </c>
      <c r="E28" s="5" t="s">
        <v>199</v>
      </c>
      <c r="F28" s="16">
        <v>20</v>
      </c>
      <c r="G28" s="16">
        <v>0</v>
      </c>
      <c r="H28" s="16">
        <f t="shared" si="0"/>
        <v>0</v>
      </c>
      <c r="I28" s="16">
        <f t="shared" si="1"/>
        <v>0</v>
      </c>
      <c r="J28" s="16">
        <f t="shared" si="2"/>
        <v>0</v>
      </c>
      <c r="K28" s="16">
        <v>0.00205</v>
      </c>
      <c r="L28" s="16">
        <f t="shared" si="3"/>
        <v>0.041</v>
      </c>
      <c r="M28" s="28" t="s">
        <v>221</v>
      </c>
      <c r="N28" s="28" t="s">
        <v>7</v>
      </c>
      <c r="O28" s="16">
        <f t="shared" si="4"/>
        <v>0</v>
      </c>
      <c r="Z28" s="16">
        <f t="shared" si="5"/>
        <v>0</v>
      </c>
      <c r="AA28" s="16">
        <f t="shared" si="6"/>
        <v>0</v>
      </c>
      <c r="AB28" s="16">
        <f t="shared" si="7"/>
        <v>0</v>
      </c>
      <c r="AD28" s="33">
        <v>21</v>
      </c>
      <c r="AE28" s="33">
        <f t="shared" si="8"/>
        <v>0</v>
      </c>
      <c r="AF28" s="33">
        <f t="shared" si="9"/>
        <v>0</v>
      </c>
      <c r="AM28" s="33">
        <f t="shared" si="10"/>
        <v>0</v>
      </c>
      <c r="AN28" s="33">
        <f t="shared" si="11"/>
        <v>0</v>
      </c>
      <c r="AO28" s="34" t="s">
        <v>236</v>
      </c>
      <c r="AP28" s="34" t="s">
        <v>242</v>
      </c>
      <c r="AQ28" s="25" t="s">
        <v>246</v>
      </c>
    </row>
    <row r="29" spans="1:43" ht="12.75">
      <c r="A29" s="5" t="s">
        <v>20</v>
      </c>
      <c r="B29" s="5" t="s">
        <v>65</v>
      </c>
      <c r="C29" s="5" t="s">
        <v>82</v>
      </c>
      <c r="D29" s="5" t="s">
        <v>147</v>
      </c>
      <c r="E29" s="5" t="s">
        <v>199</v>
      </c>
      <c r="F29" s="16">
        <v>45</v>
      </c>
      <c r="G29" s="16">
        <v>0</v>
      </c>
      <c r="H29" s="16">
        <f t="shared" si="0"/>
        <v>0</v>
      </c>
      <c r="I29" s="16">
        <f t="shared" si="1"/>
        <v>0</v>
      </c>
      <c r="J29" s="16">
        <f t="shared" si="2"/>
        <v>0</v>
      </c>
      <c r="K29" s="16">
        <v>0.00336</v>
      </c>
      <c r="L29" s="16">
        <f t="shared" si="3"/>
        <v>0.1512</v>
      </c>
      <c r="M29" s="28" t="s">
        <v>221</v>
      </c>
      <c r="N29" s="28" t="s">
        <v>7</v>
      </c>
      <c r="O29" s="16">
        <f t="shared" si="4"/>
        <v>0</v>
      </c>
      <c r="Z29" s="16">
        <f t="shared" si="5"/>
        <v>0</v>
      </c>
      <c r="AA29" s="16">
        <f t="shared" si="6"/>
        <v>0</v>
      </c>
      <c r="AB29" s="16">
        <f t="shared" si="7"/>
        <v>0</v>
      </c>
      <c r="AD29" s="33">
        <v>21</v>
      </c>
      <c r="AE29" s="33">
        <f t="shared" si="8"/>
        <v>0</v>
      </c>
      <c r="AF29" s="33">
        <f t="shared" si="9"/>
        <v>0</v>
      </c>
      <c r="AM29" s="33">
        <f t="shared" si="10"/>
        <v>0</v>
      </c>
      <c r="AN29" s="33">
        <f t="shared" si="11"/>
        <v>0</v>
      </c>
      <c r="AO29" s="34" t="s">
        <v>236</v>
      </c>
      <c r="AP29" s="34" t="s">
        <v>242</v>
      </c>
      <c r="AQ29" s="25" t="s">
        <v>246</v>
      </c>
    </row>
    <row r="30" spans="1:43" ht="12.75">
      <c r="A30" s="5" t="s">
        <v>21</v>
      </c>
      <c r="B30" s="5" t="s">
        <v>65</v>
      </c>
      <c r="C30" s="5" t="s">
        <v>83</v>
      </c>
      <c r="D30" s="5" t="s">
        <v>148</v>
      </c>
      <c r="E30" s="5" t="s">
        <v>199</v>
      </c>
      <c r="F30" s="16">
        <v>44</v>
      </c>
      <c r="G30" s="16">
        <v>0</v>
      </c>
      <c r="H30" s="16">
        <f t="shared" si="0"/>
        <v>0</v>
      </c>
      <c r="I30" s="16">
        <f t="shared" si="1"/>
        <v>0</v>
      </c>
      <c r="J30" s="16">
        <f t="shared" si="2"/>
        <v>0</v>
      </c>
      <c r="K30" s="16">
        <v>0.00226</v>
      </c>
      <c r="L30" s="16">
        <f t="shared" si="3"/>
        <v>0.09944</v>
      </c>
      <c r="M30" s="28" t="s">
        <v>221</v>
      </c>
      <c r="N30" s="28" t="s">
        <v>7</v>
      </c>
      <c r="O30" s="16">
        <f t="shared" si="4"/>
        <v>0</v>
      </c>
      <c r="Z30" s="16">
        <f t="shared" si="5"/>
        <v>0</v>
      </c>
      <c r="AA30" s="16">
        <f t="shared" si="6"/>
        <v>0</v>
      </c>
      <c r="AB30" s="16">
        <f t="shared" si="7"/>
        <v>0</v>
      </c>
      <c r="AD30" s="33">
        <v>21</v>
      </c>
      <c r="AE30" s="33">
        <f t="shared" si="8"/>
        <v>0</v>
      </c>
      <c r="AF30" s="33">
        <f t="shared" si="9"/>
        <v>0</v>
      </c>
      <c r="AM30" s="33">
        <f t="shared" si="10"/>
        <v>0</v>
      </c>
      <c r="AN30" s="33">
        <f t="shared" si="11"/>
        <v>0</v>
      </c>
      <c r="AO30" s="34" t="s">
        <v>236</v>
      </c>
      <c r="AP30" s="34" t="s">
        <v>242</v>
      </c>
      <c r="AQ30" s="25" t="s">
        <v>246</v>
      </c>
    </row>
    <row r="31" spans="1:43" ht="12.75">
      <c r="A31" s="5" t="s">
        <v>22</v>
      </c>
      <c r="B31" s="5" t="s">
        <v>65</v>
      </c>
      <c r="C31" s="5" t="s">
        <v>84</v>
      </c>
      <c r="D31" s="5" t="s">
        <v>149</v>
      </c>
      <c r="E31" s="5" t="s">
        <v>201</v>
      </c>
      <c r="F31" s="16">
        <v>4</v>
      </c>
      <c r="G31" s="16">
        <v>0</v>
      </c>
      <c r="H31" s="16">
        <f t="shared" si="0"/>
        <v>0</v>
      </c>
      <c r="I31" s="16">
        <f t="shared" si="1"/>
        <v>0</v>
      </c>
      <c r="J31" s="16">
        <f t="shared" si="2"/>
        <v>0</v>
      </c>
      <c r="K31" s="16">
        <v>0.02008</v>
      </c>
      <c r="L31" s="16">
        <f t="shared" si="3"/>
        <v>0.08032</v>
      </c>
      <c r="M31" s="28" t="s">
        <v>221</v>
      </c>
      <c r="N31" s="28" t="s">
        <v>7</v>
      </c>
      <c r="O31" s="16">
        <f t="shared" si="4"/>
        <v>0</v>
      </c>
      <c r="Z31" s="16">
        <f t="shared" si="5"/>
        <v>0</v>
      </c>
      <c r="AA31" s="16">
        <f t="shared" si="6"/>
        <v>0</v>
      </c>
      <c r="AB31" s="16">
        <f t="shared" si="7"/>
        <v>0</v>
      </c>
      <c r="AD31" s="33">
        <v>21</v>
      </c>
      <c r="AE31" s="33">
        <f t="shared" si="8"/>
        <v>0</v>
      </c>
      <c r="AF31" s="33">
        <f t="shared" si="9"/>
        <v>0</v>
      </c>
      <c r="AM31" s="33">
        <f t="shared" si="10"/>
        <v>0</v>
      </c>
      <c r="AN31" s="33">
        <f t="shared" si="11"/>
        <v>0</v>
      </c>
      <c r="AO31" s="34" t="s">
        <v>236</v>
      </c>
      <c r="AP31" s="34" t="s">
        <v>242</v>
      </c>
      <c r="AQ31" s="25" t="s">
        <v>246</v>
      </c>
    </row>
    <row r="32" spans="1:43" ht="12.75">
      <c r="A32" s="5" t="s">
        <v>23</v>
      </c>
      <c r="B32" s="5" t="s">
        <v>65</v>
      </c>
      <c r="C32" s="5" t="s">
        <v>85</v>
      </c>
      <c r="D32" s="5" t="s">
        <v>150</v>
      </c>
      <c r="E32" s="5" t="s">
        <v>201</v>
      </c>
      <c r="F32" s="16">
        <v>1</v>
      </c>
      <c r="G32" s="16">
        <v>0</v>
      </c>
      <c r="H32" s="16">
        <f t="shared" si="0"/>
        <v>0</v>
      </c>
      <c r="I32" s="16">
        <f t="shared" si="1"/>
        <v>0</v>
      </c>
      <c r="J32" s="16">
        <f t="shared" si="2"/>
        <v>0</v>
      </c>
      <c r="K32" s="16">
        <v>0.02008</v>
      </c>
      <c r="L32" s="16">
        <f t="shared" si="3"/>
        <v>0.02008</v>
      </c>
      <c r="M32" s="28" t="s">
        <v>221</v>
      </c>
      <c r="N32" s="28" t="s">
        <v>7</v>
      </c>
      <c r="O32" s="16">
        <f t="shared" si="4"/>
        <v>0</v>
      </c>
      <c r="Z32" s="16">
        <f t="shared" si="5"/>
        <v>0</v>
      </c>
      <c r="AA32" s="16">
        <f t="shared" si="6"/>
        <v>0</v>
      </c>
      <c r="AB32" s="16">
        <f t="shared" si="7"/>
        <v>0</v>
      </c>
      <c r="AD32" s="33">
        <v>21</v>
      </c>
      <c r="AE32" s="33">
        <f t="shared" si="8"/>
        <v>0</v>
      </c>
      <c r="AF32" s="33">
        <f t="shared" si="9"/>
        <v>0</v>
      </c>
      <c r="AM32" s="33">
        <f t="shared" si="10"/>
        <v>0</v>
      </c>
      <c r="AN32" s="33">
        <f t="shared" si="11"/>
        <v>0</v>
      </c>
      <c r="AO32" s="34" t="s">
        <v>236</v>
      </c>
      <c r="AP32" s="34" t="s">
        <v>242</v>
      </c>
      <c r="AQ32" s="25" t="s">
        <v>246</v>
      </c>
    </row>
    <row r="33" spans="1:43" ht="12.75">
      <c r="A33" s="5" t="s">
        <v>24</v>
      </c>
      <c r="B33" s="5" t="s">
        <v>65</v>
      </c>
      <c r="C33" s="5" t="s">
        <v>86</v>
      </c>
      <c r="D33" s="5" t="s">
        <v>151</v>
      </c>
      <c r="E33" s="5" t="s">
        <v>199</v>
      </c>
      <c r="F33" s="16">
        <v>56</v>
      </c>
      <c r="G33" s="16">
        <v>0</v>
      </c>
      <c r="H33" s="16">
        <f t="shared" si="0"/>
        <v>0</v>
      </c>
      <c r="I33" s="16">
        <f t="shared" si="1"/>
        <v>0</v>
      </c>
      <c r="J33" s="16">
        <f t="shared" si="2"/>
        <v>0</v>
      </c>
      <c r="K33" s="16">
        <v>0.00348</v>
      </c>
      <c r="L33" s="16">
        <f t="shared" si="3"/>
        <v>0.19488</v>
      </c>
      <c r="M33" s="28" t="s">
        <v>221</v>
      </c>
      <c r="N33" s="28" t="s">
        <v>7</v>
      </c>
      <c r="O33" s="16">
        <f t="shared" si="4"/>
        <v>0</v>
      </c>
      <c r="Z33" s="16">
        <f t="shared" si="5"/>
        <v>0</v>
      </c>
      <c r="AA33" s="16">
        <f t="shared" si="6"/>
        <v>0</v>
      </c>
      <c r="AB33" s="16">
        <f t="shared" si="7"/>
        <v>0</v>
      </c>
      <c r="AD33" s="33">
        <v>21</v>
      </c>
      <c r="AE33" s="33">
        <f>G33*0.91368544600939</f>
        <v>0</v>
      </c>
      <c r="AF33" s="33">
        <f>G33*(1-0.91368544600939)</f>
        <v>0</v>
      </c>
      <c r="AM33" s="33">
        <f t="shared" si="10"/>
        <v>0</v>
      </c>
      <c r="AN33" s="33">
        <f t="shared" si="11"/>
        <v>0</v>
      </c>
      <c r="AO33" s="34" t="s">
        <v>236</v>
      </c>
      <c r="AP33" s="34" t="s">
        <v>242</v>
      </c>
      <c r="AQ33" s="25" t="s">
        <v>246</v>
      </c>
    </row>
    <row r="34" spans="1:43" ht="12.75">
      <c r="A34" s="5" t="s">
        <v>25</v>
      </c>
      <c r="B34" s="5" t="s">
        <v>65</v>
      </c>
      <c r="C34" s="5" t="s">
        <v>87</v>
      </c>
      <c r="D34" s="5" t="s">
        <v>152</v>
      </c>
      <c r="E34" s="5" t="s">
        <v>198</v>
      </c>
      <c r="F34" s="16">
        <v>76</v>
      </c>
      <c r="G34" s="16">
        <v>0</v>
      </c>
      <c r="H34" s="16">
        <f t="shared" si="0"/>
        <v>0</v>
      </c>
      <c r="I34" s="16">
        <f t="shared" si="1"/>
        <v>0</v>
      </c>
      <c r="J34" s="16">
        <f t="shared" si="2"/>
        <v>0</v>
      </c>
      <c r="K34" s="16">
        <v>0.01941</v>
      </c>
      <c r="L34" s="16">
        <f t="shared" si="3"/>
        <v>1.47516</v>
      </c>
      <c r="M34" s="28" t="s">
        <v>221</v>
      </c>
      <c r="N34" s="28" t="s">
        <v>7</v>
      </c>
      <c r="O34" s="16">
        <f t="shared" si="4"/>
        <v>0</v>
      </c>
      <c r="Z34" s="16">
        <f t="shared" si="5"/>
        <v>0</v>
      </c>
      <c r="AA34" s="16">
        <f t="shared" si="6"/>
        <v>0</v>
      </c>
      <c r="AB34" s="16">
        <f t="shared" si="7"/>
        <v>0</v>
      </c>
      <c r="AD34" s="33">
        <v>21</v>
      </c>
      <c r="AE34" s="33">
        <f>G34*0.742083333333333</f>
        <v>0</v>
      </c>
      <c r="AF34" s="33">
        <f>G34*(1-0.742083333333333)</f>
        <v>0</v>
      </c>
      <c r="AM34" s="33">
        <f t="shared" si="10"/>
        <v>0</v>
      </c>
      <c r="AN34" s="33">
        <f t="shared" si="11"/>
        <v>0</v>
      </c>
      <c r="AO34" s="34" t="s">
        <v>236</v>
      </c>
      <c r="AP34" s="34" t="s">
        <v>242</v>
      </c>
      <c r="AQ34" s="25" t="s">
        <v>246</v>
      </c>
    </row>
    <row r="35" spans="1:43" ht="12.75">
      <c r="A35" s="5" t="s">
        <v>26</v>
      </c>
      <c r="B35" s="5" t="s">
        <v>65</v>
      </c>
      <c r="C35" s="5" t="s">
        <v>88</v>
      </c>
      <c r="D35" s="5" t="s">
        <v>153</v>
      </c>
      <c r="E35" s="5" t="s">
        <v>199</v>
      </c>
      <c r="F35" s="16">
        <v>19</v>
      </c>
      <c r="G35" s="16">
        <v>0</v>
      </c>
      <c r="H35" s="16">
        <f t="shared" si="0"/>
        <v>0</v>
      </c>
      <c r="I35" s="16">
        <f t="shared" si="1"/>
        <v>0</v>
      </c>
      <c r="J35" s="16">
        <f t="shared" si="2"/>
        <v>0</v>
      </c>
      <c r="K35" s="16">
        <v>0.00449</v>
      </c>
      <c r="L35" s="16">
        <f t="shared" si="3"/>
        <v>0.08531</v>
      </c>
      <c r="M35" s="28" t="s">
        <v>221</v>
      </c>
      <c r="N35" s="28" t="s">
        <v>7</v>
      </c>
      <c r="O35" s="16">
        <f t="shared" si="4"/>
        <v>0</v>
      </c>
      <c r="Z35" s="16">
        <f t="shared" si="5"/>
        <v>0</v>
      </c>
      <c r="AA35" s="16">
        <f t="shared" si="6"/>
        <v>0</v>
      </c>
      <c r="AB35" s="16">
        <f t="shared" si="7"/>
        <v>0</v>
      </c>
      <c r="AD35" s="33">
        <v>21</v>
      </c>
      <c r="AE35" s="33">
        <f>G35*0.923934640522876</f>
        <v>0</v>
      </c>
      <c r="AF35" s="33">
        <f>G35*(1-0.923934640522876)</f>
        <v>0</v>
      </c>
      <c r="AM35" s="33">
        <f t="shared" si="10"/>
        <v>0</v>
      </c>
      <c r="AN35" s="33">
        <f t="shared" si="11"/>
        <v>0</v>
      </c>
      <c r="AO35" s="34" t="s">
        <v>236</v>
      </c>
      <c r="AP35" s="34" t="s">
        <v>242</v>
      </c>
      <c r="AQ35" s="25" t="s">
        <v>246</v>
      </c>
    </row>
    <row r="36" spans="1:43" ht="12.75">
      <c r="A36" s="5" t="s">
        <v>27</v>
      </c>
      <c r="B36" s="5" t="s">
        <v>65</v>
      </c>
      <c r="C36" s="5" t="s">
        <v>89</v>
      </c>
      <c r="D36" s="5" t="s">
        <v>154</v>
      </c>
      <c r="E36" s="5" t="s">
        <v>198</v>
      </c>
      <c r="F36" s="16">
        <v>9</v>
      </c>
      <c r="G36" s="16">
        <v>0</v>
      </c>
      <c r="H36" s="16">
        <f t="shared" si="0"/>
        <v>0</v>
      </c>
      <c r="I36" s="16">
        <f t="shared" si="1"/>
        <v>0</v>
      </c>
      <c r="J36" s="16">
        <f t="shared" si="2"/>
        <v>0</v>
      </c>
      <c r="K36" s="16">
        <v>0.00578</v>
      </c>
      <c r="L36" s="16">
        <f t="shared" si="3"/>
        <v>0.052020000000000004</v>
      </c>
      <c r="M36" s="28" t="s">
        <v>221</v>
      </c>
      <c r="N36" s="28" t="s">
        <v>7</v>
      </c>
      <c r="O36" s="16">
        <f t="shared" si="4"/>
        <v>0</v>
      </c>
      <c r="Z36" s="16">
        <f t="shared" si="5"/>
        <v>0</v>
      </c>
      <c r="AA36" s="16">
        <f t="shared" si="6"/>
        <v>0</v>
      </c>
      <c r="AB36" s="16">
        <f t="shared" si="7"/>
        <v>0</v>
      </c>
      <c r="AD36" s="33">
        <v>21</v>
      </c>
      <c r="AE36" s="33">
        <f>G36*0.360241416309013</f>
        <v>0</v>
      </c>
      <c r="AF36" s="33">
        <f>G36*(1-0.360241416309013)</f>
        <v>0</v>
      </c>
      <c r="AM36" s="33">
        <f t="shared" si="10"/>
        <v>0</v>
      </c>
      <c r="AN36" s="33">
        <f t="shared" si="11"/>
        <v>0</v>
      </c>
      <c r="AO36" s="34" t="s">
        <v>236</v>
      </c>
      <c r="AP36" s="34" t="s">
        <v>242</v>
      </c>
      <c r="AQ36" s="25" t="s">
        <v>246</v>
      </c>
    </row>
    <row r="37" spans="1:43" ht="12.75">
      <c r="A37" s="5" t="s">
        <v>28</v>
      </c>
      <c r="B37" s="5" t="s">
        <v>65</v>
      </c>
      <c r="C37" s="5" t="s">
        <v>90</v>
      </c>
      <c r="D37" s="5" t="s">
        <v>155</v>
      </c>
      <c r="E37" s="5" t="s">
        <v>199</v>
      </c>
      <c r="F37" s="16">
        <v>32</v>
      </c>
      <c r="G37" s="16">
        <v>0</v>
      </c>
      <c r="H37" s="16">
        <f t="shared" si="0"/>
        <v>0</v>
      </c>
      <c r="I37" s="16">
        <f t="shared" si="1"/>
        <v>0</v>
      </c>
      <c r="J37" s="16">
        <f t="shared" si="2"/>
        <v>0</v>
      </c>
      <c r="K37" s="16">
        <v>0.00365</v>
      </c>
      <c r="L37" s="16">
        <f t="shared" si="3"/>
        <v>0.1168</v>
      </c>
      <c r="M37" s="28" t="s">
        <v>221</v>
      </c>
      <c r="N37" s="28" t="s">
        <v>7</v>
      </c>
      <c r="O37" s="16">
        <f t="shared" si="4"/>
        <v>0</v>
      </c>
      <c r="Z37" s="16">
        <f t="shared" si="5"/>
        <v>0</v>
      </c>
      <c r="AA37" s="16">
        <f t="shared" si="6"/>
        <v>0</v>
      </c>
      <c r="AB37" s="16">
        <f t="shared" si="7"/>
        <v>0</v>
      </c>
      <c r="AD37" s="33">
        <v>21</v>
      </c>
      <c r="AE37" s="33">
        <f>G37*0.876352813852814</f>
        <v>0</v>
      </c>
      <c r="AF37" s="33">
        <f>G37*(1-0.876352813852814)</f>
        <v>0</v>
      </c>
      <c r="AM37" s="33">
        <f t="shared" si="10"/>
        <v>0</v>
      </c>
      <c r="AN37" s="33">
        <f t="shared" si="11"/>
        <v>0</v>
      </c>
      <c r="AO37" s="34" t="s">
        <v>236</v>
      </c>
      <c r="AP37" s="34" t="s">
        <v>242</v>
      </c>
      <c r="AQ37" s="25" t="s">
        <v>246</v>
      </c>
    </row>
    <row r="38" spans="1:43" ht="12.75">
      <c r="A38" s="5" t="s">
        <v>29</v>
      </c>
      <c r="B38" s="5" t="s">
        <v>65</v>
      </c>
      <c r="C38" s="5" t="s">
        <v>91</v>
      </c>
      <c r="D38" s="5" t="s">
        <v>156</v>
      </c>
      <c r="E38" s="5" t="s">
        <v>199</v>
      </c>
      <c r="F38" s="16">
        <v>6</v>
      </c>
      <c r="G38" s="16">
        <v>0</v>
      </c>
      <c r="H38" s="16">
        <f t="shared" si="0"/>
        <v>0</v>
      </c>
      <c r="I38" s="16">
        <f t="shared" si="1"/>
        <v>0</v>
      </c>
      <c r="J38" s="16">
        <f t="shared" si="2"/>
        <v>0</v>
      </c>
      <c r="K38" s="16">
        <v>0.00424</v>
      </c>
      <c r="L38" s="16">
        <f t="shared" si="3"/>
        <v>0.025439999999999997</v>
      </c>
      <c r="M38" s="28" t="s">
        <v>221</v>
      </c>
      <c r="N38" s="28" t="s">
        <v>7</v>
      </c>
      <c r="O38" s="16">
        <f t="shared" si="4"/>
        <v>0</v>
      </c>
      <c r="Z38" s="16">
        <f t="shared" si="5"/>
        <v>0</v>
      </c>
      <c r="AA38" s="16">
        <f t="shared" si="6"/>
        <v>0</v>
      </c>
      <c r="AB38" s="16">
        <f t="shared" si="7"/>
        <v>0</v>
      </c>
      <c r="AD38" s="33">
        <v>21</v>
      </c>
      <c r="AE38" s="33">
        <f>G38*0.897087576374745</f>
        <v>0</v>
      </c>
      <c r="AF38" s="33">
        <f>G38*(1-0.897087576374745)</f>
        <v>0</v>
      </c>
      <c r="AM38" s="33">
        <f t="shared" si="10"/>
        <v>0</v>
      </c>
      <c r="AN38" s="33">
        <f t="shared" si="11"/>
        <v>0</v>
      </c>
      <c r="AO38" s="34" t="s">
        <v>236</v>
      </c>
      <c r="AP38" s="34" t="s">
        <v>242</v>
      </c>
      <c r="AQ38" s="25" t="s">
        <v>246</v>
      </c>
    </row>
    <row r="39" spans="1:43" ht="12.75">
      <c r="A39" s="5" t="s">
        <v>30</v>
      </c>
      <c r="B39" s="5" t="s">
        <v>65</v>
      </c>
      <c r="C39" s="5" t="s">
        <v>92</v>
      </c>
      <c r="D39" s="5" t="s">
        <v>157</v>
      </c>
      <c r="E39" s="5" t="s">
        <v>199</v>
      </c>
      <c r="F39" s="16">
        <v>24</v>
      </c>
      <c r="G39" s="16">
        <v>0</v>
      </c>
      <c r="H39" s="16">
        <f t="shared" si="0"/>
        <v>0</v>
      </c>
      <c r="I39" s="16">
        <f t="shared" si="1"/>
        <v>0</v>
      </c>
      <c r="J39" s="16">
        <f t="shared" si="2"/>
        <v>0</v>
      </c>
      <c r="K39" s="16">
        <v>0.0031</v>
      </c>
      <c r="L39" s="16">
        <f t="shared" si="3"/>
        <v>0.0744</v>
      </c>
      <c r="M39" s="28" t="s">
        <v>221</v>
      </c>
      <c r="N39" s="28" t="s">
        <v>7</v>
      </c>
      <c r="O39" s="16">
        <f t="shared" si="4"/>
        <v>0</v>
      </c>
      <c r="Z39" s="16">
        <f t="shared" si="5"/>
        <v>0</v>
      </c>
      <c r="AA39" s="16">
        <f t="shared" si="6"/>
        <v>0</v>
      </c>
      <c r="AB39" s="16">
        <f t="shared" si="7"/>
        <v>0</v>
      </c>
      <c r="AD39" s="33">
        <v>21</v>
      </c>
      <c r="AE39" s="33">
        <f>G39*0.729908496732026</f>
        <v>0</v>
      </c>
      <c r="AF39" s="33">
        <f>G39*(1-0.729908496732026)</f>
        <v>0</v>
      </c>
      <c r="AM39" s="33">
        <f t="shared" si="10"/>
        <v>0</v>
      </c>
      <c r="AN39" s="33">
        <f t="shared" si="11"/>
        <v>0</v>
      </c>
      <c r="AO39" s="34" t="s">
        <v>236</v>
      </c>
      <c r="AP39" s="34" t="s">
        <v>242</v>
      </c>
      <c r="AQ39" s="25" t="s">
        <v>246</v>
      </c>
    </row>
    <row r="40" spans="1:43" ht="12.75">
      <c r="A40" s="5" t="s">
        <v>31</v>
      </c>
      <c r="B40" s="5" t="s">
        <v>65</v>
      </c>
      <c r="C40" s="5" t="s">
        <v>93</v>
      </c>
      <c r="D40" s="5" t="s">
        <v>158</v>
      </c>
      <c r="E40" s="5" t="s">
        <v>199</v>
      </c>
      <c r="F40" s="16">
        <v>20</v>
      </c>
      <c r="G40" s="16">
        <v>0</v>
      </c>
      <c r="H40" s="16">
        <f t="shared" si="0"/>
        <v>0</v>
      </c>
      <c r="I40" s="16">
        <f t="shared" si="1"/>
        <v>0</v>
      </c>
      <c r="J40" s="16">
        <f t="shared" si="2"/>
        <v>0</v>
      </c>
      <c r="K40" s="16">
        <v>0.0021</v>
      </c>
      <c r="L40" s="16">
        <f t="shared" si="3"/>
        <v>0.041999999999999996</v>
      </c>
      <c r="M40" s="28" t="s">
        <v>221</v>
      </c>
      <c r="N40" s="28" t="s">
        <v>7</v>
      </c>
      <c r="O40" s="16">
        <f t="shared" si="4"/>
        <v>0</v>
      </c>
      <c r="Z40" s="16">
        <f t="shared" si="5"/>
        <v>0</v>
      </c>
      <c r="AA40" s="16">
        <f t="shared" si="6"/>
        <v>0</v>
      </c>
      <c r="AB40" s="16">
        <f t="shared" si="7"/>
        <v>0</v>
      </c>
      <c r="AD40" s="33">
        <v>21</v>
      </c>
      <c r="AE40" s="33">
        <f>G40*0.852489177489178</f>
        <v>0</v>
      </c>
      <c r="AF40" s="33">
        <f>G40*(1-0.852489177489178)</f>
        <v>0</v>
      </c>
      <c r="AM40" s="33">
        <f t="shared" si="10"/>
        <v>0</v>
      </c>
      <c r="AN40" s="33">
        <f t="shared" si="11"/>
        <v>0</v>
      </c>
      <c r="AO40" s="34" t="s">
        <v>236</v>
      </c>
      <c r="AP40" s="34" t="s">
        <v>242</v>
      </c>
      <c r="AQ40" s="25" t="s">
        <v>246</v>
      </c>
    </row>
    <row r="41" spans="1:43" ht="12.75">
      <c r="A41" s="5" t="s">
        <v>32</v>
      </c>
      <c r="B41" s="5" t="s">
        <v>65</v>
      </c>
      <c r="C41" s="5" t="s">
        <v>94</v>
      </c>
      <c r="D41" s="5" t="s">
        <v>159</v>
      </c>
      <c r="E41" s="5" t="s">
        <v>201</v>
      </c>
      <c r="F41" s="16">
        <v>26</v>
      </c>
      <c r="G41" s="16">
        <v>0</v>
      </c>
      <c r="H41" s="16">
        <f t="shared" si="0"/>
        <v>0</v>
      </c>
      <c r="I41" s="16">
        <f t="shared" si="1"/>
        <v>0</v>
      </c>
      <c r="J41" s="16">
        <f t="shared" si="2"/>
        <v>0</v>
      </c>
      <c r="K41" s="16">
        <v>0</v>
      </c>
      <c r="L41" s="16">
        <f t="shared" si="3"/>
        <v>0</v>
      </c>
      <c r="M41" s="28" t="s">
        <v>221</v>
      </c>
      <c r="N41" s="28" t="s">
        <v>7</v>
      </c>
      <c r="O41" s="16">
        <f t="shared" si="4"/>
        <v>0</v>
      </c>
      <c r="Z41" s="16">
        <f t="shared" si="5"/>
        <v>0</v>
      </c>
      <c r="AA41" s="16">
        <f t="shared" si="6"/>
        <v>0</v>
      </c>
      <c r="AB41" s="16">
        <f t="shared" si="7"/>
        <v>0</v>
      </c>
      <c r="AD41" s="33">
        <v>21</v>
      </c>
      <c r="AE41" s="33">
        <f>G41*0.800883116883117</f>
        <v>0</v>
      </c>
      <c r="AF41" s="33">
        <f>G41*(1-0.800883116883117)</f>
        <v>0</v>
      </c>
      <c r="AM41" s="33">
        <f t="shared" si="10"/>
        <v>0</v>
      </c>
      <c r="AN41" s="33">
        <f t="shared" si="11"/>
        <v>0</v>
      </c>
      <c r="AO41" s="34" t="s">
        <v>236</v>
      </c>
      <c r="AP41" s="34" t="s">
        <v>242</v>
      </c>
      <c r="AQ41" s="25" t="s">
        <v>246</v>
      </c>
    </row>
    <row r="42" spans="1:43" ht="12.75">
      <c r="A42" s="5" t="s">
        <v>33</v>
      </c>
      <c r="B42" s="5" t="s">
        <v>65</v>
      </c>
      <c r="C42" s="5" t="s">
        <v>95</v>
      </c>
      <c r="D42" s="5" t="s">
        <v>160</v>
      </c>
      <c r="E42" s="5" t="s">
        <v>199</v>
      </c>
      <c r="F42" s="16">
        <v>52</v>
      </c>
      <c r="G42" s="16">
        <v>0</v>
      </c>
      <c r="H42" s="16">
        <f t="shared" si="0"/>
        <v>0</v>
      </c>
      <c r="I42" s="16">
        <f t="shared" si="1"/>
        <v>0</v>
      </c>
      <c r="J42" s="16">
        <f t="shared" si="2"/>
        <v>0</v>
      </c>
      <c r="K42" s="16">
        <v>0.00328</v>
      </c>
      <c r="L42" s="16">
        <f t="shared" si="3"/>
        <v>0.17056</v>
      </c>
      <c r="M42" s="28" t="s">
        <v>221</v>
      </c>
      <c r="N42" s="28" t="s">
        <v>7</v>
      </c>
      <c r="O42" s="16">
        <f t="shared" si="4"/>
        <v>0</v>
      </c>
      <c r="Z42" s="16">
        <f t="shared" si="5"/>
        <v>0</v>
      </c>
      <c r="AA42" s="16">
        <f t="shared" si="6"/>
        <v>0</v>
      </c>
      <c r="AB42" s="16">
        <f t="shared" si="7"/>
        <v>0</v>
      </c>
      <c r="AD42" s="33">
        <v>21</v>
      </c>
      <c r="AE42" s="33">
        <f>G42*0.810537978579343</f>
        <v>0</v>
      </c>
      <c r="AF42" s="33">
        <f>G42*(1-0.810537978579343)</f>
        <v>0</v>
      </c>
      <c r="AM42" s="33">
        <f t="shared" si="10"/>
        <v>0</v>
      </c>
      <c r="AN42" s="33">
        <f t="shared" si="11"/>
        <v>0</v>
      </c>
      <c r="AO42" s="34" t="s">
        <v>236</v>
      </c>
      <c r="AP42" s="34" t="s">
        <v>242</v>
      </c>
      <c r="AQ42" s="25" t="s">
        <v>246</v>
      </c>
    </row>
    <row r="43" spans="1:43" ht="12.75">
      <c r="A43" s="5" t="s">
        <v>34</v>
      </c>
      <c r="B43" s="5" t="s">
        <v>65</v>
      </c>
      <c r="C43" s="5" t="s">
        <v>96</v>
      </c>
      <c r="D43" s="5" t="s">
        <v>161</v>
      </c>
      <c r="E43" s="5" t="s">
        <v>201</v>
      </c>
      <c r="F43" s="16">
        <v>7</v>
      </c>
      <c r="G43" s="16">
        <v>0</v>
      </c>
      <c r="H43" s="16">
        <f t="shared" si="0"/>
        <v>0</v>
      </c>
      <c r="I43" s="16">
        <f t="shared" si="1"/>
        <v>0</v>
      </c>
      <c r="J43" s="16">
        <f t="shared" si="2"/>
        <v>0</v>
      </c>
      <c r="K43" s="16">
        <v>7E-05</v>
      </c>
      <c r="L43" s="16">
        <f t="shared" si="3"/>
        <v>0.00049</v>
      </c>
      <c r="M43" s="28" t="s">
        <v>221</v>
      </c>
      <c r="N43" s="28" t="s">
        <v>7</v>
      </c>
      <c r="O43" s="16">
        <f t="shared" si="4"/>
        <v>0</v>
      </c>
      <c r="Z43" s="16">
        <f t="shared" si="5"/>
        <v>0</v>
      </c>
      <c r="AA43" s="16">
        <f t="shared" si="6"/>
        <v>0</v>
      </c>
      <c r="AB43" s="16">
        <f t="shared" si="7"/>
        <v>0</v>
      </c>
      <c r="AD43" s="33">
        <v>21</v>
      </c>
      <c r="AE43" s="33">
        <f>G43*0.139616055846422</f>
        <v>0</v>
      </c>
      <c r="AF43" s="33">
        <f>G43*(1-0.139616055846422)</f>
        <v>0</v>
      </c>
      <c r="AM43" s="33">
        <f t="shared" si="10"/>
        <v>0</v>
      </c>
      <c r="AN43" s="33">
        <f t="shared" si="11"/>
        <v>0</v>
      </c>
      <c r="AO43" s="34" t="s">
        <v>236</v>
      </c>
      <c r="AP43" s="34" t="s">
        <v>242</v>
      </c>
      <c r="AQ43" s="25" t="s">
        <v>246</v>
      </c>
    </row>
    <row r="44" spans="1:43" ht="12.75">
      <c r="A44" s="6" t="s">
        <v>35</v>
      </c>
      <c r="B44" s="6" t="s">
        <v>65</v>
      </c>
      <c r="C44" s="6" t="s">
        <v>97</v>
      </c>
      <c r="D44" s="6" t="s">
        <v>162</v>
      </c>
      <c r="E44" s="6" t="s">
        <v>201</v>
      </c>
      <c r="F44" s="17">
        <v>7</v>
      </c>
      <c r="G44" s="17">
        <v>0</v>
      </c>
      <c r="H44" s="17">
        <f t="shared" si="0"/>
        <v>0</v>
      </c>
      <c r="I44" s="17">
        <f t="shared" si="1"/>
        <v>0</v>
      </c>
      <c r="J44" s="17">
        <f t="shared" si="2"/>
        <v>0</v>
      </c>
      <c r="K44" s="17">
        <v>0.00206</v>
      </c>
      <c r="L44" s="17">
        <f t="shared" si="3"/>
        <v>0.014420000000000002</v>
      </c>
      <c r="M44" s="29" t="s">
        <v>221</v>
      </c>
      <c r="N44" s="29" t="s">
        <v>222</v>
      </c>
      <c r="O44" s="17">
        <f t="shared" si="4"/>
        <v>0</v>
      </c>
      <c r="Z44" s="17">
        <f t="shared" si="5"/>
        <v>0</v>
      </c>
      <c r="AA44" s="17">
        <f t="shared" si="6"/>
        <v>0</v>
      </c>
      <c r="AB44" s="17">
        <f t="shared" si="7"/>
        <v>0</v>
      </c>
      <c r="AD44" s="33">
        <v>21</v>
      </c>
      <c r="AE44" s="33">
        <f>G44*1</f>
        <v>0</v>
      </c>
      <c r="AF44" s="33">
        <f>G44*(1-1)</f>
        <v>0</v>
      </c>
      <c r="AM44" s="33">
        <f t="shared" si="10"/>
        <v>0</v>
      </c>
      <c r="AN44" s="33">
        <f t="shared" si="11"/>
        <v>0</v>
      </c>
      <c r="AO44" s="34" t="s">
        <v>236</v>
      </c>
      <c r="AP44" s="34" t="s">
        <v>242</v>
      </c>
      <c r="AQ44" s="25" t="s">
        <v>246</v>
      </c>
    </row>
    <row r="45" spans="1:43" ht="12.75">
      <c r="A45" s="5" t="s">
        <v>36</v>
      </c>
      <c r="B45" s="5" t="s">
        <v>65</v>
      </c>
      <c r="C45" s="5" t="s">
        <v>98</v>
      </c>
      <c r="D45" s="5" t="s">
        <v>163</v>
      </c>
      <c r="E45" s="5" t="s">
        <v>199</v>
      </c>
      <c r="F45" s="16">
        <v>45</v>
      </c>
      <c r="G45" s="16">
        <v>0</v>
      </c>
      <c r="H45" s="16">
        <f t="shared" si="0"/>
        <v>0</v>
      </c>
      <c r="I45" s="16">
        <f t="shared" si="1"/>
        <v>0</v>
      </c>
      <c r="J45" s="16">
        <f t="shared" si="2"/>
        <v>0</v>
      </c>
      <c r="K45" s="16">
        <v>0.00293</v>
      </c>
      <c r="L45" s="16">
        <f t="shared" si="3"/>
        <v>0.13185</v>
      </c>
      <c r="M45" s="28" t="s">
        <v>221</v>
      </c>
      <c r="N45" s="28" t="s">
        <v>7</v>
      </c>
      <c r="O45" s="16">
        <f t="shared" si="4"/>
        <v>0</v>
      </c>
      <c r="Z45" s="16">
        <f t="shared" si="5"/>
        <v>0</v>
      </c>
      <c r="AA45" s="16">
        <f t="shared" si="6"/>
        <v>0</v>
      </c>
      <c r="AB45" s="16">
        <f t="shared" si="7"/>
        <v>0</v>
      </c>
      <c r="AD45" s="33">
        <v>21</v>
      </c>
      <c r="AE45" s="33">
        <f>G45*0.75865816309729</f>
        <v>0</v>
      </c>
      <c r="AF45" s="33">
        <f>G45*(1-0.75865816309729)</f>
        <v>0</v>
      </c>
      <c r="AM45" s="33">
        <f t="shared" si="10"/>
        <v>0</v>
      </c>
      <c r="AN45" s="33">
        <f t="shared" si="11"/>
        <v>0</v>
      </c>
      <c r="AO45" s="34" t="s">
        <v>236</v>
      </c>
      <c r="AP45" s="34" t="s">
        <v>242</v>
      </c>
      <c r="AQ45" s="25" t="s">
        <v>246</v>
      </c>
    </row>
    <row r="46" spans="1:43" ht="12.75">
      <c r="A46" s="5" t="s">
        <v>37</v>
      </c>
      <c r="B46" s="5" t="s">
        <v>65</v>
      </c>
      <c r="C46" s="5" t="s">
        <v>99</v>
      </c>
      <c r="D46" s="5" t="s">
        <v>164</v>
      </c>
      <c r="E46" s="5" t="s">
        <v>202</v>
      </c>
      <c r="F46" s="16">
        <v>3.611</v>
      </c>
      <c r="G46" s="16">
        <v>0</v>
      </c>
      <c r="H46" s="16">
        <f t="shared" si="0"/>
        <v>0</v>
      </c>
      <c r="I46" s="16">
        <f t="shared" si="1"/>
        <v>0</v>
      </c>
      <c r="J46" s="16">
        <f t="shared" si="2"/>
        <v>0</v>
      </c>
      <c r="K46" s="16">
        <v>0</v>
      </c>
      <c r="L46" s="16">
        <f t="shared" si="3"/>
        <v>0</v>
      </c>
      <c r="M46" s="28" t="s">
        <v>221</v>
      </c>
      <c r="N46" s="28" t="s">
        <v>11</v>
      </c>
      <c r="O46" s="16">
        <f t="shared" si="4"/>
        <v>0</v>
      </c>
      <c r="Z46" s="16">
        <f t="shared" si="5"/>
        <v>0</v>
      </c>
      <c r="AA46" s="16">
        <f t="shared" si="6"/>
        <v>0</v>
      </c>
      <c r="AB46" s="16">
        <f t="shared" si="7"/>
        <v>0</v>
      </c>
      <c r="AD46" s="33">
        <v>21</v>
      </c>
      <c r="AE46" s="33">
        <f>G46*0</f>
        <v>0</v>
      </c>
      <c r="AF46" s="33">
        <f>G46*(1-0)</f>
        <v>0</v>
      </c>
      <c r="AM46" s="33">
        <f t="shared" si="10"/>
        <v>0</v>
      </c>
      <c r="AN46" s="33">
        <f t="shared" si="11"/>
        <v>0</v>
      </c>
      <c r="AO46" s="34" t="s">
        <v>236</v>
      </c>
      <c r="AP46" s="34" t="s">
        <v>242</v>
      </c>
      <c r="AQ46" s="25" t="s">
        <v>246</v>
      </c>
    </row>
    <row r="47" spans="1:37" ht="12.75">
      <c r="A47" s="4"/>
      <c r="B47" s="13" t="s">
        <v>65</v>
      </c>
      <c r="C47" s="13" t="s">
        <v>100</v>
      </c>
      <c r="D47" s="85" t="s">
        <v>165</v>
      </c>
      <c r="E47" s="86"/>
      <c r="F47" s="86"/>
      <c r="G47" s="86"/>
      <c r="H47" s="36">
        <f>SUM(H48:H67)</f>
        <v>0</v>
      </c>
      <c r="I47" s="36">
        <f>SUM(I48:I67)</f>
        <v>0</v>
      </c>
      <c r="J47" s="36">
        <f>H47+I47</f>
        <v>0</v>
      </c>
      <c r="K47" s="25"/>
      <c r="L47" s="36">
        <f>SUM(L48:L67)</f>
        <v>4.3272288</v>
      </c>
      <c r="M47" s="25"/>
      <c r="P47" s="36">
        <f>IF(Q47="PR",J47,SUM(O48:O67))</f>
        <v>0</v>
      </c>
      <c r="Q47" s="25" t="s">
        <v>225</v>
      </c>
      <c r="R47" s="36">
        <f>IF(Q47="HS",H47,0)</f>
        <v>0</v>
      </c>
      <c r="S47" s="36">
        <f>IF(Q47="HS",I47-P47,0)</f>
        <v>0</v>
      </c>
      <c r="T47" s="36">
        <f>IF(Q47="PS",H47,0)</f>
        <v>0</v>
      </c>
      <c r="U47" s="36">
        <f>IF(Q47="PS",I47-P47,0)</f>
        <v>0</v>
      </c>
      <c r="V47" s="36">
        <f>IF(Q47="MP",H47,0)</f>
        <v>0</v>
      </c>
      <c r="W47" s="36">
        <f>IF(Q47="MP",I47-P47,0)</f>
        <v>0</v>
      </c>
      <c r="X47" s="36">
        <f>IF(Q47="OM",H47,0)</f>
        <v>0</v>
      </c>
      <c r="Y47" s="25" t="s">
        <v>65</v>
      </c>
      <c r="AI47" s="36">
        <f>SUM(Z48:Z67)</f>
        <v>0</v>
      </c>
      <c r="AJ47" s="36">
        <f>SUM(AA48:AA67)</f>
        <v>0</v>
      </c>
      <c r="AK47" s="36">
        <f>SUM(AB48:AB67)</f>
        <v>0</v>
      </c>
    </row>
    <row r="48" spans="1:43" ht="12.75">
      <c r="A48" s="5" t="s">
        <v>38</v>
      </c>
      <c r="B48" s="5" t="s">
        <v>65</v>
      </c>
      <c r="C48" s="5" t="s">
        <v>101</v>
      </c>
      <c r="D48" s="5" t="s">
        <v>166</v>
      </c>
      <c r="E48" s="5" t="s">
        <v>198</v>
      </c>
      <c r="F48" s="16">
        <v>299</v>
      </c>
      <c r="G48" s="16">
        <v>0</v>
      </c>
      <c r="H48" s="16">
        <f aca="true" t="shared" si="12" ref="H48:H67">F48*AE48</f>
        <v>0</v>
      </c>
      <c r="I48" s="16">
        <f aca="true" t="shared" si="13" ref="I48:I67">J48-H48</f>
        <v>0</v>
      </c>
      <c r="J48" s="16">
        <f aca="true" t="shared" si="14" ref="J48:J67">F48*G48</f>
        <v>0</v>
      </c>
      <c r="K48" s="16">
        <v>1E-05</v>
      </c>
      <c r="L48" s="16">
        <f aca="true" t="shared" si="15" ref="L48:L67">F48*K48</f>
        <v>0.00299</v>
      </c>
      <c r="M48" s="28" t="s">
        <v>221</v>
      </c>
      <c r="N48" s="28" t="s">
        <v>7</v>
      </c>
      <c r="O48" s="16">
        <f aca="true" t="shared" si="16" ref="O48:O67">IF(N48="5",I48,0)</f>
        <v>0</v>
      </c>
      <c r="Z48" s="16">
        <f aca="true" t="shared" si="17" ref="Z48:Z67">IF(AD48=0,J48,0)</f>
        <v>0</v>
      </c>
      <c r="AA48" s="16">
        <f aca="true" t="shared" si="18" ref="AA48:AA67">IF(AD48=15,J48,0)</f>
        <v>0</v>
      </c>
      <c r="AB48" s="16">
        <f aca="true" t="shared" si="19" ref="AB48:AB67">IF(AD48=21,J48,0)</f>
        <v>0</v>
      </c>
      <c r="AD48" s="33">
        <v>21</v>
      </c>
      <c r="AE48" s="33">
        <f>G48*0.03</f>
        <v>0</v>
      </c>
      <c r="AF48" s="33">
        <f>G48*(1-0.03)</f>
        <v>0</v>
      </c>
      <c r="AM48" s="33">
        <f aca="true" t="shared" si="20" ref="AM48:AM67">F48*AE48</f>
        <v>0</v>
      </c>
      <c r="AN48" s="33">
        <f aca="true" t="shared" si="21" ref="AN48:AN67">F48*AF48</f>
        <v>0</v>
      </c>
      <c r="AO48" s="34" t="s">
        <v>237</v>
      </c>
      <c r="AP48" s="34" t="s">
        <v>242</v>
      </c>
      <c r="AQ48" s="25" t="s">
        <v>246</v>
      </c>
    </row>
    <row r="49" spans="1:43" ht="12.75">
      <c r="A49" s="6" t="s">
        <v>39</v>
      </c>
      <c r="B49" s="6" t="s">
        <v>65</v>
      </c>
      <c r="C49" s="6" t="s">
        <v>102</v>
      </c>
      <c r="D49" s="6" t="s">
        <v>167</v>
      </c>
      <c r="E49" s="6" t="s">
        <v>198</v>
      </c>
      <c r="F49" s="17">
        <v>450</v>
      </c>
      <c r="G49" s="17">
        <v>0</v>
      </c>
      <c r="H49" s="17">
        <f t="shared" si="12"/>
        <v>0</v>
      </c>
      <c r="I49" s="17">
        <f t="shared" si="13"/>
        <v>0</v>
      </c>
      <c r="J49" s="17">
        <f t="shared" si="14"/>
        <v>0</v>
      </c>
      <c r="K49" s="17">
        <v>0.0015</v>
      </c>
      <c r="L49" s="17">
        <f t="shared" si="15"/>
        <v>0.675</v>
      </c>
      <c r="M49" s="29" t="s">
        <v>221</v>
      </c>
      <c r="N49" s="29" t="s">
        <v>222</v>
      </c>
      <c r="O49" s="17">
        <f t="shared" si="16"/>
        <v>0</v>
      </c>
      <c r="Z49" s="17">
        <f t="shared" si="17"/>
        <v>0</v>
      </c>
      <c r="AA49" s="17">
        <f t="shared" si="18"/>
        <v>0</v>
      </c>
      <c r="AB49" s="17">
        <f t="shared" si="19"/>
        <v>0</v>
      </c>
      <c r="AD49" s="33">
        <v>21</v>
      </c>
      <c r="AE49" s="33">
        <f>G49*1</f>
        <v>0</v>
      </c>
      <c r="AF49" s="33">
        <f>G49*(1-1)</f>
        <v>0</v>
      </c>
      <c r="AM49" s="33">
        <f t="shared" si="20"/>
        <v>0</v>
      </c>
      <c r="AN49" s="33">
        <f t="shared" si="21"/>
        <v>0</v>
      </c>
      <c r="AO49" s="34" t="s">
        <v>237</v>
      </c>
      <c r="AP49" s="34" t="s">
        <v>242</v>
      </c>
      <c r="AQ49" s="25" t="s">
        <v>246</v>
      </c>
    </row>
    <row r="50" spans="1:43" ht="12.75">
      <c r="A50" s="5" t="s">
        <v>40</v>
      </c>
      <c r="B50" s="5" t="s">
        <v>65</v>
      </c>
      <c r="C50" s="5" t="s">
        <v>103</v>
      </c>
      <c r="D50" s="5" t="s">
        <v>293</v>
      </c>
      <c r="E50" s="5" t="s">
        <v>198</v>
      </c>
      <c r="F50" s="16">
        <v>223</v>
      </c>
      <c r="G50" s="16">
        <v>0</v>
      </c>
      <c r="H50" s="16">
        <f t="shared" si="12"/>
        <v>0</v>
      </c>
      <c r="I50" s="16">
        <f t="shared" si="13"/>
        <v>0</v>
      </c>
      <c r="J50" s="16">
        <f t="shared" si="14"/>
        <v>0</v>
      </c>
      <c r="K50" s="16">
        <v>0.01403</v>
      </c>
      <c r="L50" s="16">
        <f t="shared" si="15"/>
        <v>3.12869</v>
      </c>
      <c r="M50" s="28" t="s">
        <v>221</v>
      </c>
      <c r="N50" s="28" t="s">
        <v>7</v>
      </c>
      <c r="O50" s="16">
        <f t="shared" si="16"/>
        <v>0</v>
      </c>
      <c r="Z50" s="16">
        <f t="shared" si="17"/>
        <v>0</v>
      </c>
      <c r="AA50" s="16">
        <f t="shared" si="18"/>
        <v>0</v>
      </c>
      <c r="AB50" s="16">
        <f t="shared" si="19"/>
        <v>0</v>
      </c>
      <c r="AD50" s="33">
        <v>21</v>
      </c>
      <c r="AE50" s="33">
        <f>G50*0.623874213836478</f>
        <v>0</v>
      </c>
      <c r="AF50" s="33">
        <f>G50*(1-0.623874213836478)</f>
        <v>0</v>
      </c>
      <c r="AM50" s="33">
        <f t="shared" si="20"/>
        <v>0</v>
      </c>
      <c r="AN50" s="33">
        <f t="shared" si="21"/>
        <v>0</v>
      </c>
      <c r="AO50" s="34" t="s">
        <v>237</v>
      </c>
      <c r="AP50" s="34" t="s">
        <v>242</v>
      </c>
      <c r="AQ50" s="25" t="s">
        <v>246</v>
      </c>
    </row>
    <row r="51" spans="1:43" ht="12.75">
      <c r="A51" s="5" t="s">
        <v>41</v>
      </c>
      <c r="B51" s="5" t="s">
        <v>65</v>
      </c>
      <c r="C51" s="5" t="s">
        <v>104</v>
      </c>
      <c r="D51" s="5" t="s">
        <v>168</v>
      </c>
      <c r="E51" s="5" t="s">
        <v>198</v>
      </c>
      <c r="F51" s="16">
        <v>223</v>
      </c>
      <c r="G51" s="16">
        <v>0</v>
      </c>
      <c r="H51" s="16">
        <f t="shared" si="12"/>
        <v>0</v>
      </c>
      <c r="I51" s="16">
        <f t="shared" si="13"/>
        <v>0</v>
      </c>
      <c r="J51" s="16">
        <f t="shared" si="14"/>
        <v>0</v>
      </c>
      <c r="K51" s="16">
        <v>0</v>
      </c>
      <c r="L51" s="16">
        <f t="shared" si="15"/>
        <v>0</v>
      </c>
      <c r="M51" s="28" t="s">
        <v>221</v>
      </c>
      <c r="N51" s="28" t="s">
        <v>7</v>
      </c>
      <c r="O51" s="16">
        <f t="shared" si="16"/>
        <v>0</v>
      </c>
      <c r="Z51" s="16">
        <f t="shared" si="17"/>
        <v>0</v>
      </c>
      <c r="AA51" s="16">
        <f t="shared" si="18"/>
        <v>0</v>
      </c>
      <c r="AB51" s="16">
        <f t="shared" si="19"/>
        <v>0</v>
      </c>
      <c r="AD51" s="33">
        <v>21</v>
      </c>
      <c r="AE51" s="33">
        <f>G51*0</f>
        <v>0</v>
      </c>
      <c r="AF51" s="33">
        <f>G51*(1-0)</f>
        <v>0</v>
      </c>
      <c r="AM51" s="33">
        <f t="shared" si="20"/>
        <v>0</v>
      </c>
      <c r="AN51" s="33">
        <f t="shared" si="21"/>
        <v>0</v>
      </c>
      <c r="AO51" s="34" t="s">
        <v>237</v>
      </c>
      <c r="AP51" s="34" t="s">
        <v>242</v>
      </c>
      <c r="AQ51" s="25" t="s">
        <v>246</v>
      </c>
    </row>
    <row r="52" spans="1:43" ht="12.75">
      <c r="A52" s="5" t="s">
        <v>42</v>
      </c>
      <c r="B52" s="5" t="s">
        <v>65</v>
      </c>
      <c r="C52" s="5" t="s">
        <v>105</v>
      </c>
      <c r="D52" s="5" t="s">
        <v>169</v>
      </c>
      <c r="E52" s="5" t="s">
        <v>199</v>
      </c>
      <c r="F52" s="16">
        <v>57.96</v>
      </c>
      <c r="G52" s="16">
        <v>0</v>
      </c>
      <c r="H52" s="16">
        <f t="shared" si="12"/>
        <v>0</v>
      </c>
      <c r="I52" s="16">
        <f t="shared" si="13"/>
        <v>0</v>
      </c>
      <c r="J52" s="16">
        <f t="shared" si="14"/>
        <v>0</v>
      </c>
      <c r="K52" s="16">
        <v>0.00307</v>
      </c>
      <c r="L52" s="16">
        <f t="shared" si="15"/>
        <v>0.1779372</v>
      </c>
      <c r="M52" s="28" t="s">
        <v>221</v>
      </c>
      <c r="N52" s="28" t="s">
        <v>7</v>
      </c>
      <c r="O52" s="16">
        <f t="shared" si="16"/>
        <v>0</v>
      </c>
      <c r="Z52" s="16">
        <f t="shared" si="17"/>
        <v>0</v>
      </c>
      <c r="AA52" s="16">
        <f t="shared" si="18"/>
        <v>0</v>
      </c>
      <c r="AB52" s="16">
        <f t="shared" si="19"/>
        <v>0</v>
      </c>
      <c r="AD52" s="33">
        <v>21</v>
      </c>
      <c r="AE52" s="33">
        <f>G52*0.446363636363636</f>
        <v>0</v>
      </c>
      <c r="AF52" s="33">
        <f>G52*(1-0.446363636363636)</f>
        <v>0</v>
      </c>
      <c r="AM52" s="33">
        <f t="shared" si="20"/>
        <v>0</v>
      </c>
      <c r="AN52" s="33">
        <f t="shared" si="21"/>
        <v>0</v>
      </c>
      <c r="AO52" s="34" t="s">
        <v>237</v>
      </c>
      <c r="AP52" s="34" t="s">
        <v>242</v>
      </c>
      <c r="AQ52" s="25" t="s">
        <v>246</v>
      </c>
    </row>
    <row r="53" spans="1:43" ht="12.75">
      <c r="A53" s="5" t="s">
        <v>43</v>
      </c>
      <c r="B53" s="5" t="s">
        <v>65</v>
      </c>
      <c r="C53" s="5" t="s">
        <v>106</v>
      </c>
      <c r="D53" s="5" t="s">
        <v>170</v>
      </c>
      <c r="E53" s="5" t="s">
        <v>201</v>
      </c>
      <c r="F53" s="16">
        <v>24</v>
      </c>
      <c r="G53" s="16">
        <v>0</v>
      </c>
      <c r="H53" s="16">
        <f t="shared" si="12"/>
        <v>0</v>
      </c>
      <c r="I53" s="16">
        <f t="shared" si="13"/>
        <v>0</v>
      </c>
      <c r="J53" s="16">
        <f t="shared" si="14"/>
        <v>0</v>
      </c>
      <c r="K53" s="16">
        <v>0.00121</v>
      </c>
      <c r="L53" s="16">
        <f t="shared" si="15"/>
        <v>0.029039999999999996</v>
      </c>
      <c r="M53" s="28" t="s">
        <v>221</v>
      </c>
      <c r="N53" s="28" t="s">
        <v>7</v>
      </c>
      <c r="O53" s="16">
        <f t="shared" si="16"/>
        <v>0</v>
      </c>
      <c r="Z53" s="16">
        <f t="shared" si="17"/>
        <v>0</v>
      </c>
      <c r="AA53" s="16">
        <f t="shared" si="18"/>
        <v>0</v>
      </c>
      <c r="AB53" s="16">
        <f t="shared" si="19"/>
        <v>0</v>
      </c>
      <c r="AD53" s="33">
        <v>21</v>
      </c>
      <c r="AE53" s="33">
        <f>G53*0.835051546391753</f>
        <v>0</v>
      </c>
      <c r="AF53" s="33">
        <f>G53*(1-0.835051546391753)</f>
        <v>0</v>
      </c>
      <c r="AM53" s="33">
        <f t="shared" si="20"/>
        <v>0</v>
      </c>
      <c r="AN53" s="33">
        <f t="shared" si="21"/>
        <v>0</v>
      </c>
      <c r="AO53" s="34" t="s">
        <v>237</v>
      </c>
      <c r="AP53" s="34" t="s">
        <v>242</v>
      </c>
      <c r="AQ53" s="25" t="s">
        <v>246</v>
      </c>
    </row>
    <row r="54" spans="1:43" ht="12.75">
      <c r="A54" s="5" t="s">
        <v>44</v>
      </c>
      <c r="B54" s="5" t="s">
        <v>65</v>
      </c>
      <c r="C54" s="5" t="s">
        <v>107</v>
      </c>
      <c r="D54" s="5" t="s">
        <v>171</v>
      </c>
      <c r="E54" s="5" t="s">
        <v>201</v>
      </c>
      <c r="F54" s="16">
        <v>1</v>
      </c>
      <c r="G54" s="16">
        <v>0</v>
      </c>
      <c r="H54" s="16">
        <f t="shared" si="12"/>
        <v>0</v>
      </c>
      <c r="I54" s="16">
        <f t="shared" si="13"/>
        <v>0</v>
      </c>
      <c r="J54" s="16">
        <f t="shared" si="14"/>
        <v>0</v>
      </c>
      <c r="K54" s="16">
        <v>0.00021</v>
      </c>
      <c r="L54" s="16">
        <f t="shared" si="15"/>
        <v>0.00021</v>
      </c>
      <c r="M54" s="28" t="s">
        <v>221</v>
      </c>
      <c r="N54" s="28" t="s">
        <v>7</v>
      </c>
      <c r="O54" s="16">
        <f t="shared" si="16"/>
        <v>0</v>
      </c>
      <c r="Z54" s="16">
        <f t="shared" si="17"/>
        <v>0</v>
      </c>
      <c r="AA54" s="16">
        <f t="shared" si="18"/>
        <v>0</v>
      </c>
      <c r="AB54" s="16">
        <f t="shared" si="19"/>
        <v>0</v>
      </c>
      <c r="AD54" s="33">
        <v>21</v>
      </c>
      <c r="AE54" s="33">
        <f>G54*0.890566037735849</f>
        <v>0</v>
      </c>
      <c r="AF54" s="33">
        <f>G54*(1-0.890566037735849)</f>
        <v>0</v>
      </c>
      <c r="AM54" s="33">
        <f t="shared" si="20"/>
        <v>0</v>
      </c>
      <c r="AN54" s="33">
        <f t="shared" si="21"/>
        <v>0</v>
      </c>
      <c r="AO54" s="34" t="s">
        <v>237</v>
      </c>
      <c r="AP54" s="34" t="s">
        <v>242</v>
      </c>
      <c r="AQ54" s="25" t="s">
        <v>246</v>
      </c>
    </row>
    <row r="55" spans="1:43" ht="12.75">
      <c r="A55" s="5" t="s">
        <v>45</v>
      </c>
      <c r="B55" s="5" t="s">
        <v>65</v>
      </c>
      <c r="C55" s="5" t="s">
        <v>108</v>
      </c>
      <c r="D55" s="5" t="s">
        <v>172</v>
      </c>
      <c r="E55" s="5" t="s">
        <v>199</v>
      </c>
      <c r="F55" s="16">
        <v>57.96</v>
      </c>
      <c r="G55" s="16">
        <v>0</v>
      </c>
      <c r="H55" s="16">
        <f t="shared" si="12"/>
        <v>0</v>
      </c>
      <c r="I55" s="16">
        <f t="shared" si="13"/>
        <v>0</v>
      </c>
      <c r="J55" s="16">
        <f t="shared" si="14"/>
        <v>0</v>
      </c>
      <c r="K55" s="16">
        <v>0.00021</v>
      </c>
      <c r="L55" s="16">
        <f t="shared" si="15"/>
        <v>0.012171600000000001</v>
      </c>
      <c r="M55" s="28" t="s">
        <v>221</v>
      </c>
      <c r="N55" s="28" t="s">
        <v>7</v>
      </c>
      <c r="O55" s="16">
        <f t="shared" si="16"/>
        <v>0</v>
      </c>
      <c r="Z55" s="16">
        <f t="shared" si="17"/>
        <v>0</v>
      </c>
      <c r="AA55" s="16">
        <f t="shared" si="18"/>
        <v>0</v>
      </c>
      <c r="AB55" s="16">
        <f t="shared" si="19"/>
        <v>0</v>
      </c>
      <c r="AD55" s="33">
        <v>21</v>
      </c>
      <c r="AE55" s="33">
        <f>G55*0.784121621621622</f>
        <v>0</v>
      </c>
      <c r="AF55" s="33">
        <f>G55*(1-0.784121621621622)</f>
        <v>0</v>
      </c>
      <c r="AM55" s="33">
        <f t="shared" si="20"/>
        <v>0</v>
      </c>
      <c r="AN55" s="33">
        <f t="shared" si="21"/>
        <v>0</v>
      </c>
      <c r="AO55" s="34" t="s">
        <v>237</v>
      </c>
      <c r="AP55" s="34" t="s">
        <v>242</v>
      </c>
      <c r="AQ55" s="25" t="s">
        <v>246</v>
      </c>
    </row>
    <row r="56" spans="1:43" ht="12.75">
      <c r="A56" s="5" t="s">
        <v>46</v>
      </c>
      <c r="B56" s="5" t="s">
        <v>65</v>
      </c>
      <c r="C56" s="5" t="s">
        <v>109</v>
      </c>
      <c r="D56" s="5" t="s">
        <v>173</v>
      </c>
      <c r="E56" s="5" t="s">
        <v>201</v>
      </c>
      <c r="F56" s="16">
        <v>81</v>
      </c>
      <c r="G56" s="16">
        <v>0</v>
      </c>
      <c r="H56" s="16">
        <f t="shared" si="12"/>
        <v>0</v>
      </c>
      <c r="I56" s="16">
        <f t="shared" si="13"/>
        <v>0</v>
      </c>
      <c r="J56" s="16">
        <f t="shared" si="14"/>
        <v>0</v>
      </c>
      <c r="K56" s="16">
        <v>0.00021</v>
      </c>
      <c r="L56" s="16">
        <f t="shared" si="15"/>
        <v>0.01701</v>
      </c>
      <c r="M56" s="28" t="s">
        <v>221</v>
      </c>
      <c r="N56" s="28" t="s">
        <v>7</v>
      </c>
      <c r="O56" s="16">
        <f t="shared" si="16"/>
        <v>0</v>
      </c>
      <c r="Z56" s="16">
        <f t="shared" si="17"/>
        <v>0</v>
      </c>
      <c r="AA56" s="16">
        <f t="shared" si="18"/>
        <v>0</v>
      </c>
      <c r="AB56" s="16">
        <f t="shared" si="19"/>
        <v>0</v>
      </c>
      <c r="AD56" s="33">
        <v>21</v>
      </c>
      <c r="AE56" s="33">
        <f>G56*0</f>
        <v>0</v>
      </c>
      <c r="AF56" s="33">
        <f>G56*(1-0)</f>
        <v>0</v>
      </c>
      <c r="AM56" s="33">
        <f t="shared" si="20"/>
        <v>0</v>
      </c>
      <c r="AN56" s="33">
        <f t="shared" si="21"/>
        <v>0</v>
      </c>
      <c r="AO56" s="34" t="s">
        <v>237</v>
      </c>
      <c r="AP56" s="34" t="s">
        <v>242</v>
      </c>
      <c r="AQ56" s="25" t="s">
        <v>246</v>
      </c>
    </row>
    <row r="57" spans="1:43" ht="12.75">
      <c r="A57" s="5" t="s">
        <v>47</v>
      </c>
      <c r="B57" s="5" t="s">
        <v>65</v>
      </c>
      <c r="C57" s="5" t="s">
        <v>110</v>
      </c>
      <c r="D57" s="5" t="s">
        <v>174</v>
      </c>
      <c r="E57" s="5" t="s">
        <v>201</v>
      </c>
      <c r="F57" s="16">
        <v>1</v>
      </c>
      <c r="G57" s="16">
        <v>0</v>
      </c>
      <c r="H57" s="16">
        <f t="shared" si="12"/>
        <v>0</v>
      </c>
      <c r="I57" s="16">
        <f t="shared" si="13"/>
        <v>0</v>
      </c>
      <c r="J57" s="16">
        <f t="shared" si="14"/>
        <v>0</v>
      </c>
      <c r="K57" s="16">
        <v>0.00663</v>
      </c>
      <c r="L57" s="16">
        <f t="shared" si="15"/>
        <v>0.00663</v>
      </c>
      <c r="M57" s="28" t="s">
        <v>221</v>
      </c>
      <c r="N57" s="28" t="s">
        <v>7</v>
      </c>
      <c r="O57" s="16">
        <f t="shared" si="16"/>
        <v>0</v>
      </c>
      <c r="Z57" s="16">
        <f t="shared" si="17"/>
        <v>0</v>
      </c>
      <c r="AA57" s="16">
        <f t="shared" si="18"/>
        <v>0</v>
      </c>
      <c r="AB57" s="16">
        <f t="shared" si="19"/>
        <v>0</v>
      </c>
      <c r="AD57" s="33">
        <v>21</v>
      </c>
      <c r="AE57" s="33">
        <f>G57*0.956204878048781</f>
        <v>0</v>
      </c>
      <c r="AF57" s="33">
        <f>G57*(1-0.956204878048781)</f>
        <v>0</v>
      </c>
      <c r="AM57" s="33">
        <f t="shared" si="20"/>
        <v>0</v>
      </c>
      <c r="AN57" s="33">
        <f t="shared" si="21"/>
        <v>0</v>
      </c>
      <c r="AO57" s="34" t="s">
        <v>237</v>
      </c>
      <c r="AP57" s="34" t="s">
        <v>242</v>
      </c>
      <c r="AQ57" s="25" t="s">
        <v>246</v>
      </c>
    </row>
    <row r="58" spans="1:43" ht="12.75">
      <c r="A58" s="5" t="s">
        <v>48</v>
      </c>
      <c r="B58" s="5" t="s">
        <v>65</v>
      </c>
      <c r="C58" s="5" t="s">
        <v>111</v>
      </c>
      <c r="D58" s="5" t="s">
        <v>175</v>
      </c>
      <c r="E58" s="5" t="s">
        <v>201</v>
      </c>
      <c r="F58" s="16">
        <v>3</v>
      </c>
      <c r="G58" s="16">
        <v>0</v>
      </c>
      <c r="H58" s="16">
        <f t="shared" si="12"/>
        <v>0</v>
      </c>
      <c r="I58" s="16">
        <f t="shared" si="13"/>
        <v>0</v>
      </c>
      <c r="J58" s="16">
        <f t="shared" si="14"/>
        <v>0</v>
      </c>
      <c r="K58" s="16">
        <v>0.00588</v>
      </c>
      <c r="L58" s="16">
        <f t="shared" si="15"/>
        <v>0.01764</v>
      </c>
      <c r="M58" s="28" t="s">
        <v>221</v>
      </c>
      <c r="N58" s="28" t="s">
        <v>7</v>
      </c>
      <c r="O58" s="16">
        <f t="shared" si="16"/>
        <v>0</v>
      </c>
      <c r="Z58" s="16">
        <f t="shared" si="17"/>
        <v>0</v>
      </c>
      <c r="AA58" s="16">
        <f t="shared" si="18"/>
        <v>0</v>
      </c>
      <c r="AB58" s="16">
        <f t="shared" si="19"/>
        <v>0</v>
      </c>
      <c r="AD58" s="33">
        <v>21</v>
      </c>
      <c r="AE58" s="33">
        <f>G58*0.979816197587593</f>
        <v>0</v>
      </c>
      <c r="AF58" s="33">
        <f>G58*(1-0.979816197587593)</f>
        <v>0</v>
      </c>
      <c r="AM58" s="33">
        <f t="shared" si="20"/>
        <v>0</v>
      </c>
      <c r="AN58" s="33">
        <f t="shared" si="21"/>
        <v>0</v>
      </c>
      <c r="AO58" s="34" t="s">
        <v>237</v>
      </c>
      <c r="AP58" s="34" t="s">
        <v>242</v>
      </c>
      <c r="AQ58" s="25" t="s">
        <v>246</v>
      </c>
    </row>
    <row r="59" spans="1:43" ht="12.75">
      <c r="A59" s="5" t="s">
        <v>49</v>
      </c>
      <c r="B59" s="5" t="s">
        <v>65</v>
      </c>
      <c r="C59" s="5" t="s">
        <v>112</v>
      </c>
      <c r="D59" s="5" t="s">
        <v>176</v>
      </c>
      <c r="E59" s="5" t="s">
        <v>199</v>
      </c>
      <c r="F59" s="16">
        <v>13</v>
      </c>
      <c r="G59" s="16">
        <v>0</v>
      </c>
      <c r="H59" s="16">
        <f t="shared" si="12"/>
        <v>0</v>
      </c>
      <c r="I59" s="16">
        <f t="shared" si="13"/>
        <v>0</v>
      </c>
      <c r="J59" s="16">
        <f t="shared" si="14"/>
        <v>0</v>
      </c>
      <c r="K59" s="16">
        <v>0.00256</v>
      </c>
      <c r="L59" s="16">
        <f t="shared" si="15"/>
        <v>0.033280000000000004</v>
      </c>
      <c r="M59" s="28" t="s">
        <v>221</v>
      </c>
      <c r="N59" s="28" t="s">
        <v>7</v>
      </c>
      <c r="O59" s="16">
        <f t="shared" si="16"/>
        <v>0</v>
      </c>
      <c r="Z59" s="16">
        <f t="shared" si="17"/>
        <v>0</v>
      </c>
      <c r="AA59" s="16">
        <f t="shared" si="18"/>
        <v>0</v>
      </c>
      <c r="AB59" s="16">
        <f t="shared" si="19"/>
        <v>0</v>
      </c>
      <c r="AD59" s="33">
        <v>21</v>
      </c>
      <c r="AE59" s="33">
        <f>G59*0.891004081632653</f>
        <v>0</v>
      </c>
      <c r="AF59" s="33">
        <f>G59*(1-0.891004081632653)</f>
        <v>0</v>
      </c>
      <c r="AM59" s="33">
        <f t="shared" si="20"/>
        <v>0</v>
      </c>
      <c r="AN59" s="33">
        <f t="shared" si="21"/>
        <v>0</v>
      </c>
      <c r="AO59" s="34" t="s">
        <v>237</v>
      </c>
      <c r="AP59" s="34" t="s">
        <v>242</v>
      </c>
      <c r="AQ59" s="25" t="s">
        <v>246</v>
      </c>
    </row>
    <row r="60" spans="1:43" ht="12.75">
      <c r="A60" s="5" t="s">
        <v>50</v>
      </c>
      <c r="B60" s="5" t="s">
        <v>65</v>
      </c>
      <c r="C60" s="5" t="s">
        <v>113</v>
      </c>
      <c r="D60" s="5" t="s">
        <v>177</v>
      </c>
      <c r="E60" s="5" t="s">
        <v>199</v>
      </c>
      <c r="F60" s="16">
        <v>13</v>
      </c>
      <c r="G60" s="16">
        <v>0</v>
      </c>
      <c r="H60" s="16">
        <f t="shared" si="12"/>
        <v>0</v>
      </c>
      <c r="I60" s="16">
        <f t="shared" si="13"/>
        <v>0</v>
      </c>
      <c r="J60" s="16">
        <f t="shared" si="14"/>
        <v>0</v>
      </c>
      <c r="K60" s="16">
        <v>0</v>
      </c>
      <c r="L60" s="16">
        <f t="shared" si="15"/>
        <v>0</v>
      </c>
      <c r="M60" s="28" t="s">
        <v>221</v>
      </c>
      <c r="N60" s="28" t="s">
        <v>7</v>
      </c>
      <c r="O60" s="16">
        <f t="shared" si="16"/>
        <v>0</v>
      </c>
      <c r="Z60" s="16">
        <f t="shared" si="17"/>
        <v>0</v>
      </c>
      <c r="AA60" s="16">
        <f t="shared" si="18"/>
        <v>0</v>
      </c>
      <c r="AB60" s="16">
        <f t="shared" si="19"/>
        <v>0</v>
      </c>
      <c r="AD60" s="33">
        <v>21</v>
      </c>
      <c r="AE60" s="33">
        <f>G60*0</f>
        <v>0</v>
      </c>
      <c r="AF60" s="33">
        <f>G60*(1-0)</f>
        <v>0</v>
      </c>
      <c r="AM60" s="33">
        <f t="shared" si="20"/>
        <v>0</v>
      </c>
      <c r="AN60" s="33">
        <f t="shared" si="21"/>
        <v>0</v>
      </c>
      <c r="AO60" s="34" t="s">
        <v>237</v>
      </c>
      <c r="AP60" s="34" t="s">
        <v>242</v>
      </c>
      <c r="AQ60" s="25" t="s">
        <v>246</v>
      </c>
    </row>
    <row r="61" spans="1:43" ht="12.75">
      <c r="A61" s="5" t="s">
        <v>51</v>
      </c>
      <c r="B61" s="5" t="s">
        <v>65</v>
      </c>
      <c r="C61" s="5" t="s">
        <v>114</v>
      </c>
      <c r="D61" s="5" t="s">
        <v>178</v>
      </c>
      <c r="E61" s="5" t="s">
        <v>199</v>
      </c>
      <c r="F61" s="16">
        <v>71</v>
      </c>
      <c r="G61" s="16">
        <v>0</v>
      </c>
      <c r="H61" s="16">
        <f t="shared" si="12"/>
        <v>0</v>
      </c>
      <c r="I61" s="16">
        <f t="shared" si="13"/>
        <v>0</v>
      </c>
      <c r="J61" s="16">
        <f t="shared" si="14"/>
        <v>0</v>
      </c>
      <c r="K61" s="16">
        <v>0.00257</v>
      </c>
      <c r="L61" s="16">
        <f t="shared" si="15"/>
        <v>0.18247</v>
      </c>
      <c r="M61" s="28" t="s">
        <v>221</v>
      </c>
      <c r="N61" s="28" t="s">
        <v>7</v>
      </c>
      <c r="O61" s="16">
        <f t="shared" si="16"/>
        <v>0</v>
      </c>
      <c r="Z61" s="16">
        <f t="shared" si="17"/>
        <v>0</v>
      </c>
      <c r="AA61" s="16">
        <f t="shared" si="18"/>
        <v>0</v>
      </c>
      <c r="AB61" s="16">
        <f t="shared" si="19"/>
        <v>0</v>
      </c>
      <c r="AD61" s="33">
        <v>21</v>
      </c>
      <c r="AE61" s="33">
        <f>G61*0.667032520325203</f>
        <v>0</v>
      </c>
      <c r="AF61" s="33">
        <f>G61*(1-0.667032520325203)</f>
        <v>0</v>
      </c>
      <c r="AM61" s="33">
        <f t="shared" si="20"/>
        <v>0</v>
      </c>
      <c r="AN61" s="33">
        <f t="shared" si="21"/>
        <v>0</v>
      </c>
      <c r="AO61" s="34" t="s">
        <v>237</v>
      </c>
      <c r="AP61" s="34" t="s">
        <v>242</v>
      </c>
      <c r="AQ61" s="25" t="s">
        <v>246</v>
      </c>
    </row>
    <row r="62" spans="1:43" ht="12.75">
      <c r="A62" s="5" t="s">
        <v>52</v>
      </c>
      <c r="B62" s="5" t="s">
        <v>65</v>
      </c>
      <c r="C62" s="5" t="s">
        <v>115</v>
      </c>
      <c r="D62" s="5" t="s">
        <v>179</v>
      </c>
      <c r="E62" s="5" t="s">
        <v>199</v>
      </c>
      <c r="F62" s="16">
        <v>43</v>
      </c>
      <c r="G62" s="16">
        <v>0</v>
      </c>
      <c r="H62" s="16">
        <f t="shared" si="12"/>
        <v>0</v>
      </c>
      <c r="I62" s="16">
        <f t="shared" si="13"/>
        <v>0</v>
      </c>
      <c r="J62" s="16">
        <f t="shared" si="14"/>
        <v>0</v>
      </c>
      <c r="K62" s="16">
        <v>0</v>
      </c>
      <c r="L62" s="16">
        <f t="shared" si="15"/>
        <v>0</v>
      </c>
      <c r="M62" s="28" t="s">
        <v>221</v>
      </c>
      <c r="N62" s="28" t="s">
        <v>7</v>
      </c>
      <c r="O62" s="16">
        <f t="shared" si="16"/>
        <v>0</v>
      </c>
      <c r="Z62" s="16">
        <f t="shared" si="17"/>
        <v>0</v>
      </c>
      <c r="AA62" s="16">
        <f t="shared" si="18"/>
        <v>0</v>
      </c>
      <c r="AB62" s="16">
        <f t="shared" si="19"/>
        <v>0</v>
      </c>
      <c r="AD62" s="33">
        <v>21</v>
      </c>
      <c r="AE62" s="33">
        <f>G62*0</f>
        <v>0</v>
      </c>
      <c r="AF62" s="33">
        <f>G62*(1-0)</f>
        <v>0</v>
      </c>
      <c r="AM62" s="33">
        <f t="shared" si="20"/>
        <v>0</v>
      </c>
      <c r="AN62" s="33">
        <f t="shared" si="21"/>
        <v>0</v>
      </c>
      <c r="AO62" s="34" t="s">
        <v>237</v>
      </c>
      <c r="AP62" s="34" t="s">
        <v>242</v>
      </c>
      <c r="AQ62" s="25" t="s">
        <v>246</v>
      </c>
    </row>
    <row r="63" spans="1:43" ht="12.75">
      <c r="A63" s="5" t="s">
        <v>53</v>
      </c>
      <c r="B63" s="5" t="s">
        <v>65</v>
      </c>
      <c r="C63" s="5" t="s">
        <v>116</v>
      </c>
      <c r="D63" s="5" t="s">
        <v>180</v>
      </c>
      <c r="E63" s="5" t="s">
        <v>201</v>
      </c>
      <c r="F63" s="16">
        <v>1</v>
      </c>
      <c r="G63" s="16">
        <v>0</v>
      </c>
      <c r="H63" s="16">
        <f t="shared" si="12"/>
        <v>0</v>
      </c>
      <c r="I63" s="16">
        <f t="shared" si="13"/>
        <v>0</v>
      </c>
      <c r="J63" s="16">
        <f t="shared" si="14"/>
        <v>0</v>
      </c>
      <c r="K63" s="16">
        <v>0</v>
      </c>
      <c r="L63" s="16">
        <f t="shared" si="15"/>
        <v>0</v>
      </c>
      <c r="M63" s="28" t="s">
        <v>221</v>
      </c>
      <c r="N63" s="28" t="s">
        <v>7</v>
      </c>
      <c r="O63" s="16">
        <f t="shared" si="16"/>
        <v>0</v>
      </c>
      <c r="Z63" s="16">
        <f t="shared" si="17"/>
        <v>0</v>
      </c>
      <c r="AA63" s="16">
        <f t="shared" si="18"/>
        <v>0</v>
      </c>
      <c r="AB63" s="16">
        <f t="shared" si="19"/>
        <v>0</v>
      </c>
      <c r="AD63" s="33">
        <v>21</v>
      </c>
      <c r="AE63" s="33">
        <f>G63*0</f>
        <v>0</v>
      </c>
      <c r="AF63" s="33">
        <f>G63*(1-0)</f>
        <v>0</v>
      </c>
      <c r="AM63" s="33">
        <f t="shared" si="20"/>
        <v>0</v>
      </c>
      <c r="AN63" s="33">
        <f t="shared" si="21"/>
        <v>0</v>
      </c>
      <c r="AO63" s="34" t="s">
        <v>237</v>
      </c>
      <c r="AP63" s="34" t="s">
        <v>242</v>
      </c>
      <c r="AQ63" s="25" t="s">
        <v>246</v>
      </c>
    </row>
    <row r="64" spans="1:43" ht="12.75">
      <c r="A64" s="6" t="s">
        <v>54</v>
      </c>
      <c r="B64" s="6" t="s">
        <v>65</v>
      </c>
      <c r="C64" s="6" t="s">
        <v>117</v>
      </c>
      <c r="D64" s="6" t="s">
        <v>181</v>
      </c>
      <c r="E64" s="6" t="s">
        <v>201</v>
      </c>
      <c r="F64" s="17">
        <v>1</v>
      </c>
      <c r="G64" s="17">
        <v>0</v>
      </c>
      <c r="H64" s="17">
        <f t="shared" si="12"/>
        <v>0</v>
      </c>
      <c r="I64" s="17">
        <f t="shared" si="13"/>
        <v>0</v>
      </c>
      <c r="J64" s="17">
        <f t="shared" si="14"/>
        <v>0</v>
      </c>
      <c r="K64" s="17">
        <v>0.0337</v>
      </c>
      <c r="L64" s="17">
        <f t="shared" si="15"/>
        <v>0.0337</v>
      </c>
      <c r="M64" s="29" t="s">
        <v>221</v>
      </c>
      <c r="N64" s="29" t="s">
        <v>222</v>
      </c>
      <c r="O64" s="17">
        <f t="shared" si="16"/>
        <v>0</v>
      </c>
      <c r="Z64" s="17">
        <f t="shared" si="17"/>
        <v>0</v>
      </c>
      <c r="AA64" s="17">
        <f t="shared" si="18"/>
        <v>0</v>
      </c>
      <c r="AB64" s="17">
        <f t="shared" si="19"/>
        <v>0</v>
      </c>
      <c r="AD64" s="33">
        <v>21</v>
      </c>
      <c r="AE64" s="33">
        <f>G64*1</f>
        <v>0</v>
      </c>
      <c r="AF64" s="33">
        <f>G64*(1-1)</f>
        <v>0</v>
      </c>
      <c r="AM64" s="33">
        <f t="shared" si="20"/>
        <v>0</v>
      </c>
      <c r="AN64" s="33">
        <f t="shared" si="21"/>
        <v>0</v>
      </c>
      <c r="AO64" s="34" t="s">
        <v>237</v>
      </c>
      <c r="AP64" s="34" t="s">
        <v>242</v>
      </c>
      <c r="AQ64" s="25" t="s">
        <v>246</v>
      </c>
    </row>
    <row r="65" spans="1:43" ht="12.75">
      <c r="A65" s="6" t="s">
        <v>55</v>
      </c>
      <c r="B65" s="6" t="s">
        <v>65</v>
      </c>
      <c r="C65" s="6" t="s">
        <v>118</v>
      </c>
      <c r="D65" s="6" t="s">
        <v>182</v>
      </c>
      <c r="E65" s="6" t="s">
        <v>201</v>
      </c>
      <c r="F65" s="17">
        <v>1</v>
      </c>
      <c r="G65" s="17">
        <v>0</v>
      </c>
      <c r="H65" s="17">
        <f t="shared" si="12"/>
        <v>0</v>
      </c>
      <c r="I65" s="17">
        <f t="shared" si="13"/>
        <v>0</v>
      </c>
      <c r="J65" s="17">
        <f t="shared" si="14"/>
        <v>0</v>
      </c>
      <c r="K65" s="17">
        <v>0.007</v>
      </c>
      <c r="L65" s="17">
        <f t="shared" si="15"/>
        <v>0.007</v>
      </c>
      <c r="M65" s="29" t="s">
        <v>221</v>
      </c>
      <c r="N65" s="29" t="s">
        <v>222</v>
      </c>
      <c r="O65" s="17">
        <f t="shared" si="16"/>
        <v>0</v>
      </c>
      <c r="Z65" s="17">
        <f t="shared" si="17"/>
        <v>0</v>
      </c>
      <c r="AA65" s="17">
        <f t="shared" si="18"/>
        <v>0</v>
      </c>
      <c r="AB65" s="17">
        <f t="shared" si="19"/>
        <v>0</v>
      </c>
      <c r="AD65" s="33">
        <v>21</v>
      </c>
      <c r="AE65" s="33">
        <f>G65*1</f>
        <v>0</v>
      </c>
      <c r="AF65" s="33">
        <f>G65*(1-1)</f>
        <v>0</v>
      </c>
      <c r="AM65" s="33">
        <f t="shared" si="20"/>
        <v>0</v>
      </c>
      <c r="AN65" s="33">
        <f t="shared" si="21"/>
        <v>0</v>
      </c>
      <c r="AO65" s="34" t="s">
        <v>237</v>
      </c>
      <c r="AP65" s="34" t="s">
        <v>242</v>
      </c>
      <c r="AQ65" s="25" t="s">
        <v>246</v>
      </c>
    </row>
    <row r="66" spans="1:43" ht="12.75">
      <c r="A66" s="6" t="s">
        <v>56</v>
      </c>
      <c r="B66" s="6" t="s">
        <v>65</v>
      </c>
      <c r="C66" s="6" t="s">
        <v>119</v>
      </c>
      <c r="D66" s="6" t="s">
        <v>183</v>
      </c>
      <c r="E66" s="6" t="s">
        <v>201</v>
      </c>
      <c r="F66" s="17">
        <v>1</v>
      </c>
      <c r="G66" s="17">
        <v>0</v>
      </c>
      <c r="H66" s="17">
        <f t="shared" si="12"/>
        <v>0</v>
      </c>
      <c r="I66" s="17">
        <f t="shared" si="13"/>
        <v>0</v>
      </c>
      <c r="J66" s="17">
        <f t="shared" si="14"/>
        <v>0</v>
      </c>
      <c r="K66" s="17">
        <v>0.00346</v>
      </c>
      <c r="L66" s="17">
        <f t="shared" si="15"/>
        <v>0.00346</v>
      </c>
      <c r="M66" s="29" t="s">
        <v>221</v>
      </c>
      <c r="N66" s="29" t="s">
        <v>222</v>
      </c>
      <c r="O66" s="17">
        <f t="shared" si="16"/>
        <v>0</v>
      </c>
      <c r="Z66" s="17">
        <f t="shared" si="17"/>
        <v>0</v>
      </c>
      <c r="AA66" s="17">
        <f t="shared" si="18"/>
        <v>0</v>
      </c>
      <c r="AB66" s="17">
        <f t="shared" si="19"/>
        <v>0</v>
      </c>
      <c r="AD66" s="33">
        <v>21</v>
      </c>
      <c r="AE66" s="33">
        <f>G66*1</f>
        <v>0</v>
      </c>
      <c r="AF66" s="33">
        <f>G66*(1-1)</f>
        <v>0</v>
      </c>
      <c r="AM66" s="33">
        <f t="shared" si="20"/>
        <v>0</v>
      </c>
      <c r="AN66" s="33">
        <f t="shared" si="21"/>
        <v>0</v>
      </c>
      <c r="AO66" s="34" t="s">
        <v>237</v>
      </c>
      <c r="AP66" s="34" t="s">
        <v>242</v>
      </c>
      <c r="AQ66" s="25" t="s">
        <v>246</v>
      </c>
    </row>
    <row r="67" spans="1:43" ht="12.75">
      <c r="A67" s="5" t="s">
        <v>57</v>
      </c>
      <c r="B67" s="5" t="s">
        <v>65</v>
      </c>
      <c r="C67" s="5" t="s">
        <v>120</v>
      </c>
      <c r="D67" s="5" t="s">
        <v>184</v>
      </c>
      <c r="E67" s="5" t="s">
        <v>202</v>
      </c>
      <c r="F67" s="16">
        <v>4.33</v>
      </c>
      <c r="G67" s="16">
        <v>0</v>
      </c>
      <c r="H67" s="16">
        <f t="shared" si="12"/>
        <v>0</v>
      </c>
      <c r="I67" s="16">
        <f t="shared" si="13"/>
        <v>0</v>
      </c>
      <c r="J67" s="16">
        <f t="shared" si="14"/>
        <v>0</v>
      </c>
      <c r="K67" s="16">
        <v>0</v>
      </c>
      <c r="L67" s="16">
        <f t="shared" si="15"/>
        <v>0</v>
      </c>
      <c r="M67" s="28" t="s">
        <v>221</v>
      </c>
      <c r="N67" s="28" t="s">
        <v>11</v>
      </c>
      <c r="O67" s="16">
        <f t="shared" si="16"/>
        <v>0</v>
      </c>
      <c r="Z67" s="16">
        <f t="shared" si="17"/>
        <v>0</v>
      </c>
      <c r="AA67" s="16">
        <f t="shared" si="18"/>
        <v>0</v>
      </c>
      <c r="AB67" s="16">
        <f t="shared" si="19"/>
        <v>0</v>
      </c>
      <c r="AD67" s="33">
        <v>21</v>
      </c>
      <c r="AE67" s="33">
        <f>G67*0</f>
        <v>0</v>
      </c>
      <c r="AF67" s="33">
        <f>G67*(1-0)</f>
        <v>0</v>
      </c>
      <c r="AM67" s="33">
        <f t="shared" si="20"/>
        <v>0</v>
      </c>
      <c r="AN67" s="33">
        <f t="shared" si="21"/>
        <v>0</v>
      </c>
      <c r="AO67" s="34" t="s">
        <v>237</v>
      </c>
      <c r="AP67" s="34" t="s">
        <v>242</v>
      </c>
      <c r="AQ67" s="25" t="s">
        <v>246</v>
      </c>
    </row>
    <row r="68" spans="1:37" ht="12.75">
      <c r="A68" s="4"/>
      <c r="B68" s="13" t="s">
        <v>65</v>
      </c>
      <c r="C68" s="13" t="s">
        <v>121</v>
      </c>
      <c r="D68" s="85" t="s">
        <v>185</v>
      </c>
      <c r="E68" s="86"/>
      <c r="F68" s="86"/>
      <c r="G68" s="86"/>
      <c r="H68" s="36">
        <f>SUM(H69:H70)</f>
        <v>0</v>
      </c>
      <c r="I68" s="36">
        <f>SUM(I69:I70)</f>
        <v>0</v>
      </c>
      <c r="J68" s="36">
        <f>H68+I68</f>
        <v>0</v>
      </c>
      <c r="K68" s="25"/>
      <c r="L68" s="36">
        <f>SUM(L69:L70)</f>
        <v>0.047839999999999994</v>
      </c>
      <c r="M68" s="25"/>
      <c r="P68" s="36">
        <f>IF(Q68="PR",J68,SUM(O69:O70))</f>
        <v>0</v>
      </c>
      <c r="Q68" s="25" t="s">
        <v>225</v>
      </c>
      <c r="R68" s="36">
        <f>IF(Q68="HS",H68,0)</f>
        <v>0</v>
      </c>
      <c r="S68" s="36">
        <f>IF(Q68="HS",I68-P68,0)</f>
        <v>0</v>
      </c>
      <c r="T68" s="36">
        <f>IF(Q68="PS",H68,0)</f>
        <v>0</v>
      </c>
      <c r="U68" s="36">
        <f>IF(Q68="PS",I68-P68,0)</f>
        <v>0</v>
      </c>
      <c r="V68" s="36">
        <f>IF(Q68="MP",H68,0)</f>
        <v>0</v>
      </c>
      <c r="W68" s="36">
        <f>IF(Q68="MP",I68-P68,0)</f>
        <v>0</v>
      </c>
      <c r="X68" s="36">
        <f>IF(Q68="OM",H68,0)</f>
        <v>0</v>
      </c>
      <c r="Y68" s="25" t="s">
        <v>65</v>
      </c>
      <c r="AI68" s="36">
        <f>SUM(Z69:Z70)</f>
        <v>0</v>
      </c>
      <c r="AJ68" s="36">
        <f>SUM(AA69:AA70)</f>
        <v>0</v>
      </c>
      <c r="AK68" s="36">
        <f>SUM(AB69:AB70)</f>
        <v>0</v>
      </c>
    </row>
    <row r="69" spans="1:43" ht="12.75">
      <c r="A69" s="5" t="s">
        <v>58</v>
      </c>
      <c r="B69" s="5" t="s">
        <v>65</v>
      </c>
      <c r="C69" s="5" t="s">
        <v>122</v>
      </c>
      <c r="D69" s="5" t="s">
        <v>186</v>
      </c>
      <c r="E69" s="5" t="s">
        <v>198</v>
      </c>
      <c r="F69" s="16">
        <v>299</v>
      </c>
      <c r="G69" s="16">
        <v>0</v>
      </c>
      <c r="H69" s="16">
        <f>F69*AE69</f>
        <v>0</v>
      </c>
      <c r="I69" s="16">
        <f>J69-H69</f>
        <v>0</v>
      </c>
      <c r="J69" s="16">
        <f>F69*G69</f>
        <v>0</v>
      </c>
      <c r="K69" s="16">
        <v>0.00015</v>
      </c>
      <c r="L69" s="16">
        <f>F69*K69</f>
        <v>0.044849999999999994</v>
      </c>
      <c r="M69" s="28" t="s">
        <v>221</v>
      </c>
      <c r="N69" s="28" t="s">
        <v>7</v>
      </c>
      <c r="O69" s="16">
        <f>IF(N69="5",I69,0)</f>
        <v>0</v>
      </c>
      <c r="Z69" s="16">
        <f>IF(AD69=0,J69,0)</f>
        <v>0</v>
      </c>
      <c r="AA69" s="16">
        <f>IF(AD69=15,J69,0)</f>
        <v>0</v>
      </c>
      <c r="AB69" s="16">
        <f>IF(AD69=21,J69,0)</f>
        <v>0</v>
      </c>
      <c r="AD69" s="33">
        <v>21</v>
      </c>
      <c r="AE69" s="33">
        <f>G69*0.200392156862745</f>
        <v>0</v>
      </c>
      <c r="AF69" s="33">
        <f>G69*(1-0.200392156862745)</f>
        <v>0</v>
      </c>
      <c r="AM69" s="33">
        <f>F69*AE69</f>
        <v>0</v>
      </c>
      <c r="AN69" s="33">
        <f>F69*AF69</f>
        <v>0</v>
      </c>
      <c r="AO69" s="34" t="s">
        <v>238</v>
      </c>
      <c r="AP69" s="34" t="s">
        <v>243</v>
      </c>
      <c r="AQ69" s="25" t="s">
        <v>246</v>
      </c>
    </row>
    <row r="70" spans="1:43" ht="12.75">
      <c r="A70" s="5" t="s">
        <v>59</v>
      </c>
      <c r="B70" s="5" t="s">
        <v>65</v>
      </c>
      <c r="C70" s="5" t="s">
        <v>123</v>
      </c>
      <c r="D70" s="5" t="s">
        <v>187</v>
      </c>
      <c r="E70" s="5" t="s">
        <v>198</v>
      </c>
      <c r="F70" s="16">
        <v>299</v>
      </c>
      <c r="G70" s="16">
        <v>0</v>
      </c>
      <c r="H70" s="16">
        <f>F70*AE70</f>
        <v>0</v>
      </c>
      <c r="I70" s="16">
        <f>J70-H70</f>
        <v>0</v>
      </c>
      <c r="J70" s="16">
        <f>F70*G70</f>
        <v>0</v>
      </c>
      <c r="K70" s="16">
        <v>1E-05</v>
      </c>
      <c r="L70" s="16">
        <f>F70*K70</f>
        <v>0.00299</v>
      </c>
      <c r="M70" s="28" t="s">
        <v>221</v>
      </c>
      <c r="N70" s="28" t="s">
        <v>7</v>
      </c>
      <c r="O70" s="16">
        <f>IF(N70="5",I70,0)</f>
        <v>0</v>
      </c>
      <c r="Z70" s="16">
        <f>IF(AD70=0,J70,0)</f>
        <v>0</v>
      </c>
      <c r="AA70" s="16">
        <f>IF(AD70=15,J70,0)</f>
        <v>0</v>
      </c>
      <c r="AB70" s="16">
        <f>IF(AD70=21,J70,0)</f>
        <v>0</v>
      </c>
      <c r="AD70" s="33">
        <v>21</v>
      </c>
      <c r="AE70" s="33">
        <f>G70*0.1592</f>
        <v>0</v>
      </c>
      <c r="AF70" s="33">
        <f>G70*(1-0.1592)</f>
        <v>0</v>
      </c>
      <c r="AM70" s="33">
        <f>F70*AE70</f>
        <v>0</v>
      </c>
      <c r="AN70" s="33">
        <f>F70*AF70</f>
        <v>0</v>
      </c>
      <c r="AO70" s="34" t="s">
        <v>238</v>
      </c>
      <c r="AP70" s="34" t="s">
        <v>243</v>
      </c>
      <c r="AQ70" s="25" t="s">
        <v>246</v>
      </c>
    </row>
    <row r="71" spans="1:37" ht="12.75">
      <c r="A71" s="4"/>
      <c r="B71" s="13" t="s">
        <v>65</v>
      </c>
      <c r="C71" s="13" t="s">
        <v>124</v>
      </c>
      <c r="D71" s="85" t="s">
        <v>188</v>
      </c>
      <c r="E71" s="86"/>
      <c r="F71" s="86"/>
      <c r="G71" s="86"/>
      <c r="H71" s="36">
        <f>SUM(H72:H72)</f>
        <v>0</v>
      </c>
      <c r="I71" s="36">
        <f>SUM(I72:I72)</f>
        <v>0</v>
      </c>
      <c r="J71" s="36">
        <f>H71+I71</f>
        <v>0</v>
      </c>
      <c r="K71" s="25"/>
      <c r="L71" s="36">
        <f>SUM(L72:L72)</f>
        <v>0</v>
      </c>
      <c r="M71" s="25"/>
      <c r="P71" s="36">
        <f>IF(Q71="PR",J71,SUM(O72:O72))</f>
        <v>0</v>
      </c>
      <c r="Q71" s="25" t="s">
        <v>226</v>
      </c>
      <c r="R71" s="36">
        <f>IF(Q71="HS",H71,0)</f>
        <v>0</v>
      </c>
      <c r="S71" s="36">
        <f>IF(Q71="HS",I71-P71,0)</f>
        <v>0</v>
      </c>
      <c r="T71" s="36">
        <f>IF(Q71="PS",H71,0)</f>
        <v>0</v>
      </c>
      <c r="U71" s="36">
        <f>IF(Q71="PS",I71-P71,0)</f>
        <v>0</v>
      </c>
      <c r="V71" s="36">
        <f>IF(Q71="MP",H71,0)</f>
        <v>0</v>
      </c>
      <c r="W71" s="36">
        <f>IF(Q71="MP",I71-P71,0)</f>
        <v>0</v>
      </c>
      <c r="X71" s="36">
        <f>IF(Q71="OM",H71,0)</f>
        <v>0</v>
      </c>
      <c r="Y71" s="25" t="s">
        <v>65</v>
      </c>
      <c r="AI71" s="36">
        <f>SUM(Z72:Z72)</f>
        <v>0</v>
      </c>
      <c r="AJ71" s="36">
        <f>SUM(AA72:AA72)</f>
        <v>0</v>
      </c>
      <c r="AK71" s="36">
        <f>SUM(AB72:AB72)</f>
        <v>0</v>
      </c>
    </row>
    <row r="72" spans="1:43" ht="12.75">
      <c r="A72" s="5" t="s">
        <v>60</v>
      </c>
      <c r="B72" s="5" t="s">
        <v>65</v>
      </c>
      <c r="C72" s="5" t="s">
        <v>125</v>
      </c>
      <c r="D72" s="5" t="s">
        <v>189</v>
      </c>
      <c r="E72" s="5" t="s">
        <v>202</v>
      </c>
      <c r="F72" s="16">
        <v>1</v>
      </c>
      <c r="G72" s="16">
        <v>0</v>
      </c>
      <c r="H72" s="16">
        <f>F72*AE72</f>
        <v>0</v>
      </c>
      <c r="I72" s="16">
        <f>J72-H72</f>
        <v>0</v>
      </c>
      <c r="J72" s="16">
        <f>F72*G72</f>
        <v>0</v>
      </c>
      <c r="K72" s="16">
        <v>0</v>
      </c>
      <c r="L72" s="16">
        <f>F72*K72</f>
        <v>0</v>
      </c>
      <c r="M72" s="28" t="s">
        <v>221</v>
      </c>
      <c r="N72" s="28" t="s">
        <v>11</v>
      </c>
      <c r="O72" s="16">
        <f>IF(N72="5",I72,0)</f>
        <v>0</v>
      </c>
      <c r="Z72" s="16">
        <f>IF(AD72=0,J72,0)</f>
        <v>0</v>
      </c>
      <c r="AA72" s="16">
        <f>IF(AD72=15,J72,0)</f>
        <v>0</v>
      </c>
      <c r="AB72" s="16">
        <f>IF(AD72=21,J72,0)</f>
        <v>0</v>
      </c>
      <c r="AD72" s="33">
        <v>21</v>
      </c>
      <c r="AE72" s="33">
        <f>G72*1</f>
        <v>0</v>
      </c>
      <c r="AF72" s="33">
        <f>G72*(1-1)</f>
        <v>0</v>
      </c>
      <c r="AM72" s="33">
        <f>F72*AE72</f>
        <v>0</v>
      </c>
      <c r="AN72" s="33">
        <f>F72*AF72</f>
        <v>0</v>
      </c>
      <c r="AO72" s="34" t="s">
        <v>239</v>
      </c>
      <c r="AP72" s="34" t="s">
        <v>244</v>
      </c>
      <c r="AQ72" s="25" t="s">
        <v>246</v>
      </c>
    </row>
    <row r="73" spans="1:37" ht="12.75">
      <c r="A73" s="4"/>
      <c r="B73" s="13" t="s">
        <v>65</v>
      </c>
      <c r="C73" s="13"/>
      <c r="D73" s="85" t="s">
        <v>190</v>
      </c>
      <c r="E73" s="86"/>
      <c r="F73" s="86"/>
      <c r="G73" s="86"/>
      <c r="H73" s="36">
        <f>SUM(H74:H75)</f>
        <v>0</v>
      </c>
      <c r="I73" s="36">
        <f>SUM(I74:I75)</f>
        <v>0</v>
      </c>
      <c r="J73" s="36">
        <f>H73+I73</f>
        <v>0</v>
      </c>
      <c r="K73" s="25"/>
      <c r="L73" s="36">
        <f>SUM(L74:L75)</f>
        <v>0.009</v>
      </c>
      <c r="M73" s="25"/>
      <c r="P73" s="36">
        <f>IF(Q73="PR",J73,SUM(O74:O75))</f>
        <v>0</v>
      </c>
      <c r="Q73" s="25" t="s">
        <v>226</v>
      </c>
      <c r="R73" s="36">
        <f>IF(Q73="HS",H73,0)</f>
        <v>0</v>
      </c>
      <c r="S73" s="36">
        <f>IF(Q73="HS",I73-P73,0)</f>
        <v>0</v>
      </c>
      <c r="T73" s="36">
        <f>IF(Q73="PS",H73,0)</f>
        <v>0</v>
      </c>
      <c r="U73" s="36">
        <f>IF(Q73="PS",I73-P73,0)</f>
        <v>0</v>
      </c>
      <c r="V73" s="36">
        <f>IF(Q73="MP",H73,0)</f>
        <v>0</v>
      </c>
      <c r="W73" s="36">
        <f>IF(Q73="MP",I73-P73,0)</f>
        <v>0</v>
      </c>
      <c r="X73" s="36">
        <f>IF(Q73="OM",H73,0)</f>
        <v>0</v>
      </c>
      <c r="Y73" s="25" t="s">
        <v>65</v>
      </c>
      <c r="AI73" s="36">
        <f>SUM(Z74:Z75)</f>
        <v>0</v>
      </c>
      <c r="AJ73" s="36">
        <f>SUM(AA74:AA75)</f>
        <v>0</v>
      </c>
      <c r="AK73" s="36">
        <f>SUM(AB74:AB75)</f>
        <v>0</v>
      </c>
    </row>
    <row r="74" spans="1:43" ht="12.75">
      <c r="A74" s="5" t="s">
        <v>61</v>
      </c>
      <c r="B74" s="5" t="s">
        <v>65</v>
      </c>
      <c r="C74" s="5" t="s">
        <v>126</v>
      </c>
      <c r="D74" s="5" t="s">
        <v>191</v>
      </c>
      <c r="E74" s="5" t="s">
        <v>203</v>
      </c>
      <c r="F74" s="16">
        <v>34</v>
      </c>
      <c r="G74" s="16">
        <v>0</v>
      </c>
      <c r="H74" s="16">
        <f>F74*AE74</f>
        <v>0</v>
      </c>
      <c r="I74" s="16">
        <f>J74-H74</f>
        <v>0</v>
      </c>
      <c r="J74" s="16">
        <f>F74*G74</f>
        <v>0</v>
      </c>
      <c r="K74" s="16">
        <v>0</v>
      </c>
      <c r="L74" s="16">
        <f>F74*K74</f>
        <v>0</v>
      </c>
      <c r="M74" s="28" t="s">
        <v>221</v>
      </c>
      <c r="N74" s="28" t="s">
        <v>7</v>
      </c>
      <c r="O74" s="16">
        <f>IF(N74="5",I74,0)</f>
        <v>0</v>
      </c>
      <c r="Z74" s="16">
        <f>IF(AD74=0,J74,0)</f>
        <v>0</v>
      </c>
      <c r="AA74" s="16">
        <f>IF(AD74=15,J74,0)</f>
        <v>0</v>
      </c>
      <c r="AB74" s="16">
        <f>IF(AD74=21,J74,0)</f>
        <v>0</v>
      </c>
      <c r="AD74" s="33">
        <v>21</v>
      </c>
      <c r="AE74" s="33">
        <f>G74*0</f>
        <v>0</v>
      </c>
      <c r="AF74" s="33">
        <f>G74*(1-0)</f>
        <v>0</v>
      </c>
      <c r="AM74" s="33">
        <f>F74*AE74</f>
        <v>0</v>
      </c>
      <c r="AN74" s="33">
        <f>F74*AF74</f>
        <v>0</v>
      </c>
      <c r="AO74" s="34" t="s">
        <v>240</v>
      </c>
      <c r="AP74" s="34" t="s">
        <v>245</v>
      </c>
      <c r="AQ74" s="25" t="s">
        <v>246</v>
      </c>
    </row>
    <row r="75" spans="1:43" ht="12.75">
      <c r="A75" s="7" t="s">
        <v>62</v>
      </c>
      <c r="B75" s="7" t="s">
        <v>65</v>
      </c>
      <c r="C75" s="7" t="s">
        <v>127</v>
      </c>
      <c r="D75" s="7" t="s">
        <v>192</v>
      </c>
      <c r="E75" s="7" t="s">
        <v>201</v>
      </c>
      <c r="F75" s="18">
        <v>1</v>
      </c>
      <c r="G75" s="18">
        <v>0</v>
      </c>
      <c r="H75" s="18">
        <f>F75*AE75</f>
        <v>0</v>
      </c>
      <c r="I75" s="18">
        <f>J75-H75</f>
        <v>0</v>
      </c>
      <c r="J75" s="18">
        <f>F75*G75</f>
        <v>0</v>
      </c>
      <c r="K75" s="18">
        <v>0.009</v>
      </c>
      <c r="L75" s="18">
        <f>F75*K75</f>
        <v>0.009</v>
      </c>
      <c r="M75" s="30" t="s">
        <v>221</v>
      </c>
      <c r="N75" s="28" t="s">
        <v>8</v>
      </c>
      <c r="O75" s="16">
        <f>IF(N75="5",I75,0)</f>
        <v>0</v>
      </c>
      <c r="Z75" s="16">
        <f>IF(AD75=0,J75,0)</f>
        <v>0</v>
      </c>
      <c r="AA75" s="16">
        <f>IF(AD75=15,J75,0)</f>
        <v>0</v>
      </c>
      <c r="AB75" s="16">
        <f>IF(AD75=21,J75,0)</f>
        <v>0</v>
      </c>
      <c r="AD75" s="33">
        <v>21</v>
      </c>
      <c r="AE75" s="33">
        <f>G75*1</f>
        <v>0</v>
      </c>
      <c r="AF75" s="33">
        <f>G75*(1-1)</f>
        <v>0</v>
      </c>
      <c r="AM75" s="33">
        <f>F75*AE75</f>
        <v>0</v>
      </c>
      <c r="AN75" s="33">
        <f>F75*AF75</f>
        <v>0</v>
      </c>
      <c r="AO75" s="34" t="s">
        <v>240</v>
      </c>
      <c r="AP75" s="34" t="s">
        <v>245</v>
      </c>
      <c r="AQ75" s="25" t="s">
        <v>246</v>
      </c>
    </row>
    <row r="76" spans="1:28" ht="12.75">
      <c r="A76" s="8"/>
      <c r="B76" s="8"/>
      <c r="C76" s="8"/>
      <c r="D76" s="8"/>
      <c r="E76" s="8"/>
      <c r="F76" s="8"/>
      <c r="G76" s="8"/>
      <c r="H76" s="87" t="s">
        <v>209</v>
      </c>
      <c r="I76" s="88"/>
      <c r="J76" s="37">
        <f>J13+J15+J21+J47+J68+J71+J73</f>
        <v>0</v>
      </c>
      <c r="K76" s="8"/>
      <c r="L76" s="8"/>
      <c r="M76" s="8"/>
      <c r="Z76" s="38">
        <f>SUM(Z13:Z75)</f>
        <v>0</v>
      </c>
      <c r="AA76" s="38">
        <f>SUM(AA13:AA75)</f>
        <v>0</v>
      </c>
      <c r="AB76" s="38">
        <f>SUM(AB13:AB75)</f>
        <v>0</v>
      </c>
    </row>
    <row r="77" ht="11.25" customHeight="1">
      <c r="A77" s="9" t="s">
        <v>63</v>
      </c>
    </row>
    <row r="78" spans="1:13" ht="409.5" customHeight="1" hidden="1">
      <c r="A78" s="74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</row>
  </sheetData>
  <sheetProtection/>
  <mergeCells count="37">
    <mergeCell ref="D47:G47"/>
    <mergeCell ref="D68:G68"/>
    <mergeCell ref="D71:G71"/>
    <mergeCell ref="D73:G73"/>
    <mergeCell ref="H76:I76"/>
    <mergeCell ref="A78:M78"/>
    <mergeCell ref="H10:J10"/>
    <mergeCell ref="K10:L10"/>
    <mergeCell ref="D12:G12"/>
    <mergeCell ref="D13:G13"/>
    <mergeCell ref="D15:G15"/>
    <mergeCell ref="D21:G21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4.003906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61" t="s">
        <v>247</v>
      </c>
      <c r="B1" s="62"/>
      <c r="C1" s="62"/>
      <c r="D1" s="62"/>
      <c r="E1" s="62"/>
      <c r="F1" s="62"/>
      <c r="G1" s="62"/>
      <c r="H1" s="62"/>
    </row>
    <row r="2" spans="1:9" ht="12.75">
      <c r="A2" s="63" t="s">
        <v>1</v>
      </c>
      <c r="B2" s="64"/>
      <c r="C2" s="67" t="s">
        <v>128</v>
      </c>
      <c r="D2" s="88"/>
      <c r="E2" s="70" t="s">
        <v>210</v>
      </c>
      <c r="F2" s="70" t="s">
        <v>215</v>
      </c>
      <c r="G2" s="64"/>
      <c r="H2" s="71"/>
      <c r="I2" s="31"/>
    </row>
    <row r="3" spans="1:9" ht="12.75">
      <c r="A3" s="65"/>
      <c r="B3" s="66"/>
      <c r="C3" s="68"/>
      <c r="D3" s="68"/>
      <c r="E3" s="66"/>
      <c r="F3" s="66"/>
      <c r="G3" s="66"/>
      <c r="H3" s="72"/>
      <c r="I3" s="31"/>
    </row>
    <row r="4" spans="1:9" ht="12.75">
      <c r="A4" s="73" t="s">
        <v>2</v>
      </c>
      <c r="B4" s="66"/>
      <c r="C4" s="74"/>
      <c r="D4" s="66"/>
      <c r="E4" s="74" t="s">
        <v>211</v>
      </c>
      <c r="F4" s="74"/>
      <c r="G4" s="66"/>
      <c r="H4" s="72"/>
      <c r="I4" s="31"/>
    </row>
    <row r="5" spans="1:9" ht="12.75">
      <c r="A5" s="65"/>
      <c r="B5" s="66"/>
      <c r="C5" s="66"/>
      <c r="D5" s="66"/>
      <c r="E5" s="66"/>
      <c r="F5" s="66"/>
      <c r="G5" s="66"/>
      <c r="H5" s="72"/>
      <c r="I5" s="31"/>
    </row>
    <row r="6" spans="1:9" ht="12.75">
      <c r="A6" s="73" t="s">
        <v>3</v>
      </c>
      <c r="B6" s="66"/>
      <c r="C6" s="74" t="s">
        <v>129</v>
      </c>
      <c r="D6" s="66"/>
      <c r="E6" s="74" t="s">
        <v>212</v>
      </c>
      <c r="F6" s="74" t="s">
        <v>216</v>
      </c>
      <c r="G6" s="66"/>
      <c r="H6" s="72"/>
      <c r="I6" s="31"/>
    </row>
    <row r="7" spans="1:9" ht="12.75">
      <c r="A7" s="65"/>
      <c r="B7" s="66"/>
      <c r="C7" s="66"/>
      <c r="D7" s="66"/>
      <c r="E7" s="66"/>
      <c r="F7" s="66"/>
      <c r="G7" s="66"/>
      <c r="H7" s="72"/>
      <c r="I7" s="31"/>
    </row>
    <row r="8" spans="1:9" ht="12.75">
      <c r="A8" s="73" t="s">
        <v>213</v>
      </c>
      <c r="B8" s="66"/>
      <c r="C8" s="74"/>
      <c r="D8" s="66"/>
      <c r="E8" s="75" t="s">
        <v>196</v>
      </c>
      <c r="F8" s="76">
        <v>42529</v>
      </c>
      <c r="G8" s="66"/>
      <c r="H8" s="72"/>
      <c r="I8" s="31"/>
    </row>
    <row r="9" spans="1:9" ht="12.75">
      <c r="A9" s="77"/>
      <c r="B9" s="78"/>
      <c r="C9" s="78"/>
      <c r="D9" s="78"/>
      <c r="E9" s="78"/>
      <c r="F9" s="78"/>
      <c r="G9" s="78"/>
      <c r="H9" s="79"/>
      <c r="I9" s="31"/>
    </row>
    <row r="10" spans="1:9" ht="12.75">
      <c r="A10" s="39" t="s">
        <v>5</v>
      </c>
      <c r="B10" s="41" t="s">
        <v>64</v>
      </c>
      <c r="C10" s="41" t="s">
        <v>66</v>
      </c>
      <c r="D10" s="41" t="s">
        <v>130</v>
      </c>
      <c r="E10" s="41" t="s">
        <v>197</v>
      </c>
      <c r="F10" s="41" t="s">
        <v>131</v>
      </c>
      <c r="G10" s="42" t="s">
        <v>204</v>
      </c>
      <c r="H10" s="43" t="s">
        <v>248</v>
      </c>
      <c r="I10" s="32"/>
    </row>
    <row r="11" spans="1:8" ht="12.75">
      <c r="A11" s="40"/>
      <c r="B11" s="40"/>
      <c r="C11" s="40"/>
      <c r="D11" s="40"/>
      <c r="E11" s="40"/>
      <c r="F11" s="40"/>
      <c r="G11" s="40"/>
      <c r="H11" s="40"/>
    </row>
    <row r="12" ht="11.25" customHeight="1">
      <c r="A12" s="9" t="s">
        <v>63</v>
      </c>
    </row>
    <row r="13" spans="1:7" ht="409.5" customHeight="1" hidden="1">
      <c r="A13" s="74"/>
      <c r="B13" s="66"/>
      <c r="C13" s="66"/>
      <c r="D13" s="66"/>
      <c r="E13" s="66"/>
      <c r="F13" s="66"/>
      <c r="G13" s="66"/>
    </row>
  </sheetData>
  <sheetProtection/>
  <mergeCells count="18">
    <mergeCell ref="A13:G13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0"/>
      <c r="B1" s="44"/>
      <c r="C1" s="89" t="s">
        <v>264</v>
      </c>
      <c r="D1" s="90"/>
      <c r="E1" s="90"/>
      <c r="F1" s="90"/>
      <c r="G1" s="90"/>
      <c r="H1" s="90"/>
      <c r="I1" s="90"/>
    </row>
    <row r="2" spans="1:10" ht="12.75">
      <c r="A2" s="63" t="s">
        <v>1</v>
      </c>
      <c r="B2" s="64"/>
      <c r="C2" s="67" t="s">
        <v>128</v>
      </c>
      <c r="D2" s="88"/>
      <c r="E2" s="70" t="s">
        <v>210</v>
      </c>
      <c r="F2" s="70" t="s">
        <v>215</v>
      </c>
      <c r="G2" s="64"/>
      <c r="H2" s="70" t="s">
        <v>289</v>
      </c>
      <c r="I2" s="91"/>
      <c r="J2" s="31"/>
    </row>
    <row r="3" spans="1:10" ht="12.75">
      <c r="A3" s="65"/>
      <c r="B3" s="66"/>
      <c r="C3" s="68"/>
      <c r="D3" s="68"/>
      <c r="E3" s="66"/>
      <c r="F3" s="66"/>
      <c r="G3" s="66"/>
      <c r="H3" s="66"/>
      <c r="I3" s="72"/>
      <c r="J3" s="31"/>
    </row>
    <row r="4" spans="1:10" ht="12.75">
      <c r="A4" s="73" t="s">
        <v>2</v>
      </c>
      <c r="B4" s="66"/>
      <c r="C4" s="74"/>
      <c r="D4" s="66"/>
      <c r="E4" s="74" t="s">
        <v>211</v>
      </c>
      <c r="F4" s="74"/>
      <c r="G4" s="66"/>
      <c r="H4" s="74" t="s">
        <v>289</v>
      </c>
      <c r="I4" s="92"/>
      <c r="J4" s="31"/>
    </row>
    <row r="5" spans="1:10" ht="12.75">
      <c r="A5" s="65"/>
      <c r="B5" s="66"/>
      <c r="C5" s="66"/>
      <c r="D5" s="66"/>
      <c r="E5" s="66"/>
      <c r="F5" s="66"/>
      <c r="G5" s="66"/>
      <c r="H5" s="66"/>
      <c r="I5" s="72"/>
      <c r="J5" s="31"/>
    </row>
    <row r="6" spans="1:10" ht="12.75">
      <c r="A6" s="73" t="s">
        <v>3</v>
      </c>
      <c r="B6" s="66"/>
      <c r="C6" s="74" t="s">
        <v>129</v>
      </c>
      <c r="D6" s="66"/>
      <c r="E6" s="74" t="s">
        <v>212</v>
      </c>
      <c r="F6" s="74" t="s">
        <v>216</v>
      </c>
      <c r="G6" s="66"/>
      <c r="H6" s="74" t="s">
        <v>289</v>
      </c>
      <c r="I6" s="92"/>
      <c r="J6" s="31"/>
    </row>
    <row r="7" spans="1:10" ht="12.75">
      <c r="A7" s="65"/>
      <c r="B7" s="66"/>
      <c r="C7" s="66"/>
      <c r="D7" s="66"/>
      <c r="E7" s="66"/>
      <c r="F7" s="66"/>
      <c r="G7" s="66"/>
      <c r="H7" s="66"/>
      <c r="I7" s="72"/>
      <c r="J7" s="31"/>
    </row>
    <row r="8" spans="1:10" ht="12.75">
      <c r="A8" s="73" t="s">
        <v>194</v>
      </c>
      <c r="B8" s="66"/>
      <c r="C8" s="76">
        <v>42600</v>
      </c>
      <c r="D8" s="66"/>
      <c r="E8" s="74" t="s">
        <v>195</v>
      </c>
      <c r="F8" s="66"/>
      <c r="G8" s="66"/>
      <c r="H8" s="75" t="s">
        <v>290</v>
      </c>
      <c r="I8" s="92" t="s">
        <v>62</v>
      </c>
      <c r="J8" s="31"/>
    </row>
    <row r="9" spans="1:10" ht="12.75">
      <c r="A9" s="65"/>
      <c r="B9" s="66"/>
      <c r="C9" s="66"/>
      <c r="D9" s="66"/>
      <c r="E9" s="66"/>
      <c r="F9" s="66"/>
      <c r="G9" s="66"/>
      <c r="H9" s="66"/>
      <c r="I9" s="72"/>
      <c r="J9" s="31"/>
    </row>
    <row r="10" spans="1:10" ht="12.75">
      <c r="A10" s="73" t="s">
        <v>4</v>
      </c>
      <c r="B10" s="66"/>
      <c r="C10" s="74"/>
      <c r="D10" s="66"/>
      <c r="E10" s="74" t="s">
        <v>213</v>
      </c>
      <c r="F10" s="74"/>
      <c r="G10" s="66"/>
      <c r="H10" s="75" t="s">
        <v>291</v>
      </c>
      <c r="I10" s="95">
        <v>42529</v>
      </c>
      <c r="J10" s="31"/>
    </row>
    <row r="11" spans="1:10" ht="12.75">
      <c r="A11" s="93"/>
      <c r="B11" s="94"/>
      <c r="C11" s="94"/>
      <c r="D11" s="94"/>
      <c r="E11" s="94"/>
      <c r="F11" s="94"/>
      <c r="G11" s="94"/>
      <c r="H11" s="94"/>
      <c r="I11" s="96"/>
      <c r="J11" s="31"/>
    </row>
    <row r="12" spans="1:9" ht="23.25" customHeight="1">
      <c r="A12" s="97" t="s">
        <v>249</v>
      </c>
      <c r="B12" s="98"/>
      <c r="C12" s="98"/>
      <c r="D12" s="98"/>
      <c r="E12" s="98"/>
      <c r="F12" s="98"/>
      <c r="G12" s="98"/>
      <c r="H12" s="98"/>
      <c r="I12" s="98"/>
    </row>
    <row r="13" spans="1:10" ht="26.25" customHeight="1">
      <c r="A13" s="45" t="s">
        <v>250</v>
      </c>
      <c r="B13" s="99" t="s">
        <v>262</v>
      </c>
      <c r="C13" s="100"/>
      <c r="D13" s="45" t="s">
        <v>265</v>
      </c>
      <c r="E13" s="99" t="s">
        <v>275</v>
      </c>
      <c r="F13" s="100"/>
      <c r="G13" s="45" t="s">
        <v>276</v>
      </c>
      <c r="H13" s="99" t="s">
        <v>292</v>
      </c>
      <c r="I13" s="100"/>
      <c r="J13" s="31"/>
    </row>
    <row r="14" spans="1:10" ht="15" customHeight="1">
      <c r="A14" s="46" t="s">
        <v>251</v>
      </c>
      <c r="B14" s="50" t="s">
        <v>263</v>
      </c>
      <c r="C14" s="53">
        <f>SUM('Stavební rozpočet'!R12:R75)</f>
        <v>0</v>
      </c>
      <c r="D14" s="101" t="s">
        <v>266</v>
      </c>
      <c r="E14" s="102"/>
      <c r="F14" s="53">
        <v>0</v>
      </c>
      <c r="G14" s="101" t="s">
        <v>277</v>
      </c>
      <c r="H14" s="102"/>
      <c r="I14" s="53">
        <v>0</v>
      </c>
      <c r="J14" s="31"/>
    </row>
    <row r="15" spans="1:10" ht="15" customHeight="1">
      <c r="A15" s="47"/>
      <c r="B15" s="50" t="s">
        <v>214</v>
      </c>
      <c r="C15" s="53">
        <f>SUM('Stavební rozpočet'!S12:S75)</f>
        <v>0</v>
      </c>
      <c r="D15" s="101" t="s">
        <v>267</v>
      </c>
      <c r="E15" s="102"/>
      <c r="F15" s="53">
        <v>0</v>
      </c>
      <c r="G15" s="101" t="s">
        <v>278</v>
      </c>
      <c r="H15" s="102"/>
      <c r="I15" s="53">
        <v>0</v>
      </c>
      <c r="J15" s="31"/>
    </row>
    <row r="16" spans="1:10" ht="15" customHeight="1">
      <c r="A16" s="46" t="s">
        <v>252</v>
      </c>
      <c r="B16" s="50" t="s">
        <v>263</v>
      </c>
      <c r="C16" s="53">
        <f>SUM('Stavební rozpočet'!T12:T75)</f>
        <v>0</v>
      </c>
      <c r="D16" s="101" t="s">
        <v>268</v>
      </c>
      <c r="E16" s="102"/>
      <c r="F16" s="53">
        <v>0</v>
      </c>
      <c r="G16" s="101" t="s">
        <v>279</v>
      </c>
      <c r="H16" s="102"/>
      <c r="I16" s="53">
        <v>0</v>
      </c>
      <c r="J16" s="31"/>
    </row>
    <row r="17" spans="1:10" ht="15" customHeight="1">
      <c r="A17" s="47"/>
      <c r="B17" s="50" t="s">
        <v>214</v>
      </c>
      <c r="C17" s="53">
        <f>SUM('Stavební rozpočet'!U12:U75)</f>
        <v>0</v>
      </c>
      <c r="D17" s="101" t="s">
        <v>269</v>
      </c>
      <c r="E17" s="102"/>
      <c r="F17" s="54"/>
      <c r="G17" s="101" t="s">
        <v>269</v>
      </c>
      <c r="H17" s="102"/>
      <c r="I17" s="53">
        <v>0</v>
      </c>
      <c r="J17" s="31"/>
    </row>
    <row r="18" spans="1:10" ht="15" customHeight="1">
      <c r="A18" s="46" t="s">
        <v>253</v>
      </c>
      <c r="B18" s="50" t="s">
        <v>263</v>
      </c>
      <c r="C18" s="53">
        <f>SUM('Stavební rozpočet'!V12:V75)</f>
        <v>0</v>
      </c>
      <c r="D18" s="101"/>
      <c r="E18" s="102"/>
      <c r="F18" s="54"/>
      <c r="G18" s="101" t="s">
        <v>280</v>
      </c>
      <c r="H18" s="102"/>
      <c r="I18" s="53">
        <v>0</v>
      </c>
      <c r="J18" s="31"/>
    </row>
    <row r="19" spans="1:10" ht="15" customHeight="1">
      <c r="A19" s="47"/>
      <c r="B19" s="50" t="s">
        <v>214</v>
      </c>
      <c r="C19" s="53">
        <f>SUM('Stavební rozpočet'!W12:W75)</f>
        <v>0</v>
      </c>
      <c r="D19" s="101"/>
      <c r="E19" s="102"/>
      <c r="F19" s="54"/>
      <c r="G19" s="101" t="s">
        <v>281</v>
      </c>
      <c r="H19" s="102"/>
      <c r="I19" s="53">
        <v>0</v>
      </c>
      <c r="J19" s="31"/>
    </row>
    <row r="20" spans="1:10" ht="15" customHeight="1">
      <c r="A20" s="103" t="s">
        <v>254</v>
      </c>
      <c r="B20" s="104"/>
      <c r="C20" s="53">
        <f>SUM('Stavební rozpočet'!X12:X75)</f>
        <v>0</v>
      </c>
      <c r="D20" s="101"/>
      <c r="E20" s="102"/>
      <c r="F20" s="54"/>
      <c r="G20" s="101"/>
      <c r="H20" s="102"/>
      <c r="I20" s="54"/>
      <c r="J20" s="31"/>
    </row>
    <row r="21" spans="1:10" ht="15" customHeight="1">
      <c r="A21" s="103" t="s">
        <v>255</v>
      </c>
      <c r="B21" s="104"/>
      <c r="C21" s="53">
        <f>SUM('Stavební rozpočet'!P12:P75)</f>
        <v>0</v>
      </c>
      <c r="D21" s="101"/>
      <c r="E21" s="102"/>
      <c r="F21" s="54"/>
      <c r="G21" s="101"/>
      <c r="H21" s="102"/>
      <c r="I21" s="54"/>
      <c r="J21" s="31"/>
    </row>
    <row r="22" spans="1:10" ht="16.5" customHeight="1">
      <c r="A22" s="103" t="s">
        <v>256</v>
      </c>
      <c r="B22" s="104"/>
      <c r="C22" s="53">
        <f>SUM(C14:C21)</f>
        <v>0</v>
      </c>
      <c r="D22" s="103" t="s">
        <v>270</v>
      </c>
      <c r="E22" s="104"/>
      <c r="F22" s="53">
        <f>SUM(F14:F21)</f>
        <v>0</v>
      </c>
      <c r="G22" s="103" t="s">
        <v>282</v>
      </c>
      <c r="H22" s="104"/>
      <c r="I22" s="53">
        <f>ROUND(C22*(2.8/100),2)</f>
        <v>0</v>
      </c>
      <c r="J22" s="31"/>
    </row>
    <row r="23" spans="1:10" ht="15" customHeight="1">
      <c r="A23" s="8"/>
      <c r="B23" s="8"/>
      <c r="C23" s="51"/>
      <c r="D23" s="103" t="s">
        <v>271</v>
      </c>
      <c r="E23" s="104"/>
      <c r="F23" s="55">
        <v>0</v>
      </c>
      <c r="G23" s="103" t="s">
        <v>283</v>
      </c>
      <c r="H23" s="104"/>
      <c r="I23" s="53">
        <v>0</v>
      </c>
      <c r="J23" s="31"/>
    </row>
    <row r="24" spans="4:9" ht="15" customHeight="1">
      <c r="D24" s="8"/>
      <c r="E24" s="8"/>
      <c r="F24" s="56"/>
      <c r="G24" s="103" t="s">
        <v>284</v>
      </c>
      <c r="H24" s="104"/>
      <c r="I24" s="58"/>
    </row>
    <row r="25" spans="6:10" ht="15" customHeight="1">
      <c r="F25" s="57"/>
      <c r="G25" s="103" t="s">
        <v>285</v>
      </c>
      <c r="H25" s="104"/>
      <c r="I25" s="53">
        <v>0</v>
      </c>
      <c r="J25" s="31"/>
    </row>
    <row r="26" spans="1:9" ht="12.75">
      <c r="A26" s="44"/>
      <c r="B26" s="44"/>
      <c r="C26" s="44"/>
      <c r="G26" s="8"/>
      <c r="H26" s="8"/>
      <c r="I26" s="8"/>
    </row>
    <row r="27" spans="1:9" ht="15" customHeight="1">
      <c r="A27" s="105" t="s">
        <v>257</v>
      </c>
      <c r="B27" s="106"/>
      <c r="C27" s="59">
        <f>SUM('Stavební rozpočet'!Z12:Z75)</f>
        <v>0</v>
      </c>
      <c r="D27" s="52"/>
      <c r="E27" s="44"/>
      <c r="F27" s="44"/>
      <c r="G27" s="44"/>
      <c r="H27" s="44"/>
      <c r="I27" s="44"/>
    </row>
    <row r="28" spans="1:10" ht="15" customHeight="1">
      <c r="A28" s="105" t="s">
        <v>258</v>
      </c>
      <c r="B28" s="106"/>
      <c r="C28" s="59">
        <f>SUM('Stavební rozpočet'!AA12:AA75)</f>
        <v>0</v>
      </c>
      <c r="D28" s="105" t="s">
        <v>272</v>
      </c>
      <c r="E28" s="106"/>
      <c r="F28" s="59">
        <f>ROUND(C28*(15/100),2)</f>
        <v>0</v>
      </c>
      <c r="G28" s="105" t="s">
        <v>286</v>
      </c>
      <c r="H28" s="106"/>
      <c r="I28" s="59">
        <f>SUM(C27:C29)</f>
        <v>0</v>
      </c>
      <c r="J28" s="31"/>
    </row>
    <row r="29" spans="1:10" ht="15" customHeight="1">
      <c r="A29" s="105" t="s">
        <v>259</v>
      </c>
      <c r="B29" s="106"/>
      <c r="C29" s="59">
        <f>SUM('Stavební rozpočet'!AB12:AB75)+(F22+I22+F23+I23+I24+I25)</f>
        <v>0</v>
      </c>
      <c r="D29" s="105" t="s">
        <v>273</v>
      </c>
      <c r="E29" s="106"/>
      <c r="F29" s="59">
        <f>ROUND(C29*(21/100),2)</f>
        <v>0</v>
      </c>
      <c r="G29" s="105" t="s">
        <v>287</v>
      </c>
      <c r="H29" s="106"/>
      <c r="I29" s="59">
        <f>SUM(F28:F29)+I28</f>
        <v>0</v>
      </c>
      <c r="J29" s="31"/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1" spans="1:10" ht="14.25" customHeight="1">
      <c r="A31" s="107" t="s">
        <v>260</v>
      </c>
      <c r="B31" s="108"/>
      <c r="C31" s="109"/>
      <c r="D31" s="107" t="s">
        <v>274</v>
      </c>
      <c r="E31" s="108"/>
      <c r="F31" s="109"/>
      <c r="G31" s="107" t="s">
        <v>288</v>
      </c>
      <c r="H31" s="108"/>
      <c r="I31" s="109"/>
      <c r="J31" s="32"/>
    </row>
    <row r="32" spans="1:10" ht="14.25" customHeight="1">
      <c r="A32" s="110"/>
      <c r="B32" s="111"/>
      <c r="C32" s="112"/>
      <c r="D32" s="110"/>
      <c r="E32" s="111"/>
      <c r="F32" s="112"/>
      <c r="G32" s="110"/>
      <c r="H32" s="111"/>
      <c r="I32" s="112"/>
      <c r="J32" s="32"/>
    </row>
    <row r="33" spans="1:10" ht="14.25" customHeight="1">
      <c r="A33" s="110"/>
      <c r="B33" s="111"/>
      <c r="C33" s="112"/>
      <c r="D33" s="110"/>
      <c r="E33" s="111"/>
      <c r="F33" s="112"/>
      <c r="G33" s="110"/>
      <c r="H33" s="111"/>
      <c r="I33" s="112"/>
      <c r="J33" s="32"/>
    </row>
    <row r="34" spans="1:10" ht="14.25" customHeight="1">
      <c r="A34" s="110"/>
      <c r="B34" s="111"/>
      <c r="C34" s="112"/>
      <c r="D34" s="110"/>
      <c r="E34" s="111"/>
      <c r="F34" s="112"/>
      <c r="G34" s="110"/>
      <c r="H34" s="111"/>
      <c r="I34" s="112"/>
      <c r="J34" s="32"/>
    </row>
    <row r="35" spans="1:10" ht="14.25" customHeight="1">
      <c r="A35" s="113" t="s">
        <v>261</v>
      </c>
      <c r="B35" s="114"/>
      <c r="C35" s="115"/>
      <c r="D35" s="113" t="s">
        <v>261</v>
      </c>
      <c r="E35" s="114"/>
      <c r="F35" s="115"/>
      <c r="G35" s="113" t="s">
        <v>261</v>
      </c>
      <c r="H35" s="114"/>
      <c r="I35" s="115"/>
      <c r="J35" s="32"/>
    </row>
    <row r="36" spans="1:9" ht="11.25" customHeight="1">
      <c r="A36" s="49" t="s">
        <v>63</v>
      </c>
      <c r="B36" s="40"/>
      <c r="C36" s="40"/>
      <c r="D36" s="40"/>
      <c r="E36" s="40"/>
      <c r="F36" s="40"/>
      <c r="G36" s="40"/>
      <c r="H36" s="40"/>
      <c r="I36" s="40"/>
    </row>
    <row r="37" spans="1:9" ht="409.5" customHeight="1" hidden="1">
      <c r="A37" s="74"/>
      <c r="B37" s="66"/>
      <c r="C37" s="66"/>
      <c r="D37" s="66"/>
      <c r="E37" s="66"/>
      <c r="F37" s="66"/>
      <c r="G37" s="66"/>
      <c r="H37" s="66"/>
      <c r="I37" s="66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tnstav</cp:lastModifiedBy>
  <dcterms:modified xsi:type="dcterms:W3CDTF">2016-08-23T05:39:57Z</dcterms:modified>
  <cp:category/>
  <cp:version/>
  <cp:contentType/>
  <cp:contentStatus/>
</cp:coreProperties>
</file>