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 rozpočtu_ZT" sheetId="1" r:id="rId1"/>
    <sheet name="Rozpočet_ZT" sheetId="2" r:id="rId2"/>
  </sheets>
  <definedNames>
    <definedName name="_xlnm.Print_Area">'Krycí list rozpočtu_ZT'!$A$1:$I$33</definedName>
    <definedName name="_xlnm.Print_Area_1">#REF!</definedName>
    <definedName name="_xlnm.Print_Area_2">'Rozpočet_ZT'!$A$1:$L$191</definedName>
    <definedName name="_xlnm.Print_Area_3">#REF!</definedName>
    <definedName name="_xlnm.Print_Area" localSheetId="0">'Krycí list rozpočtu_ZT'!$A$1:$I$33</definedName>
    <definedName name="_xlnm.Print_Area" localSheetId="1">'Rozpočet_ZT'!$A$1:$L$191</definedName>
  </definedNames>
  <calcPr fullCalcOnLoad="1"/>
</workbook>
</file>

<file path=xl/sharedStrings.xml><?xml version="1.0" encoding="utf-8"?>
<sst xmlns="http://schemas.openxmlformats.org/spreadsheetml/2006/main" count="981" uniqueCount="572">
  <si>
    <t>Krycí list rozpočtu ZT</t>
  </si>
  <si>
    <t>Název stavby:</t>
  </si>
  <si>
    <t>Restaurace Stodola, Kupeckého 832/2, Praha 4</t>
  </si>
  <si>
    <t>Objednatel:</t>
  </si>
  <si>
    <t>IČ/DIČ:</t>
  </si>
  <si>
    <t>Druh stavby:</t>
  </si>
  <si>
    <t>Projektant:</t>
  </si>
  <si>
    <t>Lokalita:</t>
  </si>
  <si>
    <t>Praha 4</t>
  </si>
  <si>
    <t>Zhotovitel:</t>
  </si>
  <si>
    <t>Začátek výstavby:</t>
  </si>
  <si>
    <t>Konec výstavby:</t>
  </si>
  <si>
    <t>Položek:</t>
  </si>
  <si>
    <t>168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</si>
  <si>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</si>
  <si>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</si>
  <si>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</si>
  <si>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</si>
  <si>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</si>
  <si>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</si>
  <si>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</si>
  <si>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</si>
  <si>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</si>
  <si>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</si>
  <si>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</si>
  <si>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</si>
  <si>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</si>
  <si>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</si>
  <si>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</si>
  <si>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</si>
  <si>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</si>
  <si>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</si>
  <si>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</si>
  <si>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</si>
  <si>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</si>
  <si>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</si>
  <si>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</si>
  <si>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</si>
  <si>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</si>
  <si>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</si>
  <si>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</si>
  <si>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</si>
  <si>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</si>
  <si>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</si>
  <si>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</si>
  <si>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</si>
  <si>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</si>
  <si>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</si>
  <si>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</si>
  <si>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</si>
  <si>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</si>
  <si>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</si>
  <si>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Datum, razítko a podpis</t>
  </si>
  <si>
    <t>Rozpočet ZT</t>
  </si>
  <si>
    <t>Doba výstavby:</t>
  </si>
  <si>
    <t>Zpracováno dne:</t>
  </si>
  <si>
    <t xml:space="preserve"> </t>
  </si>
  <si>
    <t>Jednot.</t>
  </si>
  <si>
    <t>Náklady (Kč)</t>
  </si>
  <si>
    <t>Hmotnost (t)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</si>
  <si>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</si>
  <si>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</si>
  <si>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</si>
  <si>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</si>
  <si>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</si>
  <si>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</si>
  <si>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</si>
  <si>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</si>
  <si>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</si>
  <si>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</si>
  <si>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</si>
  <si>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</si>
  <si>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</si>
  <si>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</si>
  <si>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</si>
  <si>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</si>
  <si>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</si>
  <si>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</si>
  <si>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</t>
  </si>
  <si>
    <t>Hloubené vykopávky - kanalizace</t>
  </si>
  <si>
    <t>HS</t>
  </si>
  <si>
    <t>1</t>
  </si>
  <si>
    <t>132201101R00</t>
  </si>
  <si>
    <t>Hloubení rýh šířky do 60 cm v hor.3 do 100 m3</t>
  </si>
  <si>
    <t>m3</t>
  </si>
  <si>
    <t>2</t>
  </si>
  <si>
    <t>132201109R00</t>
  </si>
  <si>
    <t>Příplatek za lepivost - hloubení rýh 60 cm v hor.3</t>
  </si>
  <si>
    <t>3</t>
  </si>
  <si>
    <t>965043441RT2</t>
  </si>
  <si>
    <t>Bourání podkladů bet., potěr tl. 15 cm, nad 4 m2</t>
  </si>
  <si>
    <t>4</t>
  </si>
  <si>
    <t>965082933RT2</t>
  </si>
  <si>
    <t>Odstranění násypu tl. do 20 cm, plocha nad 2 m2</t>
  </si>
  <si>
    <t>17</t>
  </si>
  <si>
    <t>Konstrukce ze zemin - vodovod + kanalizace</t>
  </si>
  <si>
    <t>5</t>
  </si>
  <si>
    <t>171204111R00</t>
  </si>
  <si>
    <t>Ulozeni sypaniny bez zhut na skl</t>
  </si>
  <si>
    <t>6</t>
  </si>
  <si>
    <t>174101101R00</t>
  </si>
  <si>
    <t>Zásyp jam, rýh, šachet se zhutněním</t>
  </si>
  <si>
    <t>7</t>
  </si>
  <si>
    <t>175101101RT2</t>
  </si>
  <si>
    <t>Obsyp potrubí bez prohození sypaniny</t>
  </si>
  <si>
    <t>721</t>
  </si>
  <si>
    <t>Vnitřní kanalizace</t>
  </si>
  <si>
    <t>PS</t>
  </si>
  <si>
    <t>8</t>
  </si>
  <si>
    <t>55162537.A</t>
  </si>
  <si>
    <t>HL810 hlavice větrací střešní DN 110 - souprava</t>
  </si>
  <si>
    <t>kus</t>
  </si>
  <si>
    <t>0</t>
  </si>
  <si>
    <t>9</t>
  </si>
  <si>
    <t>55162545.A</t>
  </si>
  <si>
    <t>HL900Nventil (hlavice) přivzdušňovací DN 50/75/100</t>
  </si>
  <si>
    <t>10</t>
  </si>
  <si>
    <t>55284044</t>
  </si>
  <si>
    <t>Závěs stropní stavitelný d 2 G  Js 108</t>
  </si>
  <si>
    <t>11</t>
  </si>
  <si>
    <t>55284048</t>
  </si>
  <si>
    <t>Závěs stropní stavitelný d 2 G  Js 133</t>
  </si>
  <si>
    <t>12</t>
  </si>
  <si>
    <t>721000017VD</t>
  </si>
  <si>
    <t>Jádrové vrtání - otvor DN150</t>
  </si>
  <si>
    <t>ks</t>
  </si>
  <si>
    <t>721000018VD</t>
  </si>
  <si>
    <t>Jádrové vrtání - otvor DN100</t>
  </si>
  <si>
    <t>14</t>
  </si>
  <si>
    <t>Přirážka na tvarovky 35%</t>
  </si>
  <si>
    <t>15</t>
  </si>
  <si>
    <t>721000019VD</t>
  </si>
  <si>
    <t>Protipožární manžeta INTUMEX RS10-125-30</t>
  </si>
  <si>
    <t>16</t>
  </si>
  <si>
    <t>721000020VD</t>
  </si>
  <si>
    <t>Protipožární manžeta INTUMEX RS10-110-30</t>
  </si>
  <si>
    <t>Podlahová vpust 4010S70K - DN70 (LAF Nová Paka)</t>
  </si>
  <si>
    <t>18</t>
  </si>
  <si>
    <t>721140802R00</t>
  </si>
  <si>
    <t>Demontáž potrubí litinového DN 100</t>
  </si>
  <si>
    <t>m</t>
  </si>
  <si>
    <t>19</t>
  </si>
  <si>
    <t>721140917R00</t>
  </si>
  <si>
    <t>Oprava - propojení dosavadního potrubí DN 150</t>
  </si>
  <si>
    <t>20</t>
  </si>
  <si>
    <t>721140927R00</t>
  </si>
  <si>
    <t>Oprava potrubí litinového, krácení trub DN 150</t>
  </si>
  <si>
    <t>21</t>
  </si>
  <si>
    <t>721170958R00</t>
  </si>
  <si>
    <t>Oprava-vsazení odbočky, potrubí PVC hrdlové DN 200</t>
  </si>
  <si>
    <t>22</t>
  </si>
  <si>
    <t>721170968R00</t>
  </si>
  <si>
    <t>Oprava - propojení dosavadního potrubí PVC DN 200</t>
  </si>
  <si>
    <t>23</t>
  </si>
  <si>
    <t>721170978R00</t>
  </si>
  <si>
    <t>Oprava potrubí z PVC, krácení trub DN 200</t>
  </si>
  <si>
    <t>24</t>
  </si>
  <si>
    <t>721171809R00</t>
  </si>
  <si>
    <t>Demontáž potrubí z PVC do DN 160</t>
  </si>
  <si>
    <t>25</t>
  </si>
  <si>
    <t>721176102R00</t>
  </si>
  <si>
    <t>Potrubí HT připojovací DN 40 x 1,8 mm</t>
  </si>
  <si>
    <t>26</t>
  </si>
  <si>
    <t>721176103R00</t>
  </si>
  <si>
    <t>Potrubí HT připojovací DN 50 x 1,8 mm</t>
  </si>
  <si>
    <t>27</t>
  </si>
  <si>
    <t>721176104R00</t>
  </si>
  <si>
    <t>Potrubí HT připojovací DN 70 x 1,9 mm</t>
  </si>
  <si>
    <t>28</t>
  </si>
  <si>
    <t>721176105R00</t>
  </si>
  <si>
    <t>Potrubí HT připojovací DN 100 x 2,7 mm</t>
  </si>
  <si>
    <t>29</t>
  </si>
  <si>
    <t>721176115R00</t>
  </si>
  <si>
    <t>Potrubí HT odpadní svislé DN 100 x 2,7 mm</t>
  </si>
  <si>
    <t>30</t>
  </si>
  <si>
    <t>721176135R00</t>
  </si>
  <si>
    <t>Potrubí HT svodné (ležaté) zavěšené DN 100 x 2,7mm</t>
  </si>
  <si>
    <t>31</t>
  </si>
  <si>
    <t>721176136R00</t>
  </si>
  <si>
    <t>Potrubí HT svodné (ležaté) zavěšené DN 125 x 3,1mm</t>
  </si>
  <si>
    <t>32</t>
  </si>
  <si>
    <t>721176232R00</t>
  </si>
  <si>
    <t>Potrubí KG svodné (ležaté) zavěšené DN 100 x 3,2mm</t>
  </si>
  <si>
    <t>33</t>
  </si>
  <si>
    <t>721176233R00</t>
  </si>
  <si>
    <t>Potrubí KG svodné (ležaté) zavěšené DN 125 x 3,2mm</t>
  </si>
  <si>
    <t>34</t>
  </si>
  <si>
    <t>721194104R00</t>
  </si>
  <si>
    <t>Vyvedení odpadních výpustek D 40 x 1,8</t>
  </si>
  <si>
    <t>35</t>
  </si>
  <si>
    <t>721194105R00</t>
  </si>
  <si>
    <t>Vyvedení odpadních výpustek D 50 x 1,8</t>
  </si>
  <si>
    <t>36</t>
  </si>
  <si>
    <t>721194107R00</t>
  </si>
  <si>
    <t>Vyvedení odpadních výpustek D 75 x 1,9</t>
  </si>
  <si>
    <t>37</t>
  </si>
  <si>
    <t>721194109R00</t>
  </si>
  <si>
    <t>Vyvedení odpadních výpustek D 110 x 2,3</t>
  </si>
  <si>
    <t>38</t>
  </si>
  <si>
    <t>721290111R00</t>
  </si>
  <si>
    <t>Zkouška těsnosti kanalizace vodou DN 125</t>
  </si>
  <si>
    <t>722</t>
  </si>
  <si>
    <t>Vnitřní vodovod</t>
  </si>
  <si>
    <t>39</t>
  </si>
  <si>
    <t>28377135</t>
  </si>
  <si>
    <t>Páska samolepicí na izolace potrubí Mirelon - (STODOLA)</t>
  </si>
  <si>
    <t>40</t>
  </si>
  <si>
    <t>Páska samolepicí na izolace potrubí Mirelon - (LOTOS)</t>
  </si>
  <si>
    <t>41</t>
  </si>
  <si>
    <t>283771481</t>
  </si>
  <si>
    <t>Trubice izolační MIRELON POLAR 22x6 mm - (STODOLA)</t>
  </si>
  <si>
    <t>42</t>
  </si>
  <si>
    <t>283771484</t>
  </si>
  <si>
    <t>Trubice izolační MIRELON POLAR 22x20 mm - (STODOLA)</t>
  </si>
  <si>
    <t>43</t>
  </si>
  <si>
    <t>Trubice izolační MIRELON POLAR 22x20 mm - (LOTOS)</t>
  </si>
  <si>
    <t>44</t>
  </si>
  <si>
    <t>28377150.A</t>
  </si>
  <si>
    <t>Trubice izolační MIRELON POLAR 25x6 mm - (STODOLA)</t>
  </si>
  <si>
    <t>45</t>
  </si>
  <si>
    <t>Trubice izolační MIRELON POLAR 25x6 mm - (LOTOS)</t>
  </si>
  <si>
    <t>46</t>
  </si>
  <si>
    <t>28377151</t>
  </si>
  <si>
    <t>Trubice izolační MIRELON POLAR 25x20 mm - (STODOLA)</t>
  </si>
  <si>
    <t>47</t>
  </si>
  <si>
    <t>Trubice izolační MIRELON POLAR 25x20 mm - (LOTOS)</t>
  </si>
  <si>
    <t>48</t>
  </si>
  <si>
    <t>283771580</t>
  </si>
  <si>
    <t>Trubice izolační MIRELON POLAR 35x6 mm - (STODOLA)</t>
  </si>
  <si>
    <t>49</t>
  </si>
  <si>
    <t>Trubice izolační MIRELON POLAR 35x6 mm - (LOTOS)</t>
  </si>
  <si>
    <t>50</t>
  </si>
  <si>
    <t>283771584</t>
  </si>
  <si>
    <t>Trubice izolační MIRELON POLAR 35x25 mm - (STODOLA)</t>
  </si>
  <si>
    <t>51</t>
  </si>
  <si>
    <t>Trubice izolační MIRELON POLAR 35x25 mm - (LOTOS)</t>
  </si>
  <si>
    <t>52</t>
  </si>
  <si>
    <t>283771631</t>
  </si>
  <si>
    <t>Trubice izolační MIRELON POLAR 42x6 mm - (STODOLA)</t>
  </si>
  <si>
    <t>53</t>
  </si>
  <si>
    <t>Trubice izolační MIRELON POLAR 42x6 mm - (LOTOS)</t>
  </si>
  <si>
    <t>54</t>
  </si>
  <si>
    <t>28377166.A</t>
  </si>
  <si>
    <t>Trubice izolační MIRELON POLAR 45x25 mm - (STODOLA)</t>
  </si>
  <si>
    <t>55</t>
  </si>
  <si>
    <t>28377169.A</t>
  </si>
  <si>
    <t>Trubice izolační MIRELON POLAR 52x9 mm - (STODOLA)</t>
  </si>
  <si>
    <t>56</t>
  </si>
  <si>
    <t>28377174.A</t>
  </si>
  <si>
    <t>Trubice izolační MIRELON POLAR 65x9 mm</t>
  </si>
  <si>
    <t>57</t>
  </si>
  <si>
    <t>28615133</t>
  </si>
  <si>
    <t>Trubka D 20 x 2,8 mm délka 4 m PN 16 PPR - (STODOLA)</t>
  </si>
  <si>
    <t>58</t>
  </si>
  <si>
    <t>28615135</t>
  </si>
  <si>
    <t>Trubka D 25 x 3,5 mm délka 4 m PN 16 PPR - (STODOLA)</t>
  </si>
  <si>
    <t>59</t>
  </si>
  <si>
    <t>Trubka D 25 x 3,5 mm délka 4 m PN 16 PPR - (LOTOS)</t>
  </si>
  <si>
    <t>60</t>
  </si>
  <si>
    <t>28615138</t>
  </si>
  <si>
    <t>Trubka D 32 x 4,4 mm délka 4 m PN 16 PPR - (STODOLA)</t>
  </si>
  <si>
    <t>61</t>
  </si>
  <si>
    <t>Trubka D 32 x 4,4 mm délka 4 m PN 16 PPR - (LOTOS)</t>
  </si>
  <si>
    <t>62</t>
  </si>
  <si>
    <t>28615140</t>
  </si>
  <si>
    <t>Trubka D 40 x 5,5 mm délka 4 m PN 16 PPR - (STODOLA)</t>
  </si>
  <si>
    <t>63</t>
  </si>
  <si>
    <t>Trubka D 40 x 5,5 mm délka 4 m PN 16 PPR - (LOTOS)</t>
  </si>
  <si>
    <t>64</t>
  </si>
  <si>
    <t>28615143</t>
  </si>
  <si>
    <t>Trubka D 50 x 6,9 mm délka 4 m PN 16 PPR - (STODOLA)</t>
  </si>
  <si>
    <t>65</t>
  </si>
  <si>
    <t>28615145</t>
  </si>
  <si>
    <t>Trubka D 63 x 8,6 mm délka 4 m PN 16 PPR - (STODOLA)</t>
  </si>
  <si>
    <t>66</t>
  </si>
  <si>
    <t>28615176.A</t>
  </si>
  <si>
    <t>Trubka STABI d 20 x  2,8 mm délka 4 m PN 20 PPR - (STODOLA)</t>
  </si>
  <si>
    <t>67</t>
  </si>
  <si>
    <t>Trubka STABI d 20 x  2,8 mm délka 4 m PN 20 PPR - (LOTOS)</t>
  </si>
  <si>
    <t>68</t>
  </si>
  <si>
    <t>28615177.A</t>
  </si>
  <si>
    <t>Trubka STABI d 25 x  3,5 mm délka 4 m PN 20 PPR - (STODOLA)</t>
  </si>
  <si>
    <t>69</t>
  </si>
  <si>
    <t>Trubka STABI d 25 x  3,5 mm délka 4 m PN 20 PPR - (LOTOS)</t>
  </si>
  <si>
    <t>70</t>
  </si>
  <si>
    <t>28615178.A</t>
  </si>
  <si>
    <t>Trubka STABI d 32 x  4,4 mm délka 4 m PN 20 PPR - (STODOLA)</t>
  </si>
  <si>
    <t>71</t>
  </si>
  <si>
    <t>Trubka STABI d 32 x  4,4 mm délka 4 m PN 20 PPR - (LOTOS)</t>
  </si>
  <si>
    <t>72</t>
  </si>
  <si>
    <t>28615179.A</t>
  </si>
  <si>
    <t>Trubka STABI d 40 x  5,5 mm délka 4 m PN 20 PPR - (STODOLA)</t>
  </si>
  <si>
    <t>73</t>
  </si>
  <si>
    <t>42260624</t>
  </si>
  <si>
    <t>Ventil odvzdušňovací automatický R99  1/2" - (STODOLA)</t>
  </si>
  <si>
    <t>74</t>
  </si>
  <si>
    <t>Ventil odvzdušňovací automatický R99  1/2" - (LOTOS)</t>
  </si>
  <si>
    <t>75</t>
  </si>
  <si>
    <t>44982690</t>
  </si>
  <si>
    <t>Hydrantový systém s hadicí D25/30 nerez,plné dveře</t>
  </si>
  <si>
    <t>76</t>
  </si>
  <si>
    <t>55113418.A</t>
  </si>
  <si>
    <t>Kohout kulový rohový R782 1/2" plnoprůt. GIACOMINI - (STODOLA)</t>
  </si>
  <si>
    <t>77</t>
  </si>
  <si>
    <t>55113524.A</t>
  </si>
  <si>
    <t>Kohout kulový R250D, PN 42 1/2" páčka, Giacomini - (STODOLA)</t>
  </si>
  <si>
    <t>78</t>
  </si>
  <si>
    <t>Kohout kulový R250D, PN 42 1/2" páčka, Giacomini - (LOTOS)</t>
  </si>
  <si>
    <t>79</t>
  </si>
  <si>
    <t>55113525.A</t>
  </si>
  <si>
    <t>Kohout kulový R250D, PN 42 3/4" páčka, Giacomini - (LOTOS)</t>
  </si>
  <si>
    <t>80</t>
  </si>
  <si>
    <t>Kohout kulový R250D, PN 42 3/4" páčka, Giacomini - (STODOLA)</t>
  </si>
  <si>
    <t>81</t>
  </si>
  <si>
    <t>55113526.A</t>
  </si>
  <si>
    <t>Kohout kulový R250D, PN 35 1" páčka, Giacomini - (STODOLA)</t>
  </si>
  <si>
    <t>82</t>
  </si>
  <si>
    <t>Kohout kulový R250D, PN 35 1" páčka, Giacomini - (LOTOS)</t>
  </si>
  <si>
    <t>83</t>
  </si>
  <si>
    <t>55113527.A</t>
  </si>
  <si>
    <t>Kohout kulový R250D, PN 35 1 1/4" páčka, Giacomini - (STODOLA)</t>
  </si>
  <si>
    <t>84</t>
  </si>
  <si>
    <t>Kohout kulový R250D, PN 35 1 1/4" páčka, Giacomini (LOTOS)</t>
  </si>
  <si>
    <t>85</t>
  </si>
  <si>
    <t>55113529.A</t>
  </si>
  <si>
    <t>Kohout kulový R250D, PN 35 2" páčka, Giacomini - (STODOLA)</t>
  </si>
  <si>
    <t>86</t>
  </si>
  <si>
    <t>55113532001</t>
  </si>
  <si>
    <t>Kohout kulový s vypoušť. R250DS 1 1/2" Giacomini - (STODOLA)</t>
  </si>
  <si>
    <t>87</t>
  </si>
  <si>
    <t>55113532002</t>
  </si>
  <si>
    <t>Kohout kulový s vypouštěním R250DS 2" Giacomini _STODOLA)</t>
  </si>
  <si>
    <t>88</t>
  </si>
  <si>
    <t>5511361551</t>
  </si>
  <si>
    <t>Filtr s vnitřními závity R74A 1" Giacomini - (LOTOS)</t>
  </si>
  <si>
    <t>89</t>
  </si>
  <si>
    <t>5511361554</t>
  </si>
  <si>
    <t>Filtr s vnitřními závity R74A 2" Giacomini - (STODOLA)</t>
  </si>
  <si>
    <t>90</t>
  </si>
  <si>
    <t>55284012</t>
  </si>
  <si>
    <t>Závěs stropní stavitelný d 1/2 G  Js 22 - (STODOLA)</t>
  </si>
  <si>
    <t>91</t>
  </si>
  <si>
    <t>Závěs stropní stavitelný d 1/2 G  Js 22 - (LOTOS)</t>
  </si>
  <si>
    <t>92</t>
  </si>
  <si>
    <t>55284014</t>
  </si>
  <si>
    <t>Závěs stropní stavitelný d 3/4 G  Js 28 - (STODOLA)</t>
  </si>
  <si>
    <t>93</t>
  </si>
  <si>
    <t>55284018</t>
  </si>
  <si>
    <t>Závěs stropní stavitelný d 1 G  Js 34 - (STODOLA)</t>
  </si>
  <si>
    <t>94</t>
  </si>
  <si>
    <t>Závěs stropní stavitelný d 1 G  Js 34 - (LOTOS)</t>
  </si>
  <si>
    <t>95</t>
  </si>
  <si>
    <t>55284022</t>
  </si>
  <si>
    <t>Závěs stropní stavitelný d 5/4 G  Js 43 - (STODOLA)</t>
  </si>
  <si>
    <t>96</t>
  </si>
  <si>
    <t>Závěs stropní stavitelný d 5/4 G  Js 43 - (LOTOS)</t>
  </si>
  <si>
    <t>97</t>
  </si>
  <si>
    <t>55284028</t>
  </si>
  <si>
    <t>Závěs stropní stavitelný d 6/4 G  Js 57 - (STODOLA)</t>
  </si>
  <si>
    <t>98</t>
  </si>
  <si>
    <t>7220000001VD</t>
  </si>
  <si>
    <t>Přirážka na tvarovky - 30% - (STODOLA)</t>
  </si>
  <si>
    <t>99</t>
  </si>
  <si>
    <t>722000002VD</t>
  </si>
  <si>
    <t>Přirážka na tvarovky - 30% - (LOTOS)</t>
  </si>
  <si>
    <t>100</t>
  </si>
  <si>
    <t>722000008VD</t>
  </si>
  <si>
    <t>Vyvažovací ventil STAD - DN15 - (LOTOS)</t>
  </si>
  <si>
    <t>101</t>
  </si>
  <si>
    <t>72200001VD</t>
  </si>
  <si>
    <t>Vyvažovací ventil STAD - DN15 - (STODOLA)</t>
  </si>
  <si>
    <t>102</t>
  </si>
  <si>
    <t>72200002VD</t>
  </si>
  <si>
    <t>Jádrové vrtání otvor DN20 - (STODOLA)</t>
  </si>
  <si>
    <t>103</t>
  </si>
  <si>
    <t>72200010VD</t>
  </si>
  <si>
    <t>Protipožární manžeta INTUMEX RS10 - (STODOLA)</t>
  </si>
  <si>
    <t>104</t>
  </si>
  <si>
    <t>722100004RAB</t>
  </si>
  <si>
    <t>Vodovod, potrubí ocelové pozink. DN 25, ochrana - (STODOLA)</t>
  </si>
  <si>
    <t>105</t>
  </si>
  <si>
    <t>722100005RAB</t>
  </si>
  <si>
    <t>Vodovod, potrubí ocelové pozink. DN 50, ochrana - (STODOLA)</t>
  </si>
  <si>
    <t>106</t>
  </si>
  <si>
    <t>722176112R00</t>
  </si>
  <si>
    <t>Montáž rozvodů z plastů polyfúz. svařováním DN 20 - (STODOLA)</t>
  </si>
  <si>
    <t>107</t>
  </si>
  <si>
    <t>Montáž rozvodů z plastů polyfúz. svařováním DN 20 - (LOTOS)</t>
  </si>
  <si>
    <t>108</t>
  </si>
  <si>
    <t>722176113R00</t>
  </si>
  <si>
    <t>Montáž rozvodů z plastů polyfúz. svařováním DN 25 - (STODOLA)</t>
  </si>
  <si>
    <t>109</t>
  </si>
  <si>
    <t>Montáž rozvodů z plastů polyfúz. svařováním DN 25 - (LOTOS)</t>
  </si>
  <si>
    <t>110</t>
  </si>
  <si>
    <t>722176114R00</t>
  </si>
  <si>
    <t>Montáž rozvodů z plastů polyfúz. svařováním DN 32 - (STODOLA)</t>
  </si>
  <si>
    <t>111</t>
  </si>
  <si>
    <t>Montáž rozvodů z plastů polyfúz. svařováním DN 32 - (LOTOS)</t>
  </si>
  <si>
    <t>112</t>
  </si>
  <si>
    <t>722176115R00</t>
  </si>
  <si>
    <t>Montáž rozvodů z plastů polyfúz. svařováním DN 40 - (STODOLA)</t>
  </si>
  <si>
    <t>113</t>
  </si>
  <si>
    <t>Montáž rozvodů z plastů polyfúz. svařováním DN 40 - (LOTOS)</t>
  </si>
  <si>
    <t>114</t>
  </si>
  <si>
    <t>722176116R00</t>
  </si>
  <si>
    <t>Montáž rozvodů z plastů polyfúz. svařováním DN 50 - (STODOLA)</t>
  </si>
  <si>
    <t>115</t>
  </si>
  <si>
    <t>722190401R00</t>
  </si>
  <si>
    <t>Vyvedení a upevnění výpustek DN 15 - (STODOLA)</t>
  </si>
  <si>
    <t>116</t>
  </si>
  <si>
    <t>Vyvedení a upevnění výpustek DN 15 - (LOTOS)</t>
  </si>
  <si>
    <t>117</t>
  </si>
  <si>
    <t>722190402R00</t>
  </si>
  <si>
    <t>Vyvedení a upevnění výpustek DN 20 - (STODOLA)</t>
  </si>
  <si>
    <t>118</t>
  </si>
  <si>
    <t>722190405R00</t>
  </si>
  <si>
    <t>Vyvedení a upevnění výpustek DN 50 - (LOTOS)</t>
  </si>
  <si>
    <t>119</t>
  </si>
  <si>
    <t>722200010RA0</t>
  </si>
  <si>
    <t>Demontáž potrubí ocelového do DN 50 - (STODOLA)</t>
  </si>
  <si>
    <t>120</t>
  </si>
  <si>
    <t>722223132R00</t>
  </si>
  <si>
    <t>Kohout kul.,vypouš.,bez zátky GIACOMINI R608 DN 15</t>
  </si>
  <si>
    <t>121</t>
  </si>
  <si>
    <t>722237663R00</t>
  </si>
  <si>
    <t>Klapka zpětná,2xvnitřní závit GIACOMINI N5 DN 25 - (STODOLA)</t>
  </si>
  <si>
    <t>122</t>
  </si>
  <si>
    <t>Klapka zpětná,2xvnitřní závit GIACOMINI N5 DN 25 - (LOTOS)</t>
  </si>
  <si>
    <t>123</t>
  </si>
  <si>
    <t>722237664R00</t>
  </si>
  <si>
    <t>Klapka zpětná,2xvnitřní závit GIACOMINI N5 DN 32 - (LOTOS)</t>
  </si>
  <si>
    <t>124</t>
  </si>
  <si>
    <t>722237666R00</t>
  </si>
  <si>
    <t>Klapka zpětná,2xvnitřní závit GIACOMINI N5 DN 50 - (STODOLA)</t>
  </si>
  <si>
    <t>125</t>
  </si>
  <si>
    <t>722239101R00</t>
  </si>
  <si>
    <t>Montáž vodovodních armatur 2závity, G 1/2 - (STODOLA)</t>
  </si>
  <si>
    <t>126</t>
  </si>
  <si>
    <t>Montáž vodovodních armatur 2závity, G 1/2 - (LOTOS)</t>
  </si>
  <si>
    <t>127</t>
  </si>
  <si>
    <t>722239102R00</t>
  </si>
  <si>
    <t>Montáž vodovodních armatur 2závity, G 3/4 - (LOTOS)</t>
  </si>
  <si>
    <t>128</t>
  </si>
  <si>
    <t>Montáž vodovodních armatur 2závity, G 3/4 - (STODOLA)</t>
  </si>
  <si>
    <t>129</t>
  </si>
  <si>
    <t>722239103R00</t>
  </si>
  <si>
    <t>Montáž vodovodních armatur 2závity, G 1 - (STODOLA)</t>
  </si>
  <si>
    <t>130</t>
  </si>
  <si>
    <t>Montáž vodovodních armatur 2závity, G 1 - (LOTOS)</t>
  </si>
  <si>
    <t>131</t>
  </si>
  <si>
    <t>722239104R00</t>
  </si>
  <si>
    <t>Montáž vodovodních armatur 2závity, G 5/4 - (STODOLA)</t>
  </si>
  <si>
    <t>132</t>
  </si>
  <si>
    <t>Montáž vodovodních armatur 2závity, G 5/4 - (LOTOS)</t>
  </si>
  <si>
    <t>133</t>
  </si>
  <si>
    <t>722239106R00</t>
  </si>
  <si>
    <t>Montáž vodovodních armatur 2závity, G 2 - (STODOLA)</t>
  </si>
  <si>
    <t>134</t>
  </si>
  <si>
    <t>722254110R00</t>
  </si>
  <si>
    <t>Demontáž hydrantových skříní - (STODOLA)</t>
  </si>
  <si>
    <t>soubor</t>
  </si>
  <si>
    <t>135</t>
  </si>
  <si>
    <t>722260801R00</t>
  </si>
  <si>
    <t>Demontáž vodoměrů přírubových DN 50 - (STODOLA)</t>
  </si>
  <si>
    <t>136</t>
  </si>
  <si>
    <t>722260812R00</t>
  </si>
  <si>
    <t>Demontáž vodoměrů závitových G 3/4 - (LOTOS)</t>
  </si>
  <si>
    <t>137</t>
  </si>
  <si>
    <t>722265163R00</t>
  </si>
  <si>
    <t>Vodoměr domovní TV Sensus AN 90 DN20x190mm, Qn 2,5 - (LOTOS)</t>
  </si>
  <si>
    <t>138</t>
  </si>
  <si>
    <t>722290226R00</t>
  </si>
  <si>
    <t>Zkouška tlaku potrubí závitového DN 50 - (STODOLA)</t>
  </si>
  <si>
    <t>139</t>
  </si>
  <si>
    <t>Zkouška tlaku potrubí závitového DN 50 - (LOTOS)</t>
  </si>
  <si>
    <t>140</t>
  </si>
  <si>
    <t>722290234R00</t>
  </si>
  <si>
    <t>Proplach a dezinfekce vodovod.potrubí DN 80 - (STODOLA)</t>
  </si>
  <si>
    <t>141</t>
  </si>
  <si>
    <t>Proplach a dezinfekce vodovod.potrubí DN 80 - (LOTOS)</t>
  </si>
  <si>
    <t>142</t>
  </si>
  <si>
    <t>734100812R00</t>
  </si>
  <si>
    <t>Demontáž armatur se dvěma přírubami do DN 100 - (STODOLA)</t>
  </si>
  <si>
    <t>143</t>
  </si>
  <si>
    <t>734200811R00</t>
  </si>
  <si>
    <t>Demontáž armatur s 1závitem do G 1/2 - (STODOLA)</t>
  </si>
  <si>
    <t>144</t>
  </si>
  <si>
    <t>734200822R00</t>
  </si>
  <si>
    <t>Demontáž armatur se 2závity do G 1 - (STODOLA)</t>
  </si>
  <si>
    <t>145</t>
  </si>
  <si>
    <t>Demontáž armatur se 2závity do G 1 - (LOTOS)</t>
  </si>
  <si>
    <t>146</t>
  </si>
  <si>
    <t>734200823R00</t>
  </si>
  <si>
    <t>Demontáž armatur se 2závity do G 6/4 - (STODOLA)</t>
  </si>
  <si>
    <t>725</t>
  </si>
  <si>
    <t>Zařizovací předměty</t>
  </si>
  <si>
    <t>147</t>
  </si>
  <si>
    <t>55145000</t>
  </si>
  <si>
    <t>Baterie umyvadlová stojánk s otvíráním odpadu PL21</t>
  </si>
  <si>
    <t>148</t>
  </si>
  <si>
    <t>55145014</t>
  </si>
  <si>
    <t>Baterie dřezová směšov nástěnná s ploch ústím PL04</t>
  </si>
  <si>
    <t>149</t>
  </si>
  <si>
    <t>55145020</t>
  </si>
  <si>
    <t>Baterie umyvadlová směš stojánková s otv odp PL21 s loketním ovládáním</t>
  </si>
  <si>
    <t>150</t>
  </si>
  <si>
    <t>72200005VD</t>
  </si>
  <si>
    <t>151</t>
  </si>
  <si>
    <t>72200006VD</t>
  </si>
  <si>
    <t>152</t>
  </si>
  <si>
    <t>72200007VD</t>
  </si>
  <si>
    <t>Ovládací tlačítko pro klozet</t>
  </si>
  <si>
    <t>153</t>
  </si>
  <si>
    <t>725014131R00</t>
  </si>
  <si>
    <t>154</t>
  </si>
  <si>
    <t>725014141R00</t>
  </si>
  <si>
    <t>155</t>
  </si>
  <si>
    <t>725017143R00</t>
  </si>
  <si>
    <t>156</t>
  </si>
  <si>
    <t>725017149R00</t>
  </si>
  <si>
    <t>157</t>
  </si>
  <si>
    <t>725017151R00</t>
  </si>
  <si>
    <t>Umyvadlo invalidní OLYMP-ZITA 64 x 50,5 cm, bílé</t>
  </si>
  <si>
    <t>158</t>
  </si>
  <si>
    <t>725019101R00</t>
  </si>
  <si>
    <t>Výlevka MIRA 5104.6 s plastovou mřížkou SAM T 611</t>
  </si>
  <si>
    <t>159</t>
  </si>
  <si>
    <t>725829202R00</t>
  </si>
  <si>
    <t>Montáž baterie umyv.a dřezové nástěnné</t>
  </si>
  <si>
    <t>160</t>
  </si>
  <si>
    <t>725829301R00</t>
  </si>
  <si>
    <t>Montáž baterie umyv.a dřezové stojánkové</t>
  </si>
  <si>
    <t>161</t>
  </si>
  <si>
    <t>725860201RT1</t>
  </si>
  <si>
    <t>Sifon dřezový HL100, 6/4 "</t>
  </si>
  <si>
    <t>162</t>
  </si>
  <si>
    <t>725860212RT1</t>
  </si>
  <si>
    <t>Sifon umyvadlový HL134.0 pod omítku</t>
  </si>
  <si>
    <t>163</t>
  </si>
  <si>
    <t>726211323R00</t>
  </si>
  <si>
    <t>Prorážení otvorů a ostatní bourací práce</t>
  </si>
  <si>
    <t>164</t>
  </si>
  <si>
    <t>971033591R00</t>
  </si>
  <si>
    <t>Vysekání drážek pro kanalizaci a vodovod</t>
  </si>
  <si>
    <t>H721</t>
  </si>
  <si>
    <t>PR</t>
  </si>
  <si>
    <t>165</t>
  </si>
  <si>
    <t>998721101R00</t>
  </si>
  <si>
    <t>Přesun hmot pro vnitřní kanalizaci, výšky do 6 m</t>
  </si>
  <si>
    <t>t</t>
  </si>
  <si>
    <t>H722</t>
  </si>
  <si>
    <t>166</t>
  </si>
  <si>
    <t>998722101R00</t>
  </si>
  <si>
    <t>Přesun hmot pro vnitřní vodovod, výšky do 6 m</t>
  </si>
  <si>
    <t>H725</t>
  </si>
  <si>
    <t>167</t>
  </si>
  <si>
    <t>998725101R00</t>
  </si>
  <si>
    <t>Přesun hmot pro zařizovací předměty, výšky do 6 m</t>
  </si>
  <si>
    <t>OM</t>
  </si>
  <si>
    <t>721000023VD</t>
  </si>
  <si>
    <t>Koordinace rozvodů kanalizace se stávajícími rozvody v 1.PP (EL., VZT, ÚT..)</t>
  </si>
  <si>
    <t>Celkem:</t>
  </si>
  <si>
    <t>169</t>
  </si>
  <si>
    <t>721000024VD</t>
  </si>
  <si>
    <t>Stavební a bourací přípomoce pro ZTI</t>
  </si>
  <si>
    <t>Pisoár Golem s automatickým radarovým splachovačem včetně sifonu</t>
  </si>
  <si>
    <t>Upevňovací sada pro pisoár</t>
  </si>
  <si>
    <t>Modul-WC Lyra, nastavitelný, h 112 cm</t>
  </si>
  <si>
    <t>Umyvadlo na šrouby Cubito</t>
  </si>
  <si>
    <t>Kryt sifonu umyvadel Cubito</t>
  </si>
  <si>
    <t>Klozet závěsný Jika + sedátko, bílý</t>
  </si>
  <si>
    <t>Klozet závěsný Jika ZTP + sedátko, bílý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</si>
</sst>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36">
      <alignment/>
      <protection/>
    </xf>
    <xf numFmtId="0" fontId="2" fillId="0" borderId="10" xfId="36" applyNumberFormat="1" applyFont="1" applyFill="1" applyBorder="1" applyAlignment="1" applyProtection="1">
      <alignment vertical="center"/>
      <protection/>
    </xf>
    <xf numFmtId="49" fontId="2" fillId="0" borderId="0" xfId="36" applyNumberFormat="1" applyFont="1" applyFill="1" applyBorder="1" applyAlignment="1" applyProtection="1">
      <alignment horizontal="left" vertical="center"/>
      <protection/>
    </xf>
    <xf numFmtId="49" fontId="5" fillId="33" borderId="11" xfId="36" applyNumberFormat="1" applyFont="1" applyFill="1" applyBorder="1" applyAlignment="1" applyProtection="1">
      <alignment horizontal="center" vertical="center"/>
      <protection/>
    </xf>
    <xf numFmtId="49" fontId="7" fillId="0" borderId="12" xfId="36" applyNumberFormat="1" applyFont="1" applyFill="1" applyBorder="1" applyAlignment="1" applyProtection="1">
      <alignment horizontal="left" vertical="center"/>
      <protection/>
    </xf>
    <xf numFmtId="49" fontId="8" fillId="0" borderId="11" xfId="36" applyNumberFormat="1" applyFont="1" applyFill="1" applyBorder="1" applyAlignment="1" applyProtection="1">
      <alignment horizontal="left" vertical="center"/>
      <protection/>
    </xf>
    <xf numFmtId="4" fontId="8" fillId="0" borderId="11" xfId="36" applyNumberFormat="1" applyFont="1" applyFill="1" applyBorder="1" applyAlignment="1" applyProtection="1">
      <alignment horizontal="right" vertical="center"/>
      <protection/>
    </xf>
    <xf numFmtId="49" fontId="7" fillId="0" borderId="13" xfId="36" applyNumberFormat="1" applyFont="1" applyFill="1" applyBorder="1" applyAlignment="1" applyProtection="1">
      <alignment horizontal="left" vertical="center"/>
      <protection/>
    </xf>
    <xf numFmtId="49" fontId="8" fillId="0" borderId="11" xfId="36" applyNumberFormat="1" applyFont="1" applyFill="1" applyBorder="1" applyAlignment="1" applyProtection="1">
      <alignment horizontal="right" vertical="center"/>
      <protection/>
    </xf>
    <xf numFmtId="0" fontId="2" fillId="0" borderId="14" xfId="36" applyNumberFormat="1" applyFont="1" applyFill="1" applyBorder="1" applyAlignment="1" applyProtection="1">
      <alignment vertical="center"/>
      <protection/>
    </xf>
    <xf numFmtId="0" fontId="2" fillId="0" borderId="15" xfId="36" applyNumberFormat="1" applyFont="1" applyFill="1" applyBorder="1" applyAlignment="1" applyProtection="1">
      <alignment vertical="center"/>
      <protection/>
    </xf>
    <xf numFmtId="4" fontId="7" fillId="33" borderId="16" xfId="36" applyNumberFormat="1" applyFont="1" applyFill="1" applyBorder="1" applyAlignment="1" applyProtection="1">
      <alignment horizontal="right" vertical="center"/>
      <protection/>
    </xf>
    <xf numFmtId="0" fontId="2" fillId="0" borderId="17" xfId="36" applyNumberFormat="1" applyFont="1" applyFill="1" applyBorder="1" applyAlignment="1" applyProtection="1">
      <alignment vertical="center"/>
      <protection/>
    </xf>
    <xf numFmtId="0" fontId="2" fillId="0" borderId="18" xfId="36" applyNumberFormat="1" applyFont="1" applyFill="1" applyBorder="1" applyAlignment="1" applyProtection="1">
      <alignment vertical="center"/>
      <protection/>
    </xf>
    <xf numFmtId="0" fontId="2" fillId="0" borderId="19" xfId="36" applyNumberFormat="1" applyFont="1" applyFill="1" applyBorder="1" applyAlignment="1" applyProtection="1">
      <alignment vertical="center"/>
      <protection/>
    </xf>
    <xf numFmtId="0" fontId="2" fillId="0" borderId="20" xfId="36" applyNumberFormat="1" applyFont="1" applyFill="1" applyBorder="1" applyAlignment="1" applyProtection="1">
      <alignment vertical="center"/>
      <protection/>
    </xf>
    <xf numFmtId="0" fontId="2" fillId="0" borderId="21" xfId="36" applyNumberFormat="1" applyFont="1" applyFill="1" applyBorder="1" applyAlignment="1" applyProtection="1">
      <alignment vertical="center"/>
      <protection/>
    </xf>
    <xf numFmtId="49" fontId="2" fillId="0" borderId="22" xfId="36" applyNumberFormat="1" applyFont="1" applyFill="1" applyBorder="1" applyAlignment="1" applyProtection="1">
      <alignment horizontal="left" vertical="center"/>
      <protection/>
    </xf>
    <xf numFmtId="49" fontId="2" fillId="0" borderId="23" xfId="36" applyNumberFormat="1" applyFont="1" applyFill="1" applyBorder="1" applyAlignment="1" applyProtection="1">
      <alignment horizontal="left" vertical="center"/>
      <protection/>
    </xf>
    <xf numFmtId="49" fontId="3" fillId="0" borderId="24" xfId="36" applyNumberFormat="1" applyFont="1" applyFill="1" applyBorder="1" applyAlignment="1" applyProtection="1">
      <alignment horizontal="center" vertical="center"/>
      <protection/>
    </xf>
    <xf numFmtId="49" fontId="3" fillId="0" borderId="25" xfId="36" applyNumberFormat="1" applyFont="1" applyFill="1" applyBorder="1" applyAlignment="1" applyProtection="1">
      <alignment horizontal="left" vertical="center"/>
      <protection/>
    </xf>
    <xf numFmtId="49" fontId="3" fillId="0" borderId="26" xfId="36" applyNumberFormat="1" applyFont="1" applyFill="1" applyBorder="1" applyAlignment="1" applyProtection="1">
      <alignment horizontal="left" vertical="center"/>
      <protection/>
    </xf>
    <xf numFmtId="49" fontId="3" fillId="0" borderId="26" xfId="36" applyNumberFormat="1" applyFont="1" applyFill="1" applyBorder="1" applyAlignment="1" applyProtection="1">
      <alignment horizontal="center" vertical="center"/>
      <protection/>
    </xf>
    <xf numFmtId="49" fontId="3" fillId="0" borderId="27" xfId="36" applyNumberFormat="1" applyFont="1" applyFill="1" applyBorder="1" applyAlignment="1" applyProtection="1">
      <alignment horizontal="right" vertical="center"/>
      <protection/>
    </xf>
    <xf numFmtId="49" fontId="3" fillId="0" borderId="28" xfId="36" applyNumberFormat="1" applyFont="1" applyFill="1" applyBorder="1" applyAlignment="1" applyProtection="1">
      <alignment horizontal="center" vertical="center"/>
      <protection/>
    </xf>
    <xf numFmtId="49" fontId="3" fillId="0" borderId="29" xfId="36" applyNumberFormat="1" applyFont="1" applyFill="1" applyBorder="1" applyAlignment="1" applyProtection="1">
      <alignment horizontal="center" vertical="center"/>
      <protection/>
    </xf>
    <xf numFmtId="49" fontId="3" fillId="0" borderId="30" xfId="36" applyNumberFormat="1" applyFont="1" applyFill="1" applyBorder="1" applyAlignment="1" applyProtection="1">
      <alignment horizontal="center" vertical="center"/>
      <protection/>
    </xf>
    <xf numFmtId="49" fontId="3" fillId="33" borderId="0" xfId="36" applyNumberFormat="1" applyFont="1" applyFill="1" applyBorder="1" applyAlignment="1" applyProtection="1">
      <alignment horizontal="right" vertical="center"/>
      <protection/>
    </xf>
    <xf numFmtId="49" fontId="2" fillId="33" borderId="21" xfId="36" applyNumberFormat="1" applyFont="1" applyFill="1" applyBorder="1" applyAlignment="1" applyProtection="1">
      <alignment horizontal="left" vertical="center"/>
      <protection/>
    </xf>
    <xf numFmtId="49" fontId="3" fillId="33" borderId="21" xfId="36" applyNumberFormat="1" applyFont="1" applyFill="1" applyBorder="1" applyAlignment="1" applyProtection="1">
      <alignment horizontal="left" vertical="center"/>
      <protection/>
    </xf>
    <xf numFmtId="4" fontId="3" fillId="33" borderId="21" xfId="36" applyNumberFormat="1" applyFont="1" applyFill="1" applyBorder="1" applyAlignment="1" applyProtection="1">
      <alignment horizontal="right" vertical="center"/>
      <protection/>
    </xf>
    <xf numFmtId="49" fontId="3" fillId="33" borderId="21" xfId="36" applyNumberFormat="1" applyFont="1" applyFill="1" applyBorder="1" applyAlignment="1" applyProtection="1">
      <alignment horizontal="right" vertical="center"/>
      <protection/>
    </xf>
    <xf numFmtId="4" fontId="3" fillId="33" borderId="0" xfId="36" applyNumberFormat="1" applyFont="1" applyFill="1" applyBorder="1" applyAlignment="1" applyProtection="1">
      <alignment horizontal="right" vertical="center"/>
      <protection/>
    </xf>
    <xf numFmtId="4" fontId="2" fillId="0" borderId="0" xfId="36" applyNumberFormat="1" applyFont="1" applyFill="1" applyBorder="1" applyAlignment="1" applyProtection="1">
      <alignment horizontal="right" vertical="center"/>
      <protection/>
    </xf>
    <xf numFmtId="49" fontId="2" fillId="0" borderId="0" xfId="36" applyNumberFormat="1" applyFont="1" applyFill="1" applyBorder="1" applyAlignment="1" applyProtection="1">
      <alignment horizontal="right" vertical="center"/>
      <protection/>
    </xf>
    <xf numFmtId="49" fontId="2" fillId="33" borderId="0" xfId="36" applyNumberFormat="1" applyFont="1" applyFill="1" applyBorder="1" applyAlignment="1" applyProtection="1">
      <alignment horizontal="left" vertical="center"/>
      <protection/>
    </xf>
    <xf numFmtId="49" fontId="3" fillId="33" borderId="0" xfId="36" applyNumberFormat="1" applyFont="1" applyFill="1" applyBorder="1" applyAlignment="1" applyProtection="1">
      <alignment horizontal="left" vertical="center"/>
      <protection/>
    </xf>
    <xf numFmtId="4" fontId="3" fillId="0" borderId="0" xfId="36" applyNumberFormat="1" applyFont="1" applyFill="1" applyBorder="1" applyAlignment="1" applyProtection="1">
      <alignment horizontal="right" vertical="center"/>
      <protection/>
    </xf>
    <xf numFmtId="49" fontId="3" fillId="33" borderId="0" xfId="36" applyNumberFormat="1" applyFont="1" applyFill="1" applyBorder="1" applyAlignment="1" applyProtection="1">
      <alignment vertical="center"/>
      <protection/>
    </xf>
    <xf numFmtId="0" fontId="2" fillId="0" borderId="0" xfId="36" applyNumberFormat="1" applyFont="1" applyFill="1" applyBorder="1" applyAlignment="1" applyProtection="1">
      <alignment vertical="center"/>
      <protection/>
    </xf>
    <xf numFmtId="49" fontId="2" fillId="0" borderId="31" xfId="36" applyNumberFormat="1" applyFont="1" applyFill="1" applyBorder="1" applyAlignment="1" applyProtection="1">
      <alignment horizontal="left" vertical="center"/>
      <protection/>
    </xf>
    <xf numFmtId="4" fontId="2" fillId="0" borderId="31" xfId="36" applyNumberFormat="1" applyFont="1" applyFill="1" applyBorder="1" applyAlignment="1" applyProtection="1">
      <alignment horizontal="right" vertical="center"/>
      <protection/>
    </xf>
    <xf numFmtId="49" fontId="3" fillId="0" borderId="0" xfId="36" applyNumberFormat="1" applyFont="1" applyFill="1" applyBorder="1" applyAlignment="1" applyProtection="1">
      <alignment vertical="center"/>
      <protection/>
    </xf>
    <xf numFmtId="0" fontId="0" fillId="0" borderId="0" xfId="36" applyFill="1" applyBorder="1">
      <alignment/>
      <protection/>
    </xf>
    <xf numFmtId="3" fontId="7" fillId="33" borderId="16" xfId="36" applyNumberFormat="1" applyFont="1" applyFill="1" applyBorder="1" applyAlignment="1" applyProtection="1">
      <alignment horizontal="right" vertical="center"/>
      <protection/>
    </xf>
    <xf numFmtId="49" fontId="1" fillId="0" borderId="18" xfId="36" applyNumberFormat="1" applyFont="1" applyFill="1" applyBorder="1" applyAlignment="1" applyProtection="1">
      <alignment horizontal="center" vertical="center"/>
      <protection/>
    </xf>
    <xf numFmtId="49" fontId="2" fillId="0" borderId="32" xfId="36" applyNumberFormat="1" applyFont="1" applyFill="1" applyBorder="1" applyAlignment="1" applyProtection="1">
      <alignment horizontal="left" vertical="center"/>
      <protection/>
    </xf>
    <xf numFmtId="49" fontId="3" fillId="0" borderId="15" xfId="36" applyNumberFormat="1" applyFont="1" applyFill="1" applyBorder="1" applyAlignment="1" applyProtection="1">
      <alignment horizontal="left" vertical="center"/>
      <protection/>
    </xf>
    <xf numFmtId="49" fontId="2" fillId="0" borderId="15" xfId="36" applyNumberFormat="1" applyFont="1" applyFill="1" applyBorder="1" applyAlignment="1" applyProtection="1">
      <alignment horizontal="left" vertical="center"/>
      <protection/>
    </xf>
    <xf numFmtId="49" fontId="2" fillId="0" borderId="33" xfId="36" applyNumberFormat="1" applyFont="1" applyFill="1" applyBorder="1" applyAlignment="1" applyProtection="1">
      <alignment horizontal="left" vertical="center"/>
      <protection/>
    </xf>
    <xf numFmtId="49" fontId="2" fillId="0" borderId="10" xfId="36" applyNumberFormat="1" applyFont="1" applyFill="1" applyBorder="1" applyAlignment="1" applyProtection="1">
      <alignment horizontal="left" vertical="center"/>
      <protection/>
    </xf>
    <xf numFmtId="49" fontId="2" fillId="0" borderId="0" xfId="36" applyNumberFormat="1" applyFont="1" applyFill="1" applyBorder="1" applyAlignment="1" applyProtection="1">
      <alignment horizontal="left" vertical="center"/>
      <protection/>
    </xf>
    <xf numFmtId="49" fontId="2" fillId="0" borderId="34" xfId="36" applyNumberFormat="1" applyFont="1" applyFill="1" applyBorder="1" applyAlignment="1" applyProtection="1">
      <alignment horizontal="left" vertical="center"/>
      <protection/>
    </xf>
    <xf numFmtId="49" fontId="2" fillId="0" borderId="18" xfId="36" applyNumberFormat="1" applyFont="1" applyFill="1" applyBorder="1" applyAlignment="1" applyProtection="1">
      <alignment horizontal="left" vertical="center"/>
      <protection/>
    </xf>
    <xf numFmtId="14" fontId="2" fillId="0" borderId="35" xfId="36" applyNumberFormat="1" applyFont="1" applyFill="1" applyBorder="1" applyAlignment="1" applyProtection="1">
      <alignment horizontal="left" vertical="center"/>
      <protection/>
    </xf>
    <xf numFmtId="14" fontId="2" fillId="0" borderId="0" xfId="36" applyNumberFormat="1" applyFont="1" applyFill="1" applyBorder="1" applyAlignment="1" applyProtection="1">
      <alignment horizontal="left" vertical="center"/>
      <protection/>
    </xf>
    <xf numFmtId="49" fontId="2" fillId="0" borderId="17" xfId="36" applyNumberFormat="1" applyFont="1" applyFill="1" applyBorder="1" applyAlignment="1" applyProtection="1">
      <alignment horizontal="left" vertical="center"/>
      <protection/>
    </xf>
    <xf numFmtId="0" fontId="2" fillId="0" borderId="0" xfId="36" applyNumberFormat="1" applyFont="1" applyFill="1" applyBorder="1" applyAlignment="1" applyProtection="1">
      <alignment horizontal="left" vertical="center"/>
      <protection/>
    </xf>
    <xf numFmtId="49" fontId="4" fillId="0" borderId="14" xfId="36" applyNumberFormat="1" applyFont="1" applyFill="1" applyBorder="1" applyAlignment="1" applyProtection="1">
      <alignment horizontal="center" vertical="center"/>
      <protection/>
    </xf>
    <xf numFmtId="49" fontId="6" fillId="0" borderId="11" xfId="36" applyNumberFormat="1" applyFont="1" applyFill="1" applyBorder="1" applyAlignment="1" applyProtection="1">
      <alignment horizontal="left" vertical="center"/>
      <protection/>
    </xf>
    <xf numFmtId="49" fontId="8" fillId="0" borderId="11" xfId="36" applyNumberFormat="1" applyFont="1" applyFill="1" applyBorder="1" applyAlignment="1" applyProtection="1">
      <alignment horizontal="left" vertical="center"/>
      <protection/>
    </xf>
    <xf numFmtId="49" fontId="7" fillId="0" borderId="11" xfId="36" applyNumberFormat="1" applyFont="1" applyFill="1" applyBorder="1" applyAlignment="1" applyProtection="1">
      <alignment horizontal="left" vertical="center"/>
      <protection/>
    </xf>
    <xf numFmtId="49" fontId="7" fillId="33" borderId="36" xfId="36" applyNumberFormat="1" applyFont="1" applyFill="1" applyBorder="1" applyAlignment="1" applyProtection="1">
      <alignment horizontal="left" vertical="center"/>
      <protection/>
    </xf>
    <xf numFmtId="49" fontId="8" fillId="0" borderId="37" xfId="36" applyNumberFormat="1" applyFont="1" applyFill="1" applyBorder="1" applyAlignment="1" applyProtection="1">
      <alignment horizontal="left" vertical="center"/>
      <protection/>
    </xf>
    <xf numFmtId="49" fontId="8" fillId="0" borderId="38" xfId="36" applyNumberFormat="1" applyFont="1" applyFill="1" applyBorder="1" applyAlignment="1" applyProtection="1">
      <alignment horizontal="left" vertical="center"/>
      <protection/>
    </xf>
    <xf numFmtId="49" fontId="8" fillId="0" borderId="39" xfId="36" applyNumberFormat="1" applyFont="1" applyFill="1" applyBorder="1" applyAlignment="1" applyProtection="1">
      <alignment horizontal="left" vertical="center"/>
      <protection/>
    </xf>
    <xf numFmtId="49" fontId="9" fillId="0" borderId="18" xfId="36" applyNumberFormat="1" applyFont="1" applyFill="1" applyBorder="1" applyAlignment="1" applyProtection="1">
      <alignment horizontal="center" vertical="center"/>
      <protection/>
    </xf>
    <xf numFmtId="49" fontId="2" fillId="0" borderId="40" xfId="36" applyNumberFormat="1" applyFont="1" applyFill="1" applyBorder="1" applyAlignment="1" applyProtection="1">
      <alignment horizontal="left" vertical="center"/>
      <protection/>
    </xf>
    <xf numFmtId="49" fontId="2" fillId="0" borderId="41" xfId="36" applyNumberFormat="1" applyFont="1" applyFill="1" applyBorder="1" applyAlignment="1" applyProtection="1">
      <alignment horizontal="left" vertical="center"/>
      <protection/>
    </xf>
    <xf numFmtId="14" fontId="2" fillId="0" borderId="41" xfId="36" applyNumberFormat="1" applyFont="1" applyFill="1" applyBorder="1" applyAlignment="1" applyProtection="1">
      <alignment horizontal="left" vertical="center"/>
      <protection/>
    </xf>
    <xf numFmtId="49" fontId="3" fillId="0" borderId="0" xfId="36" applyNumberFormat="1" applyFont="1" applyFill="1" applyBorder="1" applyAlignment="1" applyProtection="1">
      <alignment horizontal="left" vertical="center"/>
      <protection/>
    </xf>
    <xf numFmtId="49" fontId="3" fillId="33" borderId="21" xfId="36" applyNumberFormat="1" applyFont="1" applyFill="1" applyBorder="1" applyAlignment="1" applyProtection="1">
      <alignment horizontal="left" vertical="center"/>
      <protection/>
    </xf>
    <xf numFmtId="49" fontId="2" fillId="0" borderId="42" xfId="36" applyNumberFormat="1" applyFont="1" applyFill="1" applyBorder="1" applyAlignment="1" applyProtection="1">
      <alignment horizontal="left" vertical="center"/>
      <protection/>
    </xf>
    <xf numFmtId="49" fontId="3" fillId="0" borderId="43" xfId="36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28" sqref="G28:I31"/>
    </sheetView>
  </sheetViews>
  <sheetFormatPr defaultColWidth="11.421875" defaultRowHeight="12.75"/>
  <cols>
    <col min="1" max="1" width="9.140625" style="1" customWidth="1"/>
    <col min="2" max="2" width="11.8515625" style="1" customWidth="1"/>
    <col min="3" max="3" width="21.7109375" style="1" customWidth="1"/>
    <col min="4" max="4" width="24.00390625" style="1" customWidth="1"/>
    <col min="5" max="5" width="14.00390625" style="1" customWidth="1"/>
    <col min="6" max="6" width="22.57421875" style="1" customWidth="1"/>
    <col min="7" max="7" width="9.140625" style="1" customWidth="1"/>
    <col min="8" max="8" width="11.8515625" style="1" customWidth="1"/>
    <col min="9" max="9" width="22.421875" style="1" customWidth="1"/>
    <col min="10" max="16384" width="11.421875" style="1" customWidth="1"/>
  </cols>
  <sheetData>
    <row r="1" spans="1:9" ht="2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10" ht="12.75">
      <c r="A2" s="47" t="s">
        <v>1</v>
      </c>
      <c r="B2" s="47"/>
      <c r="C2" s="48" t="s">
        <v>2</v>
      </c>
      <c r="D2" s="48"/>
      <c r="E2" s="49" t="s">
        <v>3</v>
      </c>
      <c r="F2" s="49"/>
      <c r="G2" s="49"/>
      <c r="H2" s="49" t="s">
        <v>4</v>
      </c>
      <c r="I2" s="50"/>
      <c r="J2" s="2"/>
    </row>
    <row r="3" spans="1:10" ht="12.75">
      <c r="A3" s="47"/>
      <c r="B3" s="47"/>
      <c r="C3" s="48"/>
      <c r="D3" s="48"/>
      <c r="E3" s="49"/>
      <c r="F3" s="49"/>
      <c r="G3" s="49"/>
      <c r="H3" s="49"/>
      <c r="I3" s="50"/>
      <c r="J3" s="2"/>
    </row>
    <row r="4" spans="1:10" ht="12.75">
      <c r="A4" s="51" t="s">
        <v>5</v>
      </c>
      <c r="B4" s="51"/>
      <c r="C4" s="52"/>
      <c r="D4" s="52"/>
      <c r="E4" s="52" t="s">
        <v>6</v>
      </c>
      <c r="F4" s="52"/>
      <c r="G4" s="52"/>
      <c r="H4" s="52" t="s">
        <v>4</v>
      </c>
      <c r="I4" s="53"/>
      <c r="J4" s="2"/>
    </row>
    <row r="5" spans="1:10" ht="12.75">
      <c r="A5" s="51"/>
      <c r="B5" s="51"/>
      <c r="C5" s="52"/>
      <c r="D5" s="52"/>
      <c r="E5" s="52"/>
      <c r="F5" s="52"/>
      <c r="G5" s="52"/>
      <c r="H5" s="52"/>
      <c r="I5" s="53"/>
      <c r="J5" s="2"/>
    </row>
    <row r="6" spans="1:10" ht="12.75">
      <c r="A6" s="51" t="s">
        <v>7</v>
      </c>
      <c r="B6" s="51"/>
      <c r="C6" s="52" t="s">
        <v>8</v>
      </c>
      <c r="D6" s="52"/>
      <c r="E6" s="52" t="s">
        <v>9</v>
      </c>
      <c r="F6" s="52"/>
      <c r="G6" s="52"/>
      <c r="H6" s="52" t="s">
        <v>4</v>
      </c>
      <c r="I6" s="53"/>
      <c r="J6" s="2"/>
    </row>
    <row r="7" spans="1:10" ht="12.75">
      <c r="A7" s="51"/>
      <c r="B7" s="51"/>
      <c r="C7" s="52"/>
      <c r="D7" s="52"/>
      <c r="E7" s="52"/>
      <c r="F7" s="52"/>
      <c r="G7" s="52"/>
      <c r="H7" s="52"/>
      <c r="I7" s="53"/>
      <c r="J7" s="2"/>
    </row>
    <row r="8" spans="1:10" ht="12.75">
      <c r="A8" s="51" t="s">
        <v>10</v>
      </c>
      <c r="B8" s="51"/>
      <c r="C8" s="56"/>
      <c r="D8" s="56"/>
      <c r="E8" s="52" t="s">
        <v>11</v>
      </c>
      <c r="F8" s="58"/>
      <c r="G8" s="58"/>
      <c r="H8" s="52" t="s">
        <v>12</v>
      </c>
      <c r="I8" s="53" t="s">
        <v>13</v>
      </c>
      <c r="J8" s="2"/>
    </row>
    <row r="9" spans="1:10" ht="12.75">
      <c r="A9" s="51"/>
      <c r="B9" s="51"/>
      <c r="C9" s="56"/>
      <c r="D9" s="56"/>
      <c r="E9" s="52"/>
      <c r="F9" s="52"/>
      <c r="G9" s="58"/>
      <c r="H9" s="52"/>
      <c r="I9" s="53"/>
      <c r="J9" s="2"/>
    </row>
    <row r="10" spans="1:10" ht="12.75">
      <c r="A10" s="57" t="s">
        <v>14</v>
      </c>
      <c r="B10" s="57"/>
      <c r="C10" s="54"/>
      <c r="D10" s="54"/>
      <c r="E10" s="54" t="s">
        <v>15</v>
      </c>
      <c r="F10" s="54"/>
      <c r="G10" s="54"/>
      <c r="H10" s="54" t="s">
        <v>16</v>
      </c>
      <c r="I10" s="55"/>
      <c r="J10" s="2"/>
    </row>
    <row r="11" spans="1:10" ht="12.75">
      <c r="A11" s="57"/>
      <c r="B11" s="57"/>
      <c r="C11" s="54"/>
      <c r="D11" s="54"/>
      <c r="E11" s="54"/>
      <c r="F11" s="54"/>
      <c r="G11" s="54"/>
      <c r="H11" s="54"/>
      <c r="I11" s="55"/>
      <c r="J11" s="2"/>
    </row>
    <row r="12" spans="1:9" ht="23.25" customHeight="1">
      <c r="A12" s="59" t="s">
        <v>17</v>
      </c>
      <c r="B12" s="59"/>
      <c r="C12" s="59"/>
      <c r="D12" s="59"/>
      <c r="E12" s="59"/>
      <c r="F12" s="59"/>
      <c r="G12" s="59"/>
      <c r="H12" s="59"/>
      <c r="I12" s="59"/>
    </row>
    <row r="13" spans="1:10" ht="26.25" customHeight="1">
      <c r="A13" s="4" t="s">
        <v>18</v>
      </c>
      <c r="B13" s="60" t="s">
        <v>19</v>
      </c>
      <c r="C13" s="60"/>
      <c r="D13" s="4" t="s">
        <v>20</v>
      </c>
      <c r="E13" s="60" t="s">
        <v>21</v>
      </c>
      <c r="F13" s="60"/>
      <c r="G13" s="4" t="s">
        <v>22</v>
      </c>
      <c r="H13" s="60" t="s">
        <v>23</v>
      </c>
      <c r="I13" s="60"/>
      <c r="J13" s="2"/>
    </row>
    <row r="14" spans="1:10" ht="15" customHeight="1">
      <c r="A14" s="5" t="s">
        <v>24</v>
      </c>
      <c r="B14" s="6" t="s">
        <v>25</v>
      </c>
      <c r="C14" s="7">
        <f>SUM(Rozpočet_ZT!R12:R190)</f>
        <v>0</v>
      </c>
      <c r="D14" s="61" t="s">
        <v>26</v>
      </c>
      <c r="E14" s="61"/>
      <c r="F14" s="7">
        <v>0</v>
      </c>
      <c r="G14" s="61" t="s">
        <v>27</v>
      </c>
      <c r="H14" s="61"/>
      <c r="I14" s="7">
        <v>0</v>
      </c>
      <c r="J14" s="2"/>
    </row>
    <row r="15" spans="1:10" ht="15" customHeight="1">
      <c r="A15" s="8"/>
      <c r="B15" s="6" t="s">
        <v>28</v>
      </c>
      <c r="C15" s="7">
        <f>SUM(Rozpočet_ZT!S12:S190)</f>
        <v>0</v>
      </c>
      <c r="D15" s="61" t="s">
        <v>29</v>
      </c>
      <c r="E15" s="61"/>
      <c r="F15" s="7">
        <v>0</v>
      </c>
      <c r="G15" s="61" t="s">
        <v>30</v>
      </c>
      <c r="H15" s="61"/>
      <c r="I15" s="7">
        <v>0</v>
      </c>
      <c r="J15" s="2"/>
    </row>
    <row r="16" spans="1:10" ht="15" customHeight="1">
      <c r="A16" s="5" t="s">
        <v>31</v>
      </c>
      <c r="B16" s="6" t="s">
        <v>25</v>
      </c>
      <c r="C16" s="7">
        <f>SUM(Rozpočet_ZT!T12:T190)</f>
        <v>0</v>
      </c>
      <c r="D16" s="61" t="s">
        <v>32</v>
      </c>
      <c r="E16" s="61"/>
      <c r="F16" s="7">
        <v>0</v>
      </c>
      <c r="G16" s="61" t="s">
        <v>33</v>
      </c>
      <c r="H16" s="61"/>
      <c r="I16" s="7">
        <v>0</v>
      </c>
      <c r="J16" s="2"/>
    </row>
    <row r="17" spans="1:10" ht="15" customHeight="1">
      <c r="A17" s="8"/>
      <c r="B17" s="6" t="s">
        <v>28</v>
      </c>
      <c r="C17" s="7">
        <f>SUM(Rozpočet_ZT!U12:U190)</f>
        <v>0</v>
      </c>
      <c r="D17" s="61"/>
      <c r="E17" s="61"/>
      <c r="F17" s="9"/>
      <c r="G17" s="61" t="s">
        <v>34</v>
      </c>
      <c r="H17" s="61"/>
      <c r="I17" s="7">
        <v>0</v>
      </c>
      <c r="J17" s="2"/>
    </row>
    <row r="18" spans="1:10" ht="15" customHeight="1">
      <c r="A18" s="5" t="s">
        <v>35</v>
      </c>
      <c r="B18" s="6" t="s">
        <v>25</v>
      </c>
      <c r="C18" s="7">
        <f>SUM(Rozpočet_ZT!V12:V190)</f>
        <v>0</v>
      </c>
      <c r="D18" s="61"/>
      <c r="E18" s="61"/>
      <c r="F18" s="9"/>
      <c r="G18" s="61" t="s">
        <v>36</v>
      </c>
      <c r="H18" s="61"/>
      <c r="I18" s="7">
        <v>0</v>
      </c>
      <c r="J18" s="2"/>
    </row>
    <row r="19" spans="1:10" ht="15" customHeight="1">
      <c r="A19" s="8"/>
      <c r="B19" s="6" t="s">
        <v>28</v>
      </c>
      <c r="C19" s="7">
        <f>SUM(Rozpočet_ZT!W12:W190)</f>
        <v>0</v>
      </c>
      <c r="D19" s="61"/>
      <c r="E19" s="61"/>
      <c r="F19" s="9"/>
      <c r="G19" s="61" t="s">
        <v>37</v>
      </c>
      <c r="H19" s="61"/>
      <c r="I19" s="7">
        <v>0</v>
      </c>
      <c r="J19" s="2"/>
    </row>
    <row r="20" spans="1:10" ht="15" customHeight="1">
      <c r="A20" s="62" t="s">
        <v>38</v>
      </c>
      <c r="B20" s="62"/>
      <c r="C20" s="7">
        <f>SUM(Rozpočet_ZT!X12:X190)</f>
        <v>0</v>
      </c>
      <c r="D20" s="61"/>
      <c r="E20" s="61"/>
      <c r="F20" s="9"/>
      <c r="G20" s="61"/>
      <c r="H20" s="61"/>
      <c r="I20" s="9"/>
      <c r="J20" s="2"/>
    </row>
    <row r="21" spans="1:10" ht="15" customHeight="1">
      <c r="A21" s="62" t="s">
        <v>39</v>
      </c>
      <c r="B21" s="62"/>
      <c r="C21" s="7">
        <f>SUM(Rozpočet_ZT!P12:P190)</f>
        <v>0</v>
      </c>
      <c r="D21" s="61"/>
      <c r="E21" s="61"/>
      <c r="F21" s="9"/>
      <c r="G21" s="61"/>
      <c r="H21" s="61"/>
      <c r="I21" s="9"/>
      <c r="J21" s="2"/>
    </row>
    <row r="22" spans="1:10" ht="16.5" customHeight="1">
      <c r="A22" s="62" t="s">
        <v>40</v>
      </c>
      <c r="B22" s="62"/>
      <c r="C22" s="7">
        <f>SUM(C14:C21)</f>
        <v>0</v>
      </c>
      <c r="D22" s="62" t="s">
        <v>41</v>
      </c>
      <c r="E22" s="62"/>
      <c r="F22" s="7">
        <f>SUM(F14:F21)</f>
        <v>0</v>
      </c>
      <c r="G22" s="62" t="s">
        <v>42</v>
      </c>
      <c r="H22" s="62"/>
      <c r="I22" s="7">
        <f>SUM(I14:I21)</f>
        <v>0</v>
      </c>
      <c r="J22" s="2"/>
    </row>
    <row r="23" spans="1:9" ht="12.75">
      <c r="A23" s="10"/>
      <c r="B23" s="10"/>
      <c r="C23" s="10"/>
      <c r="D23" s="11"/>
      <c r="E23" s="11"/>
      <c r="F23" s="11"/>
      <c r="G23" s="11"/>
      <c r="H23" s="11"/>
      <c r="I23" s="11"/>
    </row>
    <row r="24" spans="1:9" ht="15" customHeight="1">
      <c r="A24" s="63" t="s">
        <v>43</v>
      </c>
      <c r="B24" s="63"/>
      <c r="C24" s="12">
        <f>SUM(Rozpočet_ZT!Z12:Z190)</f>
        <v>0</v>
      </c>
      <c r="D24" s="13"/>
      <c r="E24" s="14"/>
      <c r="F24" s="14"/>
      <c r="G24" s="14"/>
      <c r="H24" s="14"/>
      <c r="I24" s="14"/>
    </row>
    <row r="25" spans="1:10" ht="15" customHeight="1">
      <c r="A25" s="63" t="s">
        <v>44</v>
      </c>
      <c r="B25" s="63"/>
      <c r="C25" s="12">
        <f>SUM(Rozpočet_ZT!AA12:AA190)+(F22+I22)</f>
        <v>0</v>
      </c>
      <c r="D25" s="63" t="s">
        <v>45</v>
      </c>
      <c r="E25" s="63"/>
      <c r="F25" s="12">
        <f>ROUND(C25*(15/100),2)</f>
        <v>0</v>
      </c>
      <c r="G25" s="63" t="s">
        <v>46</v>
      </c>
      <c r="H25" s="63"/>
      <c r="I25" s="45">
        <f>SUM(C24:C26)</f>
        <v>0</v>
      </c>
      <c r="J25" s="2"/>
    </row>
    <row r="26" spans="1:10" ht="15" customHeight="1">
      <c r="A26" s="63" t="s">
        <v>47</v>
      </c>
      <c r="B26" s="63"/>
      <c r="C26" s="12">
        <f>SUM(Rozpočet_ZT!AB12:AB190)</f>
        <v>0</v>
      </c>
      <c r="D26" s="63" t="s">
        <v>48</v>
      </c>
      <c r="E26" s="63"/>
      <c r="F26" s="12">
        <f>ROUND(C26*(20/100),2)</f>
        <v>0</v>
      </c>
      <c r="G26" s="63" t="s">
        <v>49</v>
      </c>
      <c r="H26" s="63"/>
      <c r="I26" s="12"/>
      <c r="J26" s="2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  <row r="28" spans="1:10" ht="14.25" customHeight="1">
      <c r="A28" s="64" t="s">
        <v>50</v>
      </c>
      <c r="B28" s="64"/>
      <c r="C28" s="64"/>
      <c r="D28" s="64" t="s">
        <v>51</v>
      </c>
      <c r="E28" s="64"/>
      <c r="F28" s="64"/>
      <c r="G28" s="64"/>
      <c r="H28" s="64"/>
      <c r="I28" s="64"/>
      <c r="J28" s="16"/>
    </row>
    <row r="29" spans="1:10" ht="14.25" customHeight="1">
      <c r="A29" s="65"/>
      <c r="B29" s="65"/>
      <c r="C29" s="65"/>
      <c r="D29" s="65"/>
      <c r="E29" s="65"/>
      <c r="F29" s="65"/>
      <c r="G29" s="65"/>
      <c r="H29" s="65"/>
      <c r="I29" s="65"/>
      <c r="J29" s="16"/>
    </row>
    <row r="30" spans="1:10" ht="14.25" customHeight="1">
      <c r="A30" s="65"/>
      <c r="B30" s="65"/>
      <c r="C30" s="65"/>
      <c r="D30" s="65"/>
      <c r="E30" s="65"/>
      <c r="F30" s="65"/>
      <c r="G30" s="65"/>
      <c r="H30" s="65"/>
      <c r="I30" s="65"/>
      <c r="J30" s="16"/>
    </row>
    <row r="31" spans="1:10" ht="14.25" customHeight="1">
      <c r="A31" s="65"/>
      <c r="B31" s="65"/>
      <c r="C31" s="65"/>
      <c r="D31" s="65"/>
      <c r="E31" s="65"/>
      <c r="F31" s="65"/>
      <c r="G31" s="65"/>
      <c r="H31" s="65"/>
      <c r="I31" s="65"/>
      <c r="J31" s="16"/>
    </row>
    <row r="32" spans="1:10" ht="14.25" customHeight="1">
      <c r="A32" s="66" t="s">
        <v>52</v>
      </c>
      <c r="B32" s="66"/>
      <c r="C32" s="66"/>
      <c r="D32" s="66" t="s">
        <v>52</v>
      </c>
      <c r="E32" s="66"/>
      <c r="F32" s="66"/>
      <c r="G32" s="66" t="s">
        <v>52</v>
      </c>
      <c r="H32" s="66"/>
      <c r="I32" s="66"/>
      <c r="J32" s="16"/>
    </row>
    <row r="33" spans="1:9" ht="12.75">
      <c r="A33" s="17"/>
      <c r="B33" s="17"/>
      <c r="C33" s="17"/>
      <c r="D33" s="17"/>
      <c r="E33" s="17"/>
      <c r="F33" s="17"/>
      <c r="G33" s="17"/>
      <c r="H33" s="17"/>
      <c r="I33" s="17"/>
    </row>
  </sheetData>
  <sheetProtection selectLockedCells="1" selectUnlockedCells="1"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8:B9"/>
    <mergeCell ref="C8:D9"/>
    <mergeCell ref="A10:B11"/>
    <mergeCell ref="C10:D11"/>
    <mergeCell ref="E10:E11"/>
    <mergeCell ref="F10:G11"/>
    <mergeCell ref="E8:E9"/>
    <mergeCell ref="F8:G9"/>
    <mergeCell ref="H4:H5"/>
    <mergeCell ref="I4:I5"/>
    <mergeCell ref="H6:H7"/>
    <mergeCell ref="I6:I7"/>
    <mergeCell ref="H10:H11"/>
    <mergeCell ref="I10:I11"/>
    <mergeCell ref="A4:B5"/>
    <mergeCell ref="C4:D5"/>
    <mergeCell ref="E4:E5"/>
    <mergeCell ref="F4:G5"/>
    <mergeCell ref="H8:H9"/>
    <mergeCell ref="I8:I9"/>
    <mergeCell ref="A6:B7"/>
    <mergeCell ref="C6:D7"/>
    <mergeCell ref="E6:E7"/>
    <mergeCell ref="F6:G7"/>
    <mergeCell ref="A1:I1"/>
    <mergeCell ref="A2:B3"/>
    <mergeCell ref="C2:D3"/>
    <mergeCell ref="E2:E3"/>
    <mergeCell ref="F2:G3"/>
    <mergeCell ref="H2:H3"/>
    <mergeCell ref="I2:I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8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1"/>
  <sheetViews>
    <sheetView zoomScalePageLayoutView="0" workbookViewId="0" topLeftCell="A1">
      <selection activeCell="M185" sqref="M185"/>
    </sheetView>
  </sheetViews>
  <sheetFormatPr defaultColWidth="11.421875" defaultRowHeight="12.75"/>
  <cols>
    <col min="1" max="2" width="3.7109375" style="1" customWidth="1"/>
    <col min="3" max="3" width="13.28125" style="1" customWidth="1"/>
    <col min="4" max="4" width="64.57421875" style="1" customWidth="1"/>
    <col min="5" max="5" width="4.28125" style="1" customWidth="1"/>
    <col min="6" max="6" width="10.8515625" style="1" customWidth="1"/>
    <col min="7" max="7" width="12.00390625" style="1" customWidth="1"/>
    <col min="8" max="10" width="14.28125" style="1" customWidth="1"/>
    <col min="11" max="12" width="11.7109375" style="1" customWidth="1"/>
    <col min="13" max="13" width="11.421875" style="1" customWidth="1"/>
    <col min="14" max="37" width="0" style="1" hidden="1" customWidth="1"/>
    <col min="38" max="40" width="11.421875" style="44" customWidth="1"/>
    <col min="41" max="16384" width="11.421875" style="1" customWidth="1"/>
  </cols>
  <sheetData>
    <row r="1" spans="1:12" ht="21.75" customHeight="1">
      <c r="A1" s="67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12.75">
      <c r="A2" s="47" t="s">
        <v>1</v>
      </c>
      <c r="B2" s="47"/>
      <c r="C2" s="47"/>
      <c r="D2" s="48" t="s">
        <v>2</v>
      </c>
      <c r="E2" s="49" t="s">
        <v>54</v>
      </c>
      <c r="F2" s="49"/>
      <c r="G2" s="49"/>
      <c r="H2" s="49"/>
      <c r="I2" s="49" t="s">
        <v>3</v>
      </c>
      <c r="J2" s="50"/>
      <c r="K2" s="50"/>
      <c r="L2" s="50"/>
      <c r="M2" s="2"/>
    </row>
    <row r="3" spans="1:13" ht="12.75">
      <c r="A3" s="47"/>
      <c r="B3" s="47"/>
      <c r="C3" s="47"/>
      <c r="D3" s="48"/>
      <c r="E3" s="49"/>
      <c r="F3" s="49"/>
      <c r="G3" s="49"/>
      <c r="H3" s="49"/>
      <c r="I3" s="49"/>
      <c r="J3" s="49"/>
      <c r="K3" s="50"/>
      <c r="L3" s="50"/>
      <c r="M3" s="2"/>
    </row>
    <row r="4" spans="1:13" ht="12.75">
      <c r="A4" s="51" t="s">
        <v>5</v>
      </c>
      <c r="B4" s="51"/>
      <c r="C4" s="51"/>
      <c r="D4" s="52"/>
      <c r="E4" s="52" t="s">
        <v>10</v>
      </c>
      <c r="F4" s="52"/>
      <c r="G4" s="56"/>
      <c r="H4" s="56"/>
      <c r="I4" s="52" t="s">
        <v>6</v>
      </c>
      <c r="J4" s="53"/>
      <c r="K4" s="53"/>
      <c r="L4" s="53"/>
      <c r="M4" s="2"/>
    </row>
    <row r="5" spans="1:13" ht="12.75">
      <c r="A5" s="51"/>
      <c r="B5" s="51"/>
      <c r="C5" s="51"/>
      <c r="D5" s="52"/>
      <c r="E5" s="52"/>
      <c r="F5" s="52"/>
      <c r="G5" s="56"/>
      <c r="H5" s="56"/>
      <c r="I5" s="52"/>
      <c r="J5" s="52"/>
      <c r="K5" s="53"/>
      <c r="L5" s="53"/>
      <c r="M5" s="2"/>
    </row>
    <row r="6" spans="1:13" ht="12.75">
      <c r="A6" s="51" t="s">
        <v>7</v>
      </c>
      <c r="B6" s="51"/>
      <c r="C6" s="51"/>
      <c r="D6" s="52" t="s">
        <v>8</v>
      </c>
      <c r="E6" s="52" t="s">
        <v>11</v>
      </c>
      <c r="F6" s="52"/>
      <c r="G6" s="58"/>
      <c r="H6" s="58"/>
      <c r="I6" s="52" t="s">
        <v>9</v>
      </c>
      <c r="J6" s="53"/>
      <c r="K6" s="53"/>
      <c r="L6" s="53"/>
      <c r="M6" s="2"/>
    </row>
    <row r="7" spans="1:13" ht="12.75">
      <c r="A7" s="51"/>
      <c r="B7" s="51"/>
      <c r="C7" s="51"/>
      <c r="D7" s="52"/>
      <c r="E7" s="52"/>
      <c r="F7" s="52"/>
      <c r="G7" s="58"/>
      <c r="H7" s="58"/>
      <c r="I7" s="52"/>
      <c r="J7" s="52"/>
      <c r="K7" s="53"/>
      <c r="L7" s="53"/>
      <c r="M7" s="2"/>
    </row>
    <row r="8" spans="1:13" ht="12.75">
      <c r="A8" s="68" t="s">
        <v>14</v>
      </c>
      <c r="B8" s="68"/>
      <c r="C8" s="68"/>
      <c r="D8" s="69"/>
      <c r="E8" s="69" t="s">
        <v>55</v>
      </c>
      <c r="F8" s="69"/>
      <c r="G8" s="70"/>
      <c r="H8" s="70"/>
      <c r="I8" s="69" t="s">
        <v>15</v>
      </c>
      <c r="J8" s="73"/>
      <c r="K8" s="73"/>
      <c r="L8" s="73"/>
      <c r="M8" s="2"/>
    </row>
    <row r="9" spans="1:13" ht="12.75">
      <c r="A9" s="68"/>
      <c r="B9" s="68"/>
      <c r="C9" s="68"/>
      <c r="D9" s="69"/>
      <c r="E9" s="69"/>
      <c r="F9" s="69"/>
      <c r="G9" s="70"/>
      <c r="H9" s="70"/>
      <c r="I9" s="69"/>
      <c r="J9" s="69"/>
      <c r="K9" s="73"/>
      <c r="L9" s="73"/>
      <c r="M9" s="2"/>
    </row>
    <row r="10" spans="1:13" ht="12.75">
      <c r="A10" s="18" t="s">
        <v>56</v>
      </c>
      <c r="B10" s="19" t="s">
        <v>56</v>
      </c>
      <c r="C10" s="19" t="s">
        <v>56</v>
      </c>
      <c r="D10" s="19" t="s">
        <v>56</v>
      </c>
      <c r="E10" s="19" t="s">
        <v>56</v>
      </c>
      <c r="F10" s="19" t="s">
        <v>56</v>
      </c>
      <c r="G10" s="20" t="s">
        <v>57</v>
      </c>
      <c r="H10" s="74" t="s">
        <v>58</v>
      </c>
      <c r="I10" s="74"/>
      <c r="J10" s="74"/>
      <c r="K10" s="74" t="s">
        <v>59</v>
      </c>
      <c r="L10" s="74"/>
      <c r="M10" s="16"/>
    </row>
    <row r="11" spans="1:24" ht="12.75">
      <c r="A11" s="21" t="s">
        <v>60</v>
      </c>
      <c r="B11" s="22" t="s">
        <v>61</v>
      </c>
      <c r="C11" s="22" t="s">
        <v>62</v>
      </c>
      <c r="D11" s="22" t="s">
        <v>63</v>
      </c>
      <c r="E11" s="22" t="s">
        <v>64</v>
      </c>
      <c r="F11" s="23" t="s">
        <v>65</v>
      </c>
      <c r="G11" s="24" t="s">
        <v>66</v>
      </c>
      <c r="H11" s="25" t="s">
        <v>67</v>
      </c>
      <c r="I11" s="26" t="s">
        <v>28</v>
      </c>
      <c r="J11" s="27" t="s">
        <v>68</v>
      </c>
      <c r="K11" s="25" t="s">
        <v>57</v>
      </c>
      <c r="L11" s="27" t="s">
        <v>68</v>
      </c>
      <c r="M11" s="16"/>
      <c r="P11" s="28" t="s">
        <v>69</v>
      </c>
      <c r="Q11" s="28" t="s">
        <v>70</v>
      </c>
      <c r="R11" s="28" t="s">
        <v>71</v>
      </c>
      <c r="S11" s="28" t="s">
        <v>72</v>
      </c>
      <c r="T11" s="28" t="s">
        <v>73</v>
      </c>
      <c r="U11" s="28" t="s">
        <v>74</v>
      </c>
      <c r="V11" s="28" t="s">
        <v>75</v>
      </c>
      <c r="W11" s="28" t="s">
        <v>76</v>
      </c>
      <c r="X11" s="28" t="s">
        <v>77</v>
      </c>
    </row>
    <row r="12" spans="1:37" ht="12.75">
      <c r="A12" s="29"/>
      <c r="B12" s="29"/>
      <c r="C12" s="30" t="s">
        <v>78</v>
      </c>
      <c r="D12" s="72" t="s">
        <v>79</v>
      </c>
      <c r="E12" s="72"/>
      <c r="F12" s="72"/>
      <c r="G12" s="72"/>
      <c r="H12" s="31">
        <f>SUM(H13:H16)</f>
        <v>0</v>
      </c>
      <c r="I12" s="31">
        <f>SUM(I13:I16)</f>
        <v>0</v>
      </c>
      <c r="J12" s="31">
        <f>H12+I12</f>
        <v>0</v>
      </c>
      <c r="K12" s="32"/>
      <c r="L12" s="31">
        <f>SUM(L13:L16)</f>
        <v>0</v>
      </c>
      <c r="P12" s="33">
        <f>IF(Q12="PR",J12,SUM(O13:O16))</f>
        <v>0</v>
      </c>
      <c r="Q12" s="28" t="s">
        <v>80</v>
      </c>
      <c r="R12" s="33">
        <f>IF(Q12="HS",H12,0)</f>
        <v>0</v>
      </c>
      <c r="S12" s="33">
        <f>IF(Q12="HS",I12-P12,0)</f>
        <v>0</v>
      </c>
      <c r="T12" s="33">
        <f>IF(Q12="PS",H12,0)</f>
        <v>0</v>
      </c>
      <c r="U12" s="33">
        <f>IF(Q12="PS",I12-P12,0)</f>
        <v>0</v>
      </c>
      <c r="V12" s="33">
        <f>IF(Q12="MP",H12,0)</f>
        <v>0</v>
      </c>
      <c r="W12" s="33">
        <f>IF(Q12="MP",I12-P12,0)</f>
        <v>0</v>
      </c>
      <c r="X12" s="33">
        <f>IF(Q12="OM",H12,0)</f>
        <v>0</v>
      </c>
      <c r="Y12" s="28"/>
      <c r="AI12" s="33">
        <f>SUM(Z13:Z16)</f>
        <v>0</v>
      </c>
      <c r="AJ12" s="33">
        <f>SUM(AA13:AA16)</f>
        <v>0</v>
      </c>
      <c r="AK12" s="33">
        <f>SUM(AB13:AB16)</f>
        <v>0</v>
      </c>
    </row>
    <row r="13" spans="1:38" ht="12.75">
      <c r="A13" s="3" t="s">
        <v>81</v>
      </c>
      <c r="B13" s="3"/>
      <c r="C13" s="3" t="s">
        <v>82</v>
      </c>
      <c r="D13" s="3" t="s">
        <v>83</v>
      </c>
      <c r="E13" s="3" t="s">
        <v>84</v>
      </c>
      <c r="F13" s="34">
        <v>5.5</v>
      </c>
      <c r="G13" s="34"/>
      <c r="H13" s="34">
        <f>ROUND(F13*AE13,2)</f>
        <v>0</v>
      </c>
      <c r="I13" s="34">
        <f>J13-H13</f>
        <v>0</v>
      </c>
      <c r="J13" s="34">
        <f>ROUND(F13*G13,2)</f>
        <v>0</v>
      </c>
      <c r="K13" s="34">
        <v>0</v>
      </c>
      <c r="L13" s="34">
        <f>F13*K13</f>
        <v>0</v>
      </c>
      <c r="N13" s="35" t="s">
        <v>81</v>
      </c>
      <c r="O13" s="34">
        <f>IF(N13="5",I13,0)</f>
        <v>0</v>
      </c>
      <c r="Z13" s="34">
        <f>IF(AD13=0,J13,0)</f>
        <v>0</v>
      </c>
      <c r="AA13" s="34">
        <f>IF(AD13=14,J13,0)</f>
        <v>0</v>
      </c>
      <c r="AB13" s="34">
        <f>IF(AD13=20,J13,0)</f>
        <v>0</v>
      </c>
      <c r="AD13" s="34">
        <v>14</v>
      </c>
      <c r="AE13" s="34">
        <f>G13*0</f>
        <v>0</v>
      </c>
      <c r="AF13" s="34">
        <f>G13*(1-0)</f>
        <v>0</v>
      </c>
      <c r="AL13" s="34"/>
    </row>
    <row r="14" spans="1:38" ht="12.75">
      <c r="A14" s="3" t="s">
        <v>85</v>
      </c>
      <c r="B14" s="3"/>
      <c r="C14" s="3" t="s">
        <v>86</v>
      </c>
      <c r="D14" s="3" t="s">
        <v>87</v>
      </c>
      <c r="E14" s="3" t="s">
        <v>84</v>
      </c>
      <c r="F14" s="34">
        <v>5.5</v>
      </c>
      <c r="G14" s="34"/>
      <c r="H14" s="34">
        <f>ROUND(F14*AE14,2)</f>
        <v>0</v>
      </c>
      <c r="I14" s="34">
        <f>J14-H14</f>
        <v>0</v>
      </c>
      <c r="J14" s="34">
        <f>ROUND(F14*G14,2)</f>
        <v>0</v>
      </c>
      <c r="K14" s="34">
        <v>0</v>
      </c>
      <c r="L14" s="34">
        <f>F14*K14</f>
        <v>0</v>
      </c>
      <c r="N14" s="35" t="s">
        <v>81</v>
      </c>
      <c r="O14" s="34">
        <f>IF(N14="5",I14,0)</f>
        <v>0</v>
      </c>
      <c r="Z14" s="34">
        <f>IF(AD14=0,J14,0)</f>
        <v>0</v>
      </c>
      <c r="AA14" s="34">
        <f>IF(AD14=14,J14,0)</f>
        <v>0</v>
      </c>
      <c r="AB14" s="34">
        <f>IF(AD14=20,J14,0)</f>
        <v>0</v>
      </c>
      <c r="AD14" s="34">
        <v>14</v>
      </c>
      <c r="AE14" s="34">
        <f>G14*0</f>
        <v>0</v>
      </c>
      <c r="AF14" s="34">
        <f>G14*(1-0)</f>
        <v>0</v>
      </c>
      <c r="AL14" s="34"/>
    </row>
    <row r="15" spans="1:38" ht="12.75">
      <c r="A15" s="3" t="s">
        <v>88</v>
      </c>
      <c r="B15" s="3"/>
      <c r="C15" s="3" t="s">
        <v>89</v>
      </c>
      <c r="D15" s="3" t="s">
        <v>90</v>
      </c>
      <c r="E15" s="3" t="s">
        <v>84</v>
      </c>
      <c r="F15" s="34">
        <v>2.64</v>
      </c>
      <c r="G15" s="34"/>
      <c r="H15" s="34">
        <f>ROUND(F15*AE15,2)</f>
        <v>0</v>
      </c>
      <c r="I15" s="34">
        <f>J15-H15</f>
        <v>0</v>
      </c>
      <c r="J15" s="34">
        <f>ROUND(F15*G15,2)</f>
        <v>0</v>
      </c>
      <c r="K15" s="34"/>
      <c r="L15" s="34">
        <f>F15*K15</f>
        <v>0</v>
      </c>
      <c r="N15" s="35" t="s">
        <v>81</v>
      </c>
      <c r="O15" s="34">
        <f>IF(N15="5",I15,0)</f>
        <v>0</v>
      </c>
      <c r="Z15" s="34">
        <f>IF(AD15=0,J15,0)</f>
        <v>0</v>
      </c>
      <c r="AA15" s="34">
        <f>IF(AD15=14,J15,0)</f>
        <v>0</v>
      </c>
      <c r="AB15" s="34">
        <f>IF(AD15=20,J15,0)</f>
        <v>0</v>
      </c>
      <c r="AD15" s="34">
        <v>14</v>
      </c>
      <c r="AE15" s="34">
        <f>G15*0</f>
        <v>0</v>
      </c>
      <c r="AF15" s="34">
        <f>G15*(1-0)</f>
        <v>0</v>
      </c>
      <c r="AL15" s="34"/>
    </row>
    <row r="16" spans="1:38" ht="12.75">
      <c r="A16" s="3" t="s">
        <v>91</v>
      </c>
      <c r="B16" s="3"/>
      <c r="C16" s="3" t="s">
        <v>92</v>
      </c>
      <c r="D16" s="3" t="s">
        <v>93</v>
      </c>
      <c r="E16" s="3" t="s">
        <v>84</v>
      </c>
      <c r="F16" s="34">
        <v>2.75</v>
      </c>
      <c r="G16" s="34"/>
      <c r="H16" s="34">
        <f>ROUND(F16*AE16,2)</f>
        <v>0</v>
      </c>
      <c r="I16" s="34">
        <f>J16-H16</f>
        <v>0</v>
      </c>
      <c r="J16" s="34">
        <f>ROUND(F16*G16,2)</f>
        <v>0</v>
      </c>
      <c r="K16" s="34"/>
      <c r="L16" s="34">
        <f>F16*K16</f>
        <v>0</v>
      </c>
      <c r="N16" s="35" t="s">
        <v>81</v>
      </c>
      <c r="O16" s="34">
        <f>IF(N16="5",I16,0)</f>
        <v>0</v>
      </c>
      <c r="Z16" s="34">
        <f>IF(AD16=0,J16,0)</f>
        <v>0</v>
      </c>
      <c r="AA16" s="34">
        <f>IF(AD16=14,J16,0)</f>
        <v>0</v>
      </c>
      <c r="AB16" s="34">
        <f>IF(AD16=20,J16,0)</f>
        <v>0</v>
      </c>
      <c r="AD16" s="34">
        <v>14</v>
      </c>
      <c r="AE16" s="34">
        <f>G16*0</f>
        <v>0</v>
      </c>
      <c r="AF16" s="34">
        <f>G16*(1-0)</f>
        <v>0</v>
      </c>
      <c r="AL16" s="34"/>
    </row>
    <row r="17" spans="1:38" ht="12.75">
      <c r="A17" s="36"/>
      <c r="B17" s="36"/>
      <c r="C17" s="37" t="s">
        <v>94</v>
      </c>
      <c r="D17" s="39" t="s">
        <v>95</v>
      </c>
      <c r="E17" s="39"/>
      <c r="F17" s="39"/>
      <c r="G17" s="39"/>
      <c r="H17" s="33">
        <f>SUM(H18:H20)</f>
        <v>0</v>
      </c>
      <c r="I17" s="33">
        <f>SUM(I18:I20)</f>
        <v>0</v>
      </c>
      <c r="J17" s="33">
        <f>H17+I17</f>
        <v>0</v>
      </c>
      <c r="K17" s="28"/>
      <c r="L17" s="33">
        <f>SUM(L18:L20)</f>
        <v>0</v>
      </c>
      <c r="P17" s="33">
        <f>IF(Q17="PR",J17,SUM(O18:O20))</f>
        <v>0</v>
      </c>
      <c r="Q17" s="28" t="s">
        <v>80</v>
      </c>
      <c r="R17" s="33">
        <f>IF(Q17="HS",H17,0)</f>
        <v>0</v>
      </c>
      <c r="S17" s="33">
        <f>IF(Q17="HS",I17-P17,0)</f>
        <v>0</v>
      </c>
      <c r="T17" s="33">
        <f>IF(Q17="PS",H17,0)</f>
        <v>0</v>
      </c>
      <c r="U17" s="33">
        <f>IF(Q17="PS",I17-P17,0)</f>
        <v>0</v>
      </c>
      <c r="V17" s="33">
        <f>IF(Q17="MP",H17,0)</f>
        <v>0</v>
      </c>
      <c r="W17" s="33">
        <f>IF(Q17="MP",I17-P17,0)</f>
        <v>0</v>
      </c>
      <c r="X17" s="33">
        <f>IF(Q17="OM",H17,0)</f>
        <v>0</v>
      </c>
      <c r="Y17" s="28"/>
      <c r="AI17" s="33">
        <f>SUM(Z18:Z20)</f>
        <v>0</v>
      </c>
      <c r="AJ17" s="33">
        <f>SUM(AA18:AA20)</f>
        <v>0</v>
      </c>
      <c r="AK17" s="33">
        <f>SUM(AB18:AB20)</f>
        <v>0</v>
      </c>
      <c r="AL17" s="43"/>
    </row>
    <row r="18" spans="1:38" ht="12.75">
      <c r="A18" s="3" t="s">
        <v>96</v>
      </c>
      <c r="B18" s="3"/>
      <c r="C18" s="3" t="s">
        <v>97</v>
      </c>
      <c r="D18" s="3" t="s">
        <v>98</v>
      </c>
      <c r="E18" s="3" t="s">
        <v>84</v>
      </c>
      <c r="F18" s="34">
        <v>7.15</v>
      </c>
      <c r="G18" s="34"/>
      <c r="H18" s="34">
        <f>ROUND(F18*AE18,2)</f>
        <v>0</v>
      </c>
      <c r="I18" s="34">
        <f>J18-H18</f>
        <v>0</v>
      </c>
      <c r="J18" s="34">
        <f>ROUND(F18*G18,2)</f>
        <v>0</v>
      </c>
      <c r="K18" s="34">
        <v>0</v>
      </c>
      <c r="L18" s="34">
        <f>F18*K18</f>
        <v>0</v>
      </c>
      <c r="N18" s="35" t="s">
        <v>81</v>
      </c>
      <c r="O18" s="34">
        <f>IF(N18="5",I18,0)</f>
        <v>0</v>
      </c>
      <c r="Z18" s="34">
        <f>IF(AD18=0,J18,0)</f>
        <v>0</v>
      </c>
      <c r="AA18" s="34">
        <f>IF(AD18=14,J18,0)</f>
        <v>0</v>
      </c>
      <c r="AB18" s="34">
        <f>IF(AD18=20,J18,0)</f>
        <v>0</v>
      </c>
      <c r="AD18" s="34">
        <v>14</v>
      </c>
      <c r="AE18" s="34">
        <f>G18*0</f>
        <v>0</v>
      </c>
      <c r="AF18" s="34">
        <f>G18*(1-0)</f>
        <v>0</v>
      </c>
      <c r="AL18" s="34"/>
    </row>
    <row r="19" spans="1:38" ht="12.75">
      <c r="A19" s="3" t="s">
        <v>99</v>
      </c>
      <c r="B19" s="3"/>
      <c r="C19" s="3" t="s">
        <v>100</v>
      </c>
      <c r="D19" s="3" t="s">
        <v>101</v>
      </c>
      <c r="E19" s="3" t="s">
        <v>84</v>
      </c>
      <c r="F19" s="34">
        <v>6.05</v>
      </c>
      <c r="G19" s="34"/>
      <c r="H19" s="34">
        <f>ROUND(F19*AE19,2)</f>
        <v>0</v>
      </c>
      <c r="I19" s="34">
        <f>J19-H19</f>
        <v>0</v>
      </c>
      <c r="J19" s="34">
        <f>ROUND(F19*G19,2)</f>
        <v>0</v>
      </c>
      <c r="K19" s="34">
        <v>0</v>
      </c>
      <c r="L19" s="34">
        <f>F19*K19</f>
        <v>0</v>
      </c>
      <c r="N19" s="35" t="s">
        <v>81</v>
      </c>
      <c r="O19" s="34">
        <f>IF(N19="5",I19,0)</f>
        <v>0</v>
      </c>
      <c r="Z19" s="34">
        <f>IF(AD19=0,J19,0)</f>
        <v>0</v>
      </c>
      <c r="AA19" s="34">
        <f>IF(AD19=14,J19,0)</f>
        <v>0</v>
      </c>
      <c r="AB19" s="34">
        <f>IF(AD19=20,J19,0)</f>
        <v>0</v>
      </c>
      <c r="AD19" s="34">
        <v>14</v>
      </c>
      <c r="AE19" s="34">
        <f>G19*0</f>
        <v>0</v>
      </c>
      <c r="AF19" s="34">
        <f>G19*(1-0)</f>
        <v>0</v>
      </c>
      <c r="AL19" s="34"/>
    </row>
    <row r="20" spans="1:38" ht="12.75">
      <c r="A20" s="3" t="s">
        <v>102</v>
      </c>
      <c r="B20" s="3"/>
      <c r="C20" s="3" t="s">
        <v>103</v>
      </c>
      <c r="D20" s="3" t="s">
        <v>104</v>
      </c>
      <c r="E20" s="3" t="s">
        <v>84</v>
      </c>
      <c r="F20" s="34">
        <v>7.15</v>
      </c>
      <c r="G20" s="34"/>
      <c r="H20" s="34">
        <f>ROUND(F20*AE20,2)</f>
        <v>0</v>
      </c>
      <c r="I20" s="34">
        <f>J20-H20</f>
        <v>0</v>
      </c>
      <c r="J20" s="34">
        <f>ROUND(F20*G20,2)</f>
        <v>0</v>
      </c>
      <c r="K20" s="34"/>
      <c r="L20" s="34">
        <f>F20*K20</f>
        <v>0</v>
      </c>
      <c r="N20" s="35" t="s">
        <v>81</v>
      </c>
      <c r="O20" s="34">
        <f>IF(N20="5",I20,0)</f>
        <v>0</v>
      </c>
      <c r="Z20" s="34">
        <f>IF(AD20=0,J20,0)</f>
        <v>0</v>
      </c>
      <c r="AA20" s="34">
        <f>IF(AD20=14,J20,0)</f>
        <v>0</v>
      </c>
      <c r="AB20" s="34">
        <f>IF(AD20=20,J20,0)</f>
        <v>0</v>
      </c>
      <c r="AD20" s="34">
        <v>14</v>
      </c>
      <c r="AE20" s="34">
        <f>G20*0.583825854311079</f>
        <v>0</v>
      </c>
      <c r="AF20" s="34">
        <f>G20*(1-0.583825854311079)</f>
        <v>0</v>
      </c>
      <c r="AL20" s="34"/>
    </row>
    <row r="21" spans="1:38" ht="12.75">
      <c r="A21" s="36"/>
      <c r="B21" s="36"/>
      <c r="C21" s="37" t="s">
        <v>105</v>
      </c>
      <c r="D21" s="39" t="s">
        <v>106</v>
      </c>
      <c r="E21" s="39"/>
      <c r="F21" s="39"/>
      <c r="G21" s="39"/>
      <c r="H21" s="33">
        <f>SUM(H22:H52)</f>
        <v>0</v>
      </c>
      <c r="I21" s="33">
        <f>SUM(I22:I52)</f>
        <v>0</v>
      </c>
      <c r="J21" s="33">
        <f>H21+I21</f>
        <v>0</v>
      </c>
      <c r="K21" s="28"/>
      <c r="L21" s="33">
        <v>0</v>
      </c>
      <c r="P21" s="33">
        <f>IF(Q21="PR",J21,SUM(O22:O52))</f>
        <v>0</v>
      </c>
      <c r="Q21" s="28" t="s">
        <v>107</v>
      </c>
      <c r="R21" s="33">
        <f>IF(Q21="HS",H21,0)</f>
        <v>0</v>
      </c>
      <c r="S21" s="33">
        <f>IF(Q21="HS",I21-P21,0)</f>
        <v>0</v>
      </c>
      <c r="T21" s="33">
        <f>IF(Q21="PS",H21,0)</f>
        <v>0</v>
      </c>
      <c r="U21" s="33">
        <f>IF(Q21="PS",I21-P21,0)</f>
        <v>0</v>
      </c>
      <c r="V21" s="33">
        <f>IF(Q21="MP",H21,0)</f>
        <v>0</v>
      </c>
      <c r="W21" s="33">
        <f>IF(Q21="MP",I21-P21,0)</f>
        <v>0</v>
      </c>
      <c r="X21" s="33">
        <f>IF(Q21="OM",H21,0)</f>
        <v>0</v>
      </c>
      <c r="Y21" s="28"/>
      <c r="AI21" s="33">
        <f>SUM(Z22:Z52)</f>
        <v>0</v>
      </c>
      <c r="AJ21" s="33">
        <f>SUM(AA22:AA52)</f>
        <v>0</v>
      </c>
      <c r="AK21" s="33">
        <f>SUM(AB22:AB52)</f>
        <v>0</v>
      </c>
      <c r="AL21" s="43"/>
    </row>
    <row r="22" spans="1:38" ht="12.75">
      <c r="A22" s="3" t="s">
        <v>108</v>
      </c>
      <c r="B22" s="3"/>
      <c r="C22" s="3" t="s">
        <v>109</v>
      </c>
      <c r="D22" s="3" t="s">
        <v>110</v>
      </c>
      <c r="E22" s="3" t="s">
        <v>111</v>
      </c>
      <c r="F22" s="34">
        <v>2</v>
      </c>
      <c r="G22" s="34"/>
      <c r="H22" s="34">
        <f aca="true" t="shared" si="0" ref="H22:H52">ROUND(F22*AE22,2)</f>
        <v>0</v>
      </c>
      <c r="I22" s="34">
        <f aca="true" t="shared" si="1" ref="I22:I52">J22-H22</f>
        <v>0</v>
      </c>
      <c r="J22" s="34">
        <f aca="true" t="shared" si="2" ref="J22:J52">ROUND(F22*G22,2)</f>
        <v>0</v>
      </c>
      <c r="K22" s="34">
        <v>0.00027000000000000006</v>
      </c>
      <c r="L22" s="34">
        <f aca="true" t="shared" si="3" ref="L22:L52">F22*K22</f>
        <v>0.0005400000000000001</v>
      </c>
      <c r="N22" s="35" t="s">
        <v>112</v>
      </c>
      <c r="O22" s="34">
        <f aca="true" t="shared" si="4" ref="O22:O52">IF(N22="5",I22,0)</f>
        <v>0</v>
      </c>
      <c r="Z22" s="34">
        <f aca="true" t="shared" si="5" ref="Z22:Z52">IF(AD22=0,J22,0)</f>
        <v>0</v>
      </c>
      <c r="AA22" s="34">
        <f aca="true" t="shared" si="6" ref="AA22:AA52">IF(AD22=14,J22,0)</f>
        <v>0</v>
      </c>
      <c r="AB22" s="34">
        <f aca="true" t="shared" si="7" ref="AB22:AB52">IF(AD22=20,J22,0)</f>
        <v>0</v>
      </c>
      <c r="AD22" s="34">
        <v>14</v>
      </c>
      <c r="AE22" s="34">
        <f aca="true" t="shared" si="8" ref="AE22:AE31">G22*1</f>
        <v>0</v>
      </c>
      <c r="AF22" s="34">
        <f aca="true" t="shared" si="9" ref="AF22:AF31">G22*(1-1)</f>
        <v>0</v>
      </c>
      <c r="AL22" s="34"/>
    </row>
    <row r="23" spans="1:38" ht="12.75">
      <c r="A23" s="3" t="s">
        <v>113</v>
      </c>
      <c r="B23" s="3"/>
      <c r="C23" s="3" t="s">
        <v>114</v>
      </c>
      <c r="D23" s="3" t="s">
        <v>115</v>
      </c>
      <c r="E23" s="3" t="s">
        <v>111</v>
      </c>
      <c r="F23" s="34">
        <v>3</v>
      </c>
      <c r="G23" s="34"/>
      <c r="H23" s="34">
        <f t="shared" si="0"/>
        <v>0</v>
      </c>
      <c r="I23" s="34">
        <f t="shared" si="1"/>
        <v>0</v>
      </c>
      <c r="J23" s="34">
        <f t="shared" si="2"/>
        <v>0</v>
      </c>
      <c r="K23" s="34">
        <v>0.00049</v>
      </c>
      <c r="L23" s="34">
        <f t="shared" si="3"/>
        <v>0.00147</v>
      </c>
      <c r="N23" s="35" t="s">
        <v>112</v>
      </c>
      <c r="O23" s="34">
        <f t="shared" si="4"/>
        <v>0</v>
      </c>
      <c r="Z23" s="34">
        <f t="shared" si="5"/>
        <v>0</v>
      </c>
      <c r="AA23" s="34">
        <f t="shared" si="6"/>
        <v>0</v>
      </c>
      <c r="AB23" s="34">
        <f t="shared" si="7"/>
        <v>0</v>
      </c>
      <c r="AD23" s="34">
        <v>14</v>
      </c>
      <c r="AE23" s="34">
        <f t="shared" si="8"/>
        <v>0</v>
      </c>
      <c r="AF23" s="34">
        <f t="shared" si="9"/>
        <v>0</v>
      </c>
      <c r="AL23" s="34"/>
    </row>
    <row r="24" spans="1:38" ht="12.75">
      <c r="A24" s="3" t="s">
        <v>116</v>
      </c>
      <c r="B24" s="3"/>
      <c r="C24" s="3" t="s">
        <v>117</v>
      </c>
      <c r="D24" s="3" t="s">
        <v>118</v>
      </c>
      <c r="E24" s="3" t="s">
        <v>111</v>
      </c>
      <c r="F24" s="34">
        <v>32</v>
      </c>
      <c r="G24" s="34"/>
      <c r="H24" s="34">
        <f t="shared" si="0"/>
        <v>0</v>
      </c>
      <c r="I24" s="34">
        <f t="shared" si="1"/>
        <v>0</v>
      </c>
      <c r="J24" s="34">
        <f t="shared" si="2"/>
        <v>0</v>
      </c>
      <c r="K24" s="34">
        <v>0.0006300000000000001</v>
      </c>
      <c r="L24" s="34">
        <v>0</v>
      </c>
      <c r="N24" s="35" t="s">
        <v>112</v>
      </c>
      <c r="O24" s="34">
        <f t="shared" si="4"/>
        <v>0</v>
      </c>
      <c r="Z24" s="34">
        <f t="shared" si="5"/>
        <v>0</v>
      </c>
      <c r="AA24" s="34">
        <f t="shared" si="6"/>
        <v>0</v>
      </c>
      <c r="AB24" s="34">
        <f t="shared" si="7"/>
        <v>0</v>
      </c>
      <c r="AD24" s="34">
        <v>14</v>
      </c>
      <c r="AE24" s="34">
        <f t="shared" si="8"/>
        <v>0</v>
      </c>
      <c r="AF24" s="34">
        <f t="shared" si="9"/>
        <v>0</v>
      </c>
      <c r="AL24" s="34"/>
    </row>
    <row r="25" spans="1:38" ht="12.75">
      <c r="A25" s="3" t="s">
        <v>119</v>
      </c>
      <c r="B25" s="3"/>
      <c r="C25" s="3" t="s">
        <v>120</v>
      </c>
      <c r="D25" s="3" t="s">
        <v>121</v>
      </c>
      <c r="E25" s="3" t="s">
        <v>111</v>
      </c>
      <c r="F25" s="34">
        <v>10</v>
      </c>
      <c r="G25" s="34"/>
      <c r="H25" s="34">
        <f t="shared" si="0"/>
        <v>0</v>
      </c>
      <c r="I25" s="34">
        <f t="shared" si="1"/>
        <v>0</v>
      </c>
      <c r="J25" s="34">
        <f t="shared" si="2"/>
        <v>0</v>
      </c>
      <c r="K25" s="34">
        <v>0.00087</v>
      </c>
      <c r="L25" s="34">
        <v>0</v>
      </c>
      <c r="N25" s="35" t="s">
        <v>112</v>
      </c>
      <c r="O25" s="34">
        <f t="shared" si="4"/>
        <v>0</v>
      </c>
      <c r="Z25" s="34">
        <f t="shared" si="5"/>
        <v>0</v>
      </c>
      <c r="AA25" s="34">
        <f t="shared" si="6"/>
        <v>0</v>
      </c>
      <c r="AB25" s="34">
        <f t="shared" si="7"/>
        <v>0</v>
      </c>
      <c r="AD25" s="34">
        <v>14</v>
      </c>
      <c r="AE25" s="34">
        <f t="shared" si="8"/>
        <v>0</v>
      </c>
      <c r="AF25" s="34">
        <f t="shared" si="9"/>
        <v>0</v>
      </c>
      <c r="AL25" s="34"/>
    </row>
    <row r="26" spans="1:38" ht="12.75">
      <c r="A26" s="3" t="s">
        <v>122</v>
      </c>
      <c r="B26" s="3"/>
      <c r="C26" s="3" t="s">
        <v>123</v>
      </c>
      <c r="D26" s="3" t="s">
        <v>124</v>
      </c>
      <c r="E26" s="3" t="s">
        <v>125</v>
      </c>
      <c r="F26" s="34">
        <v>3</v>
      </c>
      <c r="G26" s="34"/>
      <c r="H26" s="34">
        <f t="shared" si="0"/>
        <v>0</v>
      </c>
      <c r="I26" s="34">
        <f t="shared" si="1"/>
        <v>0</v>
      </c>
      <c r="J26" s="34">
        <f t="shared" si="2"/>
        <v>0</v>
      </c>
      <c r="K26" s="34">
        <v>0</v>
      </c>
      <c r="L26" s="34">
        <f t="shared" si="3"/>
        <v>0</v>
      </c>
      <c r="N26" s="35" t="s">
        <v>112</v>
      </c>
      <c r="O26" s="34">
        <f t="shared" si="4"/>
        <v>0</v>
      </c>
      <c r="Z26" s="34">
        <f t="shared" si="5"/>
        <v>0</v>
      </c>
      <c r="AA26" s="34">
        <f t="shared" si="6"/>
        <v>0</v>
      </c>
      <c r="AB26" s="34">
        <f t="shared" si="7"/>
        <v>0</v>
      </c>
      <c r="AD26" s="34">
        <v>14</v>
      </c>
      <c r="AE26" s="34">
        <f t="shared" si="8"/>
        <v>0</v>
      </c>
      <c r="AF26" s="34">
        <f t="shared" si="9"/>
        <v>0</v>
      </c>
      <c r="AL26" s="34"/>
    </row>
    <row r="27" spans="1:38" ht="12.75">
      <c r="A27" s="3" t="s">
        <v>78</v>
      </c>
      <c r="B27" s="3"/>
      <c r="C27" s="3" t="s">
        <v>126</v>
      </c>
      <c r="D27" s="3" t="s">
        <v>127</v>
      </c>
      <c r="E27" s="3" t="s">
        <v>125</v>
      </c>
      <c r="F27" s="34">
        <v>11</v>
      </c>
      <c r="G27" s="34"/>
      <c r="H27" s="34">
        <f t="shared" si="0"/>
        <v>0</v>
      </c>
      <c r="I27" s="34">
        <f t="shared" si="1"/>
        <v>0</v>
      </c>
      <c r="J27" s="34">
        <f t="shared" si="2"/>
        <v>0</v>
      </c>
      <c r="K27" s="34">
        <v>0</v>
      </c>
      <c r="L27" s="34">
        <f t="shared" si="3"/>
        <v>0</v>
      </c>
      <c r="N27" s="35" t="s">
        <v>112</v>
      </c>
      <c r="O27" s="34">
        <f t="shared" si="4"/>
        <v>0</v>
      </c>
      <c r="Z27" s="34">
        <f t="shared" si="5"/>
        <v>0</v>
      </c>
      <c r="AA27" s="34">
        <f t="shared" si="6"/>
        <v>0</v>
      </c>
      <c r="AB27" s="34">
        <f t="shared" si="7"/>
        <v>0</v>
      </c>
      <c r="AD27" s="34">
        <v>14</v>
      </c>
      <c r="AE27" s="34">
        <f t="shared" si="8"/>
        <v>0</v>
      </c>
      <c r="AF27" s="34">
        <f t="shared" si="9"/>
        <v>0</v>
      </c>
      <c r="AL27" s="34"/>
    </row>
    <row r="28" spans="1:38" ht="12.75">
      <c r="A28" s="3" t="s">
        <v>128</v>
      </c>
      <c r="B28" s="3"/>
      <c r="C28" s="3" t="s">
        <v>126</v>
      </c>
      <c r="D28" s="3" t="s">
        <v>129</v>
      </c>
      <c r="E28" s="3" t="s">
        <v>125</v>
      </c>
      <c r="F28" s="34">
        <v>1</v>
      </c>
      <c r="G28" s="34"/>
      <c r="H28" s="34">
        <f t="shared" si="0"/>
        <v>0</v>
      </c>
      <c r="I28" s="34">
        <f t="shared" si="1"/>
        <v>0</v>
      </c>
      <c r="J28" s="34">
        <f t="shared" si="2"/>
        <v>0</v>
      </c>
      <c r="K28" s="34">
        <v>0</v>
      </c>
      <c r="L28" s="34">
        <f t="shared" si="3"/>
        <v>0</v>
      </c>
      <c r="N28" s="35" t="s">
        <v>112</v>
      </c>
      <c r="O28" s="34">
        <f t="shared" si="4"/>
        <v>0</v>
      </c>
      <c r="Z28" s="34">
        <f t="shared" si="5"/>
        <v>0</v>
      </c>
      <c r="AA28" s="34">
        <f t="shared" si="6"/>
        <v>0</v>
      </c>
      <c r="AB28" s="34">
        <f t="shared" si="7"/>
        <v>0</v>
      </c>
      <c r="AD28" s="34">
        <v>14</v>
      </c>
      <c r="AE28" s="34">
        <f t="shared" si="8"/>
        <v>0</v>
      </c>
      <c r="AF28" s="34">
        <f t="shared" si="9"/>
        <v>0</v>
      </c>
      <c r="AL28" s="34"/>
    </row>
    <row r="29" spans="1:38" ht="12.75">
      <c r="A29" s="3" t="s">
        <v>130</v>
      </c>
      <c r="B29" s="3"/>
      <c r="C29" s="3" t="s">
        <v>131</v>
      </c>
      <c r="D29" s="3" t="s">
        <v>132</v>
      </c>
      <c r="E29" s="3" t="s">
        <v>125</v>
      </c>
      <c r="F29" s="34">
        <v>3</v>
      </c>
      <c r="G29" s="34"/>
      <c r="H29" s="34">
        <f t="shared" si="0"/>
        <v>0</v>
      </c>
      <c r="I29" s="34">
        <f t="shared" si="1"/>
        <v>0</v>
      </c>
      <c r="J29" s="34">
        <f t="shared" si="2"/>
        <v>0</v>
      </c>
      <c r="K29" s="34">
        <v>0</v>
      </c>
      <c r="L29" s="34">
        <f t="shared" si="3"/>
        <v>0</v>
      </c>
      <c r="N29" s="35" t="s">
        <v>112</v>
      </c>
      <c r="O29" s="34">
        <f t="shared" si="4"/>
        <v>0</v>
      </c>
      <c r="Z29" s="34">
        <f t="shared" si="5"/>
        <v>0</v>
      </c>
      <c r="AA29" s="34">
        <f t="shared" si="6"/>
        <v>0</v>
      </c>
      <c r="AB29" s="34">
        <f t="shared" si="7"/>
        <v>0</v>
      </c>
      <c r="AD29" s="34">
        <v>14</v>
      </c>
      <c r="AE29" s="34">
        <f t="shared" si="8"/>
        <v>0</v>
      </c>
      <c r="AF29" s="34">
        <f t="shared" si="9"/>
        <v>0</v>
      </c>
      <c r="AL29" s="34"/>
    </row>
    <row r="30" spans="1:38" ht="12.75">
      <c r="A30" s="3" t="s">
        <v>133</v>
      </c>
      <c r="B30" s="3"/>
      <c r="C30" s="3" t="s">
        <v>134</v>
      </c>
      <c r="D30" s="3" t="s">
        <v>135</v>
      </c>
      <c r="E30" s="3" t="s">
        <v>125</v>
      </c>
      <c r="F30" s="34">
        <v>11</v>
      </c>
      <c r="G30" s="34"/>
      <c r="H30" s="34">
        <f t="shared" si="0"/>
        <v>0</v>
      </c>
      <c r="I30" s="34">
        <f t="shared" si="1"/>
        <v>0</v>
      </c>
      <c r="J30" s="34">
        <f t="shared" si="2"/>
        <v>0</v>
      </c>
      <c r="K30" s="34">
        <v>0</v>
      </c>
      <c r="L30" s="34">
        <f t="shared" si="3"/>
        <v>0</v>
      </c>
      <c r="N30" s="35" t="s">
        <v>112</v>
      </c>
      <c r="O30" s="34">
        <f t="shared" si="4"/>
        <v>0</v>
      </c>
      <c r="Z30" s="34">
        <f t="shared" si="5"/>
        <v>0</v>
      </c>
      <c r="AA30" s="34">
        <f t="shared" si="6"/>
        <v>0</v>
      </c>
      <c r="AB30" s="34">
        <f t="shared" si="7"/>
        <v>0</v>
      </c>
      <c r="AD30" s="34">
        <v>14</v>
      </c>
      <c r="AE30" s="34">
        <f t="shared" si="8"/>
        <v>0</v>
      </c>
      <c r="AF30" s="34">
        <f t="shared" si="9"/>
        <v>0</v>
      </c>
      <c r="AL30" s="34"/>
    </row>
    <row r="31" spans="1:38" ht="12.75">
      <c r="A31" s="3" t="s">
        <v>94</v>
      </c>
      <c r="B31" s="3"/>
      <c r="C31" s="3" t="s">
        <v>134</v>
      </c>
      <c r="D31" s="3" t="s">
        <v>136</v>
      </c>
      <c r="E31" s="3" t="s">
        <v>125</v>
      </c>
      <c r="F31" s="34">
        <v>3</v>
      </c>
      <c r="G31" s="34"/>
      <c r="H31" s="34">
        <f t="shared" si="0"/>
        <v>0</v>
      </c>
      <c r="I31" s="34">
        <f t="shared" si="1"/>
        <v>0</v>
      </c>
      <c r="J31" s="34">
        <f t="shared" si="2"/>
        <v>0</v>
      </c>
      <c r="K31" s="34">
        <v>0</v>
      </c>
      <c r="L31" s="34">
        <f t="shared" si="3"/>
        <v>0</v>
      </c>
      <c r="N31" s="35" t="s">
        <v>112</v>
      </c>
      <c r="O31" s="34">
        <f t="shared" si="4"/>
        <v>0</v>
      </c>
      <c r="Z31" s="34">
        <f t="shared" si="5"/>
        <v>0</v>
      </c>
      <c r="AA31" s="34">
        <f t="shared" si="6"/>
        <v>0</v>
      </c>
      <c r="AB31" s="34">
        <f t="shared" si="7"/>
        <v>0</v>
      </c>
      <c r="AD31" s="34">
        <v>14</v>
      </c>
      <c r="AE31" s="34">
        <f t="shared" si="8"/>
        <v>0</v>
      </c>
      <c r="AF31" s="34">
        <f t="shared" si="9"/>
        <v>0</v>
      </c>
      <c r="AL31" s="34"/>
    </row>
    <row r="32" spans="1:38" ht="12.75">
      <c r="A32" s="3" t="s">
        <v>137</v>
      </c>
      <c r="B32" s="3"/>
      <c r="C32" s="3" t="s">
        <v>138</v>
      </c>
      <c r="D32" s="3" t="s">
        <v>139</v>
      </c>
      <c r="E32" s="3" t="s">
        <v>140</v>
      </c>
      <c r="F32" s="34">
        <v>12</v>
      </c>
      <c r="G32" s="34"/>
      <c r="H32" s="34">
        <f t="shared" si="0"/>
        <v>0</v>
      </c>
      <c r="I32" s="34">
        <f t="shared" si="1"/>
        <v>0</v>
      </c>
      <c r="J32" s="34">
        <f t="shared" si="2"/>
        <v>0</v>
      </c>
      <c r="K32" s="34"/>
      <c r="L32" s="34">
        <f t="shared" si="3"/>
        <v>0</v>
      </c>
      <c r="N32" s="35" t="s">
        <v>81</v>
      </c>
      <c r="O32" s="34">
        <f t="shared" si="4"/>
        <v>0</v>
      </c>
      <c r="Z32" s="34">
        <f t="shared" si="5"/>
        <v>0</v>
      </c>
      <c r="AA32" s="34">
        <f t="shared" si="6"/>
        <v>0</v>
      </c>
      <c r="AB32" s="34">
        <f t="shared" si="7"/>
        <v>0</v>
      </c>
      <c r="AD32" s="34">
        <v>14</v>
      </c>
      <c r="AE32" s="34">
        <f>G32*0</f>
        <v>0</v>
      </c>
      <c r="AF32" s="34">
        <f>G32*(1-0)</f>
        <v>0</v>
      </c>
      <c r="AL32" s="34"/>
    </row>
    <row r="33" spans="1:38" ht="12.75">
      <c r="A33" s="3" t="s">
        <v>141</v>
      </c>
      <c r="B33" s="3"/>
      <c r="C33" s="3" t="s">
        <v>142</v>
      </c>
      <c r="D33" s="3" t="s">
        <v>143</v>
      </c>
      <c r="E33" s="3" t="s">
        <v>111</v>
      </c>
      <c r="F33" s="34">
        <v>3</v>
      </c>
      <c r="G33" s="34"/>
      <c r="H33" s="34">
        <f t="shared" si="0"/>
        <v>0</v>
      </c>
      <c r="I33" s="34">
        <f t="shared" si="1"/>
        <v>0</v>
      </c>
      <c r="J33" s="34">
        <f t="shared" si="2"/>
        <v>0</v>
      </c>
      <c r="K33" s="34">
        <v>0.00042</v>
      </c>
      <c r="L33" s="34">
        <f t="shared" si="3"/>
        <v>0.00126</v>
      </c>
      <c r="N33" s="35" t="s">
        <v>81</v>
      </c>
      <c r="O33" s="34">
        <f t="shared" si="4"/>
        <v>0</v>
      </c>
      <c r="Z33" s="34">
        <f t="shared" si="5"/>
        <v>0</v>
      </c>
      <c r="AA33" s="34">
        <f t="shared" si="6"/>
        <v>0</v>
      </c>
      <c r="AB33" s="34">
        <f t="shared" si="7"/>
        <v>0</v>
      </c>
      <c r="AD33" s="34">
        <v>14</v>
      </c>
      <c r="AE33" s="34">
        <f>G33*0.349474970515936</f>
        <v>0</v>
      </c>
      <c r="AF33" s="34">
        <f>G33*(1-0.349474970515936)</f>
        <v>0</v>
      </c>
      <c r="AL33" s="34"/>
    </row>
    <row r="34" spans="1:38" ht="12.75">
      <c r="A34" s="3" t="s">
        <v>144</v>
      </c>
      <c r="B34" s="3"/>
      <c r="C34" s="3" t="s">
        <v>145</v>
      </c>
      <c r="D34" s="3" t="s">
        <v>146</v>
      </c>
      <c r="E34" s="3" t="s">
        <v>111</v>
      </c>
      <c r="F34" s="34">
        <v>3</v>
      </c>
      <c r="G34" s="34"/>
      <c r="H34" s="34">
        <f t="shared" si="0"/>
        <v>0</v>
      </c>
      <c r="I34" s="34">
        <f t="shared" si="1"/>
        <v>0</v>
      </c>
      <c r="J34" s="34">
        <f t="shared" si="2"/>
        <v>0</v>
      </c>
      <c r="K34" s="34">
        <v>0</v>
      </c>
      <c r="L34" s="34">
        <f t="shared" si="3"/>
        <v>0</v>
      </c>
      <c r="N34" s="35" t="s">
        <v>81</v>
      </c>
      <c r="O34" s="34">
        <f t="shared" si="4"/>
        <v>0</v>
      </c>
      <c r="Z34" s="34">
        <f t="shared" si="5"/>
        <v>0</v>
      </c>
      <c r="AA34" s="34">
        <f t="shared" si="6"/>
        <v>0</v>
      </c>
      <c r="AB34" s="34">
        <f t="shared" si="7"/>
        <v>0</v>
      </c>
      <c r="AD34" s="34">
        <v>14</v>
      </c>
      <c r="AE34" s="34">
        <f>G34*0</f>
        <v>0</v>
      </c>
      <c r="AF34" s="34">
        <f>G34*(1-0)</f>
        <v>0</v>
      </c>
      <c r="AL34" s="34"/>
    </row>
    <row r="35" spans="1:38" ht="12.75">
      <c r="A35" s="3" t="s">
        <v>147</v>
      </c>
      <c r="B35" s="3"/>
      <c r="C35" s="3" t="s">
        <v>148</v>
      </c>
      <c r="D35" s="3" t="s">
        <v>149</v>
      </c>
      <c r="E35" s="3" t="s">
        <v>111</v>
      </c>
      <c r="F35" s="34">
        <v>1</v>
      </c>
      <c r="G35" s="34"/>
      <c r="H35" s="34">
        <f t="shared" si="0"/>
        <v>0</v>
      </c>
      <c r="I35" s="34">
        <f t="shared" si="1"/>
        <v>0</v>
      </c>
      <c r="J35" s="34">
        <f t="shared" si="2"/>
        <v>0</v>
      </c>
      <c r="K35" s="34">
        <v>0.009180000000000002</v>
      </c>
      <c r="L35" s="34">
        <v>0</v>
      </c>
      <c r="N35" s="35" t="s">
        <v>81</v>
      </c>
      <c r="O35" s="34">
        <f t="shared" si="4"/>
        <v>0</v>
      </c>
      <c r="Z35" s="34">
        <f t="shared" si="5"/>
        <v>0</v>
      </c>
      <c r="AA35" s="34">
        <f t="shared" si="6"/>
        <v>0</v>
      </c>
      <c r="AB35" s="34">
        <f t="shared" si="7"/>
        <v>0</v>
      </c>
      <c r="AD35" s="34">
        <v>14</v>
      </c>
      <c r="AE35" s="34">
        <f>G35*0.757525305456427</f>
        <v>0</v>
      </c>
      <c r="AF35" s="34">
        <f>G35*(1-0.757525305456427)</f>
        <v>0</v>
      </c>
      <c r="AL35" s="34"/>
    </row>
    <row r="36" spans="1:38" ht="12.75">
      <c r="A36" s="3" t="s">
        <v>150</v>
      </c>
      <c r="B36" s="3"/>
      <c r="C36" s="3" t="s">
        <v>151</v>
      </c>
      <c r="D36" s="3" t="s">
        <v>152</v>
      </c>
      <c r="E36" s="3" t="s">
        <v>111</v>
      </c>
      <c r="F36" s="34">
        <v>1</v>
      </c>
      <c r="G36" s="34"/>
      <c r="H36" s="34">
        <f t="shared" si="0"/>
        <v>0</v>
      </c>
      <c r="I36" s="34">
        <f t="shared" si="1"/>
        <v>0</v>
      </c>
      <c r="J36" s="34">
        <f t="shared" si="2"/>
        <v>0</v>
      </c>
      <c r="K36" s="34">
        <v>0.00175</v>
      </c>
      <c r="L36" s="34">
        <f t="shared" si="3"/>
        <v>0.00175</v>
      </c>
      <c r="N36" s="35" t="s">
        <v>81</v>
      </c>
      <c r="O36" s="34">
        <f t="shared" si="4"/>
        <v>0</v>
      </c>
      <c r="Z36" s="34">
        <f t="shared" si="5"/>
        <v>0</v>
      </c>
      <c r="AA36" s="34">
        <f t="shared" si="6"/>
        <v>0</v>
      </c>
      <c r="AB36" s="34">
        <f t="shared" si="7"/>
        <v>0</v>
      </c>
      <c r="AD36" s="34">
        <v>14</v>
      </c>
      <c r="AE36" s="34">
        <f>G36*0.369566684665227</f>
        <v>0</v>
      </c>
      <c r="AF36" s="34">
        <f>G36*(1-0.369566684665227)</f>
        <v>0</v>
      </c>
      <c r="AL36" s="34"/>
    </row>
    <row r="37" spans="1:38" ht="12.75">
      <c r="A37" s="3" t="s">
        <v>153</v>
      </c>
      <c r="B37" s="3"/>
      <c r="C37" s="3" t="s">
        <v>154</v>
      </c>
      <c r="D37" s="3" t="s">
        <v>155</v>
      </c>
      <c r="E37" s="3" t="s">
        <v>111</v>
      </c>
      <c r="F37" s="34">
        <v>1</v>
      </c>
      <c r="G37" s="34"/>
      <c r="H37" s="34">
        <f t="shared" si="0"/>
        <v>0</v>
      </c>
      <c r="I37" s="34">
        <f t="shared" si="1"/>
        <v>0</v>
      </c>
      <c r="J37" s="34">
        <f t="shared" si="2"/>
        <v>0</v>
      </c>
      <c r="K37" s="34">
        <v>0</v>
      </c>
      <c r="L37" s="34">
        <f t="shared" si="3"/>
        <v>0</v>
      </c>
      <c r="N37" s="35" t="s">
        <v>81</v>
      </c>
      <c r="O37" s="34">
        <f t="shared" si="4"/>
        <v>0</v>
      </c>
      <c r="Z37" s="34">
        <f t="shared" si="5"/>
        <v>0</v>
      </c>
      <c r="AA37" s="34">
        <f t="shared" si="6"/>
        <v>0</v>
      </c>
      <c r="AB37" s="34">
        <f t="shared" si="7"/>
        <v>0</v>
      </c>
      <c r="AD37" s="34">
        <v>14</v>
      </c>
      <c r="AE37" s="34">
        <f>G37*0</f>
        <v>0</v>
      </c>
      <c r="AF37" s="34">
        <f>G37*(1-0)</f>
        <v>0</v>
      </c>
      <c r="AL37" s="34"/>
    </row>
    <row r="38" spans="1:38" ht="12.75">
      <c r="A38" s="3" t="s">
        <v>156</v>
      </c>
      <c r="B38" s="3"/>
      <c r="C38" s="3" t="s">
        <v>157</v>
      </c>
      <c r="D38" s="3" t="s">
        <v>158</v>
      </c>
      <c r="E38" s="3" t="s">
        <v>140</v>
      </c>
      <c r="F38" s="34">
        <v>88</v>
      </c>
      <c r="G38" s="34"/>
      <c r="H38" s="34">
        <f t="shared" si="0"/>
        <v>0</v>
      </c>
      <c r="I38" s="34">
        <f t="shared" si="1"/>
        <v>0</v>
      </c>
      <c r="J38" s="34">
        <f t="shared" si="2"/>
        <v>0</v>
      </c>
      <c r="K38" s="34">
        <v>0.00263</v>
      </c>
      <c r="L38" s="34">
        <v>0</v>
      </c>
      <c r="N38" s="35" t="s">
        <v>81</v>
      </c>
      <c r="O38" s="34">
        <f t="shared" si="4"/>
        <v>0</v>
      </c>
      <c r="Z38" s="34">
        <f t="shared" si="5"/>
        <v>0</v>
      </c>
      <c r="AA38" s="34">
        <f t="shared" si="6"/>
        <v>0</v>
      </c>
      <c r="AB38" s="34">
        <f t="shared" si="7"/>
        <v>0</v>
      </c>
      <c r="AD38" s="34">
        <v>14</v>
      </c>
      <c r="AE38" s="34">
        <f>G38*0</f>
        <v>0</v>
      </c>
      <c r="AF38" s="34">
        <f>G38*(1-0)</f>
        <v>0</v>
      </c>
      <c r="AL38" s="34"/>
    </row>
    <row r="39" spans="1:38" ht="12.75">
      <c r="A39" s="3" t="s">
        <v>159</v>
      </c>
      <c r="B39" s="3"/>
      <c r="C39" s="3" t="s">
        <v>160</v>
      </c>
      <c r="D39" s="3" t="s">
        <v>161</v>
      </c>
      <c r="E39" s="3" t="s">
        <v>140</v>
      </c>
      <c r="F39" s="34">
        <v>6.6</v>
      </c>
      <c r="G39" s="34"/>
      <c r="H39" s="34">
        <f t="shared" si="0"/>
        <v>0</v>
      </c>
      <c r="I39" s="34">
        <f t="shared" si="1"/>
        <v>0</v>
      </c>
      <c r="J39" s="34">
        <f t="shared" si="2"/>
        <v>0</v>
      </c>
      <c r="K39" s="34">
        <v>0.00038</v>
      </c>
      <c r="L39" s="34">
        <f t="shared" si="3"/>
        <v>0.002508</v>
      </c>
      <c r="N39" s="35" t="s">
        <v>81</v>
      </c>
      <c r="O39" s="34">
        <f t="shared" si="4"/>
        <v>0</v>
      </c>
      <c r="Z39" s="34">
        <f t="shared" si="5"/>
        <v>0</v>
      </c>
      <c r="AA39" s="34">
        <f t="shared" si="6"/>
        <v>0</v>
      </c>
      <c r="AB39" s="34">
        <f t="shared" si="7"/>
        <v>0</v>
      </c>
      <c r="AD39" s="34">
        <v>14</v>
      </c>
      <c r="AE39" s="34">
        <f>G39*0.304760622180325</f>
        <v>0</v>
      </c>
      <c r="AF39" s="34">
        <f>G39*(1-0.304760622180325)</f>
        <v>0</v>
      </c>
      <c r="AL39" s="34"/>
    </row>
    <row r="40" spans="1:38" ht="12.75">
      <c r="A40" s="3" t="s">
        <v>162</v>
      </c>
      <c r="B40" s="3"/>
      <c r="C40" s="3" t="s">
        <v>163</v>
      </c>
      <c r="D40" s="3" t="s">
        <v>164</v>
      </c>
      <c r="E40" s="3" t="s">
        <v>140</v>
      </c>
      <c r="F40" s="34">
        <v>17.6</v>
      </c>
      <c r="G40" s="34"/>
      <c r="H40" s="34">
        <f t="shared" si="0"/>
        <v>0</v>
      </c>
      <c r="I40" s="34">
        <f t="shared" si="1"/>
        <v>0</v>
      </c>
      <c r="J40" s="34">
        <f t="shared" si="2"/>
        <v>0</v>
      </c>
      <c r="K40" s="34">
        <v>0.00047000000000000004</v>
      </c>
      <c r="L40" s="34">
        <v>0</v>
      </c>
      <c r="N40" s="35" t="s">
        <v>81</v>
      </c>
      <c r="O40" s="34">
        <f t="shared" si="4"/>
        <v>0</v>
      </c>
      <c r="Z40" s="34">
        <f t="shared" si="5"/>
        <v>0</v>
      </c>
      <c r="AA40" s="34">
        <f t="shared" si="6"/>
        <v>0</v>
      </c>
      <c r="AB40" s="34">
        <f t="shared" si="7"/>
        <v>0</v>
      </c>
      <c r="AD40" s="34">
        <v>14</v>
      </c>
      <c r="AE40" s="34">
        <f>G40*0.296653913888383</f>
        <v>0</v>
      </c>
      <c r="AF40" s="34">
        <f>G40*(1-0.296653913888383)</f>
        <v>0</v>
      </c>
      <c r="AL40" s="34"/>
    </row>
    <row r="41" spans="1:38" ht="12.75">
      <c r="A41" s="3" t="s">
        <v>165</v>
      </c>
      <c r="B41" s="3"/>
      <c r="C41" s="3" t="s">
        <v>166</v>
      </c>
      <c r="D41" s="3" t="s">
        <v>167</v>
      </c>
      <c r="E41" s="3" t="s">
        <v>140</v>
      </c>
      <c r="F41" s="34">
        <v>3.3</v>
      </c>
      <c r="G41" s="34"/>
      <c r="H41" s="34">
        <f t="shared" si="0"/>
        <v>0</v>
      </c>
      <c r="I41" s="34">
        <f t="shared" si="1"/>
        <v>0</v>
      </c>
      <c r="J41" s="34">
        <f t="shared" si="2"/>
        <v>0</v>
      </c>
      <c r="K41" s="34">
        <v>0.0007</v>
      </c>
      <c r="L41" s="34">
        <f t="shared" si="3"/>
        <v>0.00231</v>
      </c>
      <c r="N41" s="35" t="s">
        <v>81</v>
      </c>
      <c r="O41" s="34">
        <f t="shared" si="4"/>
        <v>0</v>
      </c>
      <c r="Z41" s="34">
        <f t="shared" si="5"/>
        <v>0</v>
      </c>
      <c r="AA41" s="34">
        <f t="shared" si="6"/>
        <v>0</v>
      </c>
      <c r="AB41" s="34">
        <f t="shared" si="7"/>
        <v>0</v>
      </c>
      <c r="AD41" s="34">
        <v>14</v>
      </c>
      <c r="AE41" s="34">
        <f>G41*0.296323103647944</f>
        <v>0</v>
      </c>
      <c r="AF41" s="34">
        <f>G41*(1-0.296323103647944)</f>
        <v>0</v>
      </c>
      <c r="AL41" s="34"/>
    </row>
    <row r="42" spans="1:38" ht="12.75">
      <c r="A42" s="3" t="s">
        <v>168</v>
      </c>
      <c r="B42" s="3"/>
      <c r="C42" s="3" t="s">
        <v>169</v>
      </c>
      <c r="D42" s="3" t="s">
        <v>170</v>
      </c>
      <c r="E42" s="3" t="s">
        <v>140</v>
      </c>
      <c r="F42" s="34">
        <v>5.5</v>
      </c>
      <c r="G42" s="34"/>
      <c r="H42" s="34">
        <f t="shared" si="0"/>
        <v>0</v>
      </c>
      <c r="I42" s="34">
        <f t="shared" si="1"/>
        <v>0</v>
      </c>
      <c r="J42" s="34">
        <f t="shared" si="2"/>
        <v>0</v>
      </c>
      <c r="K42" s="34">
        <v>0.00152</v>
      </c>
      <c r="L42" s="34">
        <v>0</v>
      </c>
      <c r="N42" s="35" t="s">
        <v>81</v>
      </c>
      <c r="O42" s="34">
        <f t="shared" si="4"/>
        <v>0</v>
      </c>
      <c r="Z42" s="34">
        <f t="shared" si="5"/>
        <v>0</v>
      </c>
      <c r="AA42" s="34">
        <f t="shared" si="6"/>
        <v>0</v>
      </c>
      <c r="AB42" s="34">
        <f t="shared" si="7"/>
        <v>0</v>
      </c>
      <c r="AD42" s="34">
        <v>14</v>
      </c>
      <c r="AE42" s="34">
        <f>G42*0.264154611914761</f>
        <v>0</v>
      </c>
      <c r="AF42" s="34">
        <f>G42*(1-0.264154611914761)</f>
        <v>0</v>
      </c>
      <c r="AL42" s="34"/>
    </row>
    <row r="43" spans="1:38" ht="12.75">
      <c r="A43" s="3" t="s">
        <v>171</v>
      </c>
      <c r="B43" s="3"/>
      <c r="C43" s="3" t="s">
        <v>172</v>
      </c>
      <c r="D43" s="3" t="s">
        <v>173</v>
      </c>
      <c r="E43" s="3" t="s">
        <v>140</v>
      </c>
      <c r="F43" s="34">
        <v>14.3</v>
      </c>
      <c r="G43" s="34"/>
      <c r="H43" s="34">
        <f t="shared" si="0"/>
        <v>0</v>
      </c>
      <c r="I43" s="34">
        <f t="shared" si="1"/>
        <v>0</v>
      </c>
      <c r="J43" s="34">
        <f t="shared" si="2"/>
        <v>0</v>
      </c>
      <c r="K43" s="34">
        <v>0.00138</v>
      </c>
      <c r="L43" s="34">
        <v>0</v>
      </c>
      <c r="N43" s="35" t="s">
        <v>81</v>
      </c>
      <c r="O43" s="34">
        <f t="shared" si="4"/>
        <v>0</v>
      </c>
      <c r="Z43" s="34">
        <f t="shared" si="5"/>
        <v>0</v>
      </c>
      <c r="AA43" s="34">
        <f t="shared" si="6"/>
        <v>0</v>
      </c>
      <c r="AB43" s="34">
        <f t="shared" si="7"/>
        <v>0</v>
      </c>
      <c r="AD43" s="34">
        <v>14</v>
      </c>
      <c r="AE43" s="34">
        <f>G43*0.394838557624322</f>
        <v>0</v>
      </c>
      <c r="AF43" s="34">
        <f>G43*(1-0.394838557624322)</f>
        <v>0</v>
      </c>
      <c r="AL43" s="34"/>
    </row>
    <row r="44" spans="1:38" ht="12.75">
      <c r="A44" s="3" t="s">
        <v>174</v>
      </c>
      <c r="B44" s="3"/>
      <c r="C44" s="3" t="s">
        <v>175</v>
      </c>
      <c r="D44" s="3" t="s">
        <v>176</v>
      </c>
      <c r="E44" s="3" t="s">
        <v>140</v>
      </c>
      <c r="F44" s="34">
        <v>51.7</v>
      </c>
      <c r="G44" s="34"/>
      <c r="H44" s="34">
        <f t="shared" si="0"/>
        <v>0</v>
      </c>
      <c r="I44" s="34">
        <f t="shared" si="1"/>
        <v>0</v>
      </c>
      <c r="J44" s="34">
        <f t="shared" si="2"/>
        <v>0</v>
      </c>
      <c r="K44" s="34">
        <v>0.00137</v>
      </c>
      <c r="L44" s="34">
        <v>0</v>
      </c>
      <c r="N44" s="35" t="s">
        <v>81</v>
      </c>
      <c r="O44" s="34">
        <f t="shared" si="4"/>
        <v>0</v>
      </c>
      <c r="Z44" s="34">
        <f t="shared" si="5"/>
        <v>0</v>
      </c>
      <c r="AA44" s="34">
        <f t="shared" si="6"/>
        <v>0</v>
      </c>
      <c r="AB44" s="34">
        <f t="shared" si="7"/>
        <v>0</v>
      </c>
      <c r="AD44" s="34">
        <v>14</v>
      </c>
      <c r="AE44" s="34">
        <f>G44*0.429733152620703</f>
        <v>0</v>
      </c>
      <c r="AF44" s="34">
        <f>G44*(1-0.429733152620703)</f>
        <v>0</v>
      </c>
      <c r="AL44" s="34"/>
    </row>
    <row r="45" spans="1:38" ht="12.75">
      <c r="A45" s="3" t="s">
        <v>177</v>
      </c>
      <c r="B45" s="3"/>
      <c r="C45" s="3" t="s">
        <v>178</v>
      </c>
      <c r="D45" s="3" t="s">
        <v>179</v>
      </c>
      <c r="E45" s="3" t="s">
        <v>140</v>
      </c>
      <c r="F45" s="34">
        <v>33</v>
      </c>
      <c r="G45" s="34"/>
      <c r="H45" s="34">
        <f t="shared" si="0"/>
        <v>0</v>
      </c>
      <c r="I45" s="34">
        <f t="shared" si="1"/>
        <v>0</v>
      </c>
      <c r="J45" s="34">
        <f t="shared" si="2"/>
        <v>0</v>
      </c>
      <c r="K45" s="34">
        <v>0.00173</v>
      </c>
      <c r="L45" s="34">
        <v>0</v>
      </c>
      <c r="N45" s="35" t="s">
        <v>81</v>
      </c>
      <c r="O45" s="34">
        <f t="shared" si="4"/>
        <v>0</v>
      </c>
      <c r="Z45" s="34">
        <f t="shared" si="5"/>
        <v>0</v>
      </c>
      <c r="AA45" s="34">
        <f t="shared" si="6"/>
        <v>0</v>
      </c>
      <c r="AB45" s="34">
        <f t="shared" si="7"/>
        <v>0</v>
      </c>
      <c r="AD45" s="34">
        <v>14</v>
      </c>
      <c r="AE45" s="34">
        <f>G45*0.583673660255011</f>
        <v>0</v>
      </c>
      <c r="AF45" s="34">
        <f>G45*(1-0.583673660255011)</f>
        <v>0</v>
      </c>
      <c r="AL45" s="34"/>
    </row>
    <row r="46" spans="1:38" ht="12.75">
      <c r="A46" s="3" t="s">
        <v>180</v>
      </c>
      <c r="B46" s="3"/>
      <c r="C46" s="3" t="s">
        <v>181</v>
      </c>
      <c r="D46" s="3" t="s">
        <v>182</v>
      </c>
      <c r="E46" s="3" t="s">
        <v>140</v>
      </c>
      <c r="F46" s="34">
        <v>14.3</v>
      </c>
      <c r="G46" s="34"/>
      <c r="H46" s="34">
        <f t="shared" si="0"/>
        <v>0</v>
      </c>
      <c r="I46" s="34">
        <f t="shared" si="1"/>
        <v>0</v>
      </c>
      <c r="J46" s="34">
        <f t="shared" si="2"/>
        <v>0</v>
      </c>
      <c r="K46" s="34">
        <v>0.00183</v>
      </c>
      <c r="L46" s="34">
        <v>0</v>
      </c>
      <c r="N46" s="35" t="s">
        <v>81</v>
      </c>
      <c r="O46" s="34">
        <f t="shared" si="4"/>
        <v>0</v>
      </c>
      <c r="Z46" s="34">
        <f t="shared" si="5"/>
        <v>0</v>
      </c>
      <c r="AA46" s="34">
        <f t="shared" si="6"/>
        <v>0</v>
      </c>
      <c r="AB46" s="34">
        <f t="shared" si="7"/>
        <v>0</v>
      </c>
      <c r="AD46" s="34">
        <v>14</v>
      </c>
      <c r="AE46" s="34">
        <f>G46*0.375143031040779</f>
        <v>0</v>
      </c>
      <c r="AF46" s="34">
        <f>G46*(1-0.375143031040779)</f>
        <v>0</v>
      </c>
      <c r="AL46" s="34"/>
    </row>
    <row r="47" spans="1:38" ht="12.75">
      <c r="A47" s="3" t="s">
        <v>183</v>
      </c>
      <c r="B47" s="3"/>
      <c r="C47" s="3" t="s">
        <v>184</v>
      </c>
      <c r="D47" s="3" t="s">
        <v>185</v>
      </c>
      <c r="E47" s="3" t="s">
        <v>140</v>
      </c>
      <c r="F47" s="34">
        <v>15.4</v>
      </c>
      <c r="G47" s="34"/>
      <c r="H47" s="34">
        <f t="shared" si="0"/>
        <v>0</v>
      </c>
      <c r="I47" s="34">
        <f t="shared" si="1"/>
        <v>0</v>
      </c>
      <c r="J47" s="34">
        <f t="shared" si="2"/>
        <v>0</v>
      </c>
      <c r="K47" s="34">
        <v>0.00204</v>
      </c>
      <c r="L47" s="34">
        <v>0</v>
      </c>
      <c r="N47" s="35" t="s">
        <v>81</v>
      </c>
      <c r="O47" s="34">
        <f t="shared" si="4"/>
        <v>0</v>
      </c>
      <c r="Z47" s="34">
        <f t="shared" si="5"/>
        <v>0</v>
      </c>
      <c r="AA47" s="34">
        <f t="shared" si="6"/>
        <v>0</v>
      </c>
      <c r="AB47" s="34">
        <f t="shared" si="7"/>
        <v>0</v>
      </c>
      <c r="AD47" s="34">
        <v>14</v>
      </c>
      <c r="AE47" s="34">
        <f>G47*0.40442848860545</f>
        <v>0</v>
      </c>
      <c r="AF47" s="34">
        <f>G47*(1-0.40442848860545)</f>
        <v>0</v>
      </c>
      <c r="AL47" s="34"/>
    </row>
    <row r="48" spans="1:38" ht="12.75">
      <c r="A48" s="3" t="s">
        <v>186</v>
      </c>
      <c r="B48" s="3"/>
      <c r="C48" s="3" t="s">
        <v>187</v>
      </c>
      <c r="D48" s="3" t="s">
        <v>188</v>
      </c>
      <c r="E48" s="3" t="s">
        <v>111</v>
      </c>
      <c r="F48" s="34">
        <v>6.6</v>
      </c>
      <c r="G48" s="34"/>
      <c r="H48" s="34">
        <f t="shared" si="0"/>
        <v>0</v>
      </c>
      <c r="I48" s="34">
        <f t="shared" si="1"/>
        <v>0</v>
      </c>
      <c r="J48" s="34">
        <f t="shared" si="2"/>
        <v>0</v>
      </c>
      <c r="K48" s="34">
        <v>0</v>
      </c>
      <c r="L48" s="34">
        <f t="shared" si="3"/>
        <v>0</v>
      </c>
      <c r="N48" s="35" t="s">
        <v>81</v>
      </c>
      <c r="O48" s="34">
        <f t="shared" si="4"/>
        <v>0</v>
      </c>
      <c r="Z48" s="34">
        <f t="shared" si="5"/>
        <v>0</v>
      </c>
      <c r="AA48" s="34">
        <f t="shared" si="6"/>
        <v>0</v>
      </c>
      <c r="AB48" s="34">
        <f t="shared" si="7"/>
        <v>0</v>
      </c>
      <c r="AD48" s="34">
        <v>14</v>
      </c>
      <c r="AE48" s="34">
        <f>G48*0</f>
        <v>0</v>
      </c>
      <c r="AF48" s="34">
        <f>G48*(1-0)</f>
        <v>0</v>
      </c>
      <c r="AL48" s="34"/>
    </row>
    <row r="49" spans="1:38" ht="12.75">
      <c r="A49" s="3" t="s">
        <v>189</v>
      </c>
      <c r="B49" s="3"/>
      <c r="C49" s="3" t="s">
        <v>190</v>
      </c>
      <c r="D49" s="3" t="s">
        <v>191</v>
      </c>
      <c r="E49" s="3" t="s">
        <v>111</v>
      </c>
      <c r="F49" s="34">
        <v>18.7</v>
      </c>
      <c r="G49" s="34"/>
      <c r="H49" s="34">
        <f t="shared" si="0"/>
        <v>0</v>
      </c>
      <c r="I49" s="34">
        <f t="shared" si="1"/>
        <v>0</v>
      </c>
      <c r="J49" s="34">
        <f t="shared" si="2"/>
        <v>0</v>
      </c>
      <c r="K49" s="34">
        <v>0</v>
      </c>
      <c r="L49" s="34">
        <f t="shared" si="3"/>
        <v>0</v>
      </c>
      <c r="N49" s="35" t="s">
        <v>81</v>
      </c>
      <c r="O49" s="34">
        <f t="shared" si="4"/>
        <v>0</v>
      </c>
      <c r="Z49" s="34">
        <f t="shared" si="5"/>
        <v>0</v>
      </c>
      <c r="AA49" s="34">
        <f t="shared" si="6"/>
        <v>0</v>
      </c>
      <c r="AB49" s="34">
        <f t="shared" si="7"/>
        <v>0</v>
      </c>
      <c r="AD49" s="34">
        <v>14</v>
      </c>
      <c r="AE49" s="34">
        <f>G49*0</f>
        <v>0</v>
      </c>
      <c r="AF49" s="34">
        <f>G49*(1-0)</f>
        <v>0</v>
      </c>
      <c r="AL49" s="34"/>
    </row>
    <row r="50" spans="1:38" ht="12.75">
      <c r="A50" s="3" t="s">
        <v>192</v>
      </c>
      <c r="B50" s="3"/>
      <c r="C50" s="3" t="s">
        <v>193</v>
      </c>
      <c r="D50" s="3" t="s">
        <v>194</v>
      </c>
      <c r="E50" s="3" t="s">
        <v>111</v>
      </c>
      <c r="F50" s="34">
        <v>3.3</v>
      </c>
      <c r="G50" s="34"/>
      <c r="H50" s="34">
        <f t="shared" si="0"/>
        <v>0</v>
      </c>
      <c r="I50" s="34">
        <f t="shared" si="1"/>
        <v>0</v>
      </c>
      <c r="J50" s="34">
        <f t="shared" si="2"/>
        <v>0</v>
      </c>
      <c r="K50" s="34">
        <v>0</v>
      </c>
      <c r="L50" s="34">
        <f t="shared" si="3"/>
        <v>0</v>
      </c>
      <c r="N50" s="35" t="s">
        <v>81</v>
      </c>
      <c r="O50" s="34">
        <f t="shared" si="4"/>
        <v>0</v>
      </c>
      <c r="Z50" s="34">
        <f t="shared" si="5"/>
        <v>0</v>
      </c>
      <c r="AA50" s="34">
        <f t="shared" si="6"/>
        <v>0</v>
      </c>
      <c r="AB50" s="34">
        <f t="shared" si="7"/>
        <v>0</v>
      </c>
      <c r="AD50" s="34">
        <v>14</v>
      </c>
      <c r="AE50" s="34">
        <f>G50*0</f>
        <v>0</v>
      </c>
      <c r="AF50" s="34">
        <f>G50*(1-0)</f>
        <v>0</v>
      </c>
      <c r="AL50" s="34"/>
    </row>
    <row r="51" spans="1:38" ht="12.75">
      <c r="A51" s="3" t="s">
        <v>195</v>
      </c>
      <c r="B51" s="3"/>
      <c r="C51" s="3" t="s">
        <v>196</v>
      </c>
      <c r="D51" s="3" t="s">
        <v>197</v>
      </c>
      <c r="E51" s="3" t="s">
        <v>111</v>
      </c>
      <c r="F51" s="34">
        <v>6.6</v>
      </c>
      <c r="G51" s="34"/>
      <c r="H51" s="34">
        <f t="shared" si="0"/>
        <v>0</v>
      </c>
      <c r="I51" s="34">
        <f t="shared" si="1"/>
        <v>0</v>
      </c>
      <c r="J51" s="34">
        <f t="shared" si="2"/>
        <v>0</v>
      </c>
      <c r="K51" s="34">
        <v>0</v>
      </c>
      <c r="L51" s="34">
        <f t="shared" si="3"/>
        <v>0</v>
      </c>
      <c r="N51" s="35" t="s">
        <v>81</v>
      </c>
      <c r="O51" s="34">
        <f t="shared" si="4"/>
        <v>0</v>
      </c>
      <c r="Z51" s="34">
        <f t="shared" si="5"/>
        <v>0</v>
      </c>
      <c r="AA51" s="34">
        <f t="shared" si="6"/>
        <v>0</v>
      </c>
      <c r="AB51" s="34">
        <f t="shared" si="7"/>
        <v>0</v>
      </c>
      <c r="AD51" s="34">
        <v>14</v>
      </c>
      <c r="AE51" s="34">
        <f>G51*0</f>
        <v>0</v>
      </c>
      <c r="AF51" s="34">
        <f>G51*(1-0)</f>
        <v>0</v>
      </c>
      <c r="AL51" s="34"/>
    </row>
    <row r="52" spans="1:38" ht="12.75">
      <c r="A52" s="3" t="s">
        <v>198</v>
      </c>
      <c r="B52" s="3"/>
      <c r="C52" s="3" t="s">
        <v>199</v>
      </c>
      <c r="D52" s="3" t="s">
        <v>200</v>
      </c>
      <c r="E52" s="3" t="s">
        <v>140</v>
      </c>
      <c r="F52" s="34">
        <v>162.8</v>
      </c>
      <c r="G52" s="34"/>
      <c r="H52" s="34">
        <f t="shared" si="0"/>
        <v>0</v>
      </c>
      <c r="I52" s="34">
        <f t="shared" si="1"/>
        <v>0</v>
      </c>
      <c r="J52" s="34">
        <f t="shared" si="2"/>
        <v>0</v>
      </c>
      <c r="K52" s="34"/>
      <c r="L52" s="34">
        <f t="shared" si="3"/>
        <v>0</v>
      </c>
      <c r="N52" s="35" t="s">
        <v>81</v>
      </c>
      <c r="O52" s="34">
        <f t="shared" si="4"/>
        <v>0</v>
      </c>
      <c r="Z52" s="34">
        <f t="shared" si="5"/>
        <v>0</v>
      </c>
      <c r="AA52" s="34">
        <f t="shared" si="6"/>
        <v>0</v>
      </c>
      <c r="AB52" s="34">
        <f t="shared" si="7"/>
        <v>0</v>
      </c>
      <c r="AD52" s="34">
        <v>14</v>
      </c>
      <c r="AE52" s="34">
        <f>G52*0.0306633291614518</f>
        <v>0</v>
      </c>
      <c r="AF52" s="34">
        <f>G52*(1-0.0306633291614518)</f>
        <v>0</v>
      </c>
      <c r="AL52" s="34"/>
    </row>
    <row r="53" spans="1:38" ht="12.75">
      <c r="A53" s="36"/>
      <c r="B53" s="36"/>
      <c r="C53" s="37" t="s">
        <v>201</v>
      </c>
      <c r="D53" s="39" t="s">
        <v>202</v>
      </c>
      <c r="E53" s="39"/>
      <c r="F53" s="39"/>
      <c r="G53" s="39"/>
      <c r="H53" s="33">
        <f>SUM(H54:H161)</f>
        <v>0</v>
      </c>
      <c r="I53" s="33">
        <f>SUM(I54:I161)</f>
        <v>0</v>
      </c>
      <c r="J53" s="33">
        <f>H53+I53</f>
        <v>0</v>
      </c>
      <c r="K53" s="28"/>
      <c r="L53" s="33">
        <v>0</v>
      </c>
      <c r="P53" s="33">
        <f>IF(Q53="PR",J53,SUM(O54:O161))</f>
        <v>0</v>
      </c>
      <c r="Q53" s="28" t="s">
        <v>107</v>
      </c>
      <c r="R53" s="33">
        <f>IF(Q53="HS",H53,0)</f>
        <v>0</v>
      </c>
      <c r="S53" s="33">
        <f>IF(Q53="HS",I53-P53,0)</f>
        <v>0</v>
      </c>
      <c r="T53" s="33">
        <f>IF(Q53="PS",H53,0)</f>
        <v>0</v>
      </c>
      <c r="U53" s="33">
        <f>IF(Q53="PS",I53-P53,0)</f>
        <v>0</v>
      </c>
      <c r="V53" s="33">
        <f>IF(Q53="MP",H53,0)</f>
        <v>0</v>
      </c>
      <c r="W53" s="33">
        <f>IF(Q53="MP",I53-P53,0)</f>
        <v>0</v>
      </c>
      <c r="X53" s="33">
        <f>IF(Q53="OM",H53,0)</f>
        <v>0</v>
      </c>
      <c r="Y53" s="28"/>
      <c r="AI53" s="33">
        <f>SUM(Z54:Z161)</f>
        <v>0</v>
      </c>
      <c r="AJ53" s="33">
        <f>SUM(AA54:AA161)</f>
        <v>0</v>
      </c>
      <c r="AK53" s="33">
        <f>SUM(AB54:AB161)</f>
        <v>0</v>
      </c>
      <c r="AL53" s="43"/>
    </row>
    <row r="54" spans="1:38" ht="12.75">
      <c r="A54" s="3" t="s">
        <v>203</v>
      </c>
      <c r="B54" s="3"/>
      <c r="C54" s="3" t="s">
        <v>204</v>
      </c>
      <c r="D54" s="3" t="s">
        <v>205</v>
      </c>
      <c r="E54" s="3" t="s">
        <v>111</v>
      </c>
      <c r="F54" s="34">
        <v>7</v>
      </c>
      <c r="G54" s="34"/>
      <c r="H54" s="34">
        <f aca="true" t="shared" si="10" ref="H54:H85">ROUND(F54*AE54,2)</f>
        <v>0</v>
      </c>
      <c r="I54" s="34">
        <f aca="true" t="shared" si="11" ref="I54:I85">J54-H54</f>
        <v>0</v>
      </c>
      <c r="J54" s="34">
        <f aca="true" t="shared" si="12" ref="J54:J85">ROUND(F54*G54,2)</f>
        <v>0</v>
      </c>
      <c r="K54" s="34">
        <v>0</v>
      </c>
      <c r="L54" s="34">
        <f aca="true" t="shared" si="13" ref="L54:L85">F54*K54</f>
        <v>0</v>
      </c>
      <c r="N54" s="35" t="s">
        <v>112</v>
      </c>
      <c r="O54" s="34">
        <f aca="true" t="shared" si="14" ref="O54:O85">IF(N54="5",I54,0)</f>
        <v>0</v>
      </c>
      <c r="Z54" s="34">
        <f aca="true" t="shared" si="15" ref="Z54:Z85">IF(AD54=0,J54,0)</f>
        <v>0</v>
      </c>
      <c r="AA54" s="34">
        <f aca="true" t="shared" si="16" ref="AA54:AA85">IF(AD54=14,J54,0)</f>
        <v>0</v>
      </c>
      <c r="AB54" s="34">
        <f aca="true" t="shared" si="17" ref="AB54:AB85">IF(AD54=20,J54,0)</f>
        <v>0</v>
      </c>
      <c r="AD54" s="34">
        <v>14</v>
      </c>
      <c r="AE54" s="34">
        <f aca="true" t="shared" si="18" ref="AE54:AE85">G54*1</f>
        <v>0</v>
      </c>
      <c r="AF54" s="34">
        <f aca="true" t="shared" si="19" ref="AF54:AF85">G54*(1-1)</f>
        <v>0</v>
      </c>
      <c r="AL54" s="34"/>
    </row>
    <row r="55" spans="1:38" ht="12.75">
      <c r="A55" s="3" t="s">
        <v>206</v>
      </c>
      <c r="B55" s="3"/>
      <c r="C55" s="3" t="s">
        <v>204</v>
      </c>
      <c r="D55" s="3" t="s">
        <v>207</v>
      </c>
      <c r="E55" s="3" t="s">
        <v>111</v>
      </c>
      <c r="F55" s="34">
        <v>3</v>
      </c>
      <c r="G55" s="34"/>
      <c r="H55" s="34">
        <f t="shared" si="10"/>
        <v>0</v>
      </c>
      <c r="I55" s="34">
        <f t="shared" si="11"/>
        <v>0</v>
      </c>
      <c r="J55" s="34">
        <f t="shared" si="12"/>
        <v>0</v>
      </c>
      <c r="K55" s="34">
        <v>0</v>
      </c>
      <c r="L55" s="34">
        <f t="shared" si="13"/>
        <v>0</v>
      </c>
      <c r="N55" s="35" t="s">
        <v>112</v>
      </c>
      <c r="O55" s="34">
        <f t="shared" si="14"/>
        <v>0</v>
      </c>
      <c r="Z55" s="34">
        <f t="shared" si="15"/>
        <v>0</v>
      </c>
      <c r="AA55" s="34">
        <f t="shared" si="16"/>
        <v>0</v>
      </c>
      <c r="AB55" s="34">
        <f t="shared" si="17"/>
        <v>0</v>
      </c>
      <c r="AD55" s="34">
        <v>14</v>
      </c>
      <c r="AE55" s="34">
        <f t="shared" si="18"/>
        <v>0</v>
      </c>
      <c r="AF55" s="34">
        <f t="shared" si="19"/>
        <v>0</v>
      </c>
      <c r="AL55" s="34"/>
    </row>
    <row r="56" spans="1:38" ht="12.75">
      <c r="A56" s="3" t="s">
        <v>208</v>
      </c>
      <c r="B56" s="3"/>
      <c r="C56" s="3" t="s">
        <v>209</v>
      </c>
      <c r="D56" s="3" t="s">
        <v>210</v>
      </c>
      <c r="E56" s="3" t="s">
        <v>140</v>
      </c>
      <c r="F56" s="34">
        <v>68.2</v>
      </c>
      <c r="G56" s="34"/>
      <c r="H56" s="34">
        <f t="shared" si="10"/>
        <v>0</v>
      </c>
      <c r="I56" s="34">
        <f t="shared" si="11"/>
        <v>0</v>
      </c>
      <c r="J56" s="34">
        <f t="shared" si="12"/>
        <v>0</v>
      </c>
      <c r="K56" s="34">
        <v>2E-05</v>
      </c>
      <c r="L56" s="34">
        <f t="shared" si="13"/>
        <v>0.0013640000000000002</v>
      </c>
      <c r="N56" s="35" t="s">
        <v>112</v>
      </c>
      <c r="O56" s="34">
        <f t="shared" si="14"/>
        <v>0</v>
      </c>
      <c r="Z56" s="34">
        <f t="shared" si="15"/>
        <v>0</v>
      </c>
      <c r="AA56" s="34">
        <f t="shared" si="16"/>
        <v>0</v>
      </c>
      <c r="AB56" s="34">
        <f t="shared" si="17"/>
        <v>0</v>
      </c>
      <c r="AD56" s="34">
        <v>14</v>
      </c>
      <c r="AE56" s="34">
        <f t="shared" si="18"/>
        <v>0</v>
      </c>
      <c r="AF56" s="34">
        <f t="shared" si="19"/>
        <v>0</v>
      </c>
      <c r="AL56" s="34"/>
    </row>
    <row r="57" spans="1:38" ht="12.75">
      <c r="A57" s="3" t="s">
        <v>211</v>
      </c>
      <c r="B57" s="3"/>
      <c r="C57" s="3" t="s">
        <v>212</v>
      </c>
      <c r="D57" s="3" t="s">
        <v>213</v>
      </c>
      <c r="E57" s="3" t="s">
        <v>140</v>
      </c>
      <c r="F57" s="34">
        <v>138.6</v>
      </c>
      <c r="G57" s="34"/>
      <c r="H57" s="34">
        <f t="shared" si="10"/>
        <v>0</v>
      </c>
      <c r="I57" s="34">
        <f t="shared" si="11"/>
        <v>0</v>
      </c>
      <c r="J57" s="34">
        <f t="shared" si="12"/>
        <v>0</v>
      </c>
      <c r="K57" s="34">
        <v>3.0000000000000004E-05</v>
      </c>
      <c r="L57" s="34">
        <f t="shared" si="13"/>
        <v>0.004158</v>
      </c>
      <c r="N57" s="35" t="s">
        <v>112</v>
      </c>
      <c r="O57" s="34">
        <f t="shared" si="14"/>
        <v>0</v>
      </c>
      <c r="Z57" s="34">
        <f t="shared" si="15"/>
        <v>0</v>
      </c>
      <c r="AA57" s="34">
        <f t="shared" si="16"/>
        <v>0</v>
      </c>
      <c r="AB57" s="34">
        <f t="shared" si="17"/>
        <v>0</v>
      </c>
      <c r="AD57" s="34">
        <v>14</v>
      </c>
      <c r="AE57" s="34">
        <f t="shared" si="18"/>
        <v>0</v>
      </c>
      <c r="AF57" s="34">
        <f t="shared" si="19"/>
        <v>0</v>
      </c>
      <c r="AL57" s="34"/>
    </row>
    <row r="58" spans="1:38" ht="12.75">
      <c r="A58" s="3" t="s">
        <v>214</v>
      </c>
      <c r="B58" s="3"/>
      <c r="C58" s="3" t="s">
        <v>212</v>
      </c>
      <c r="D58" s="3" t="s">
        <v>215</v>
      </c>
      <c r="E58" s="3" t="s">
        <v>140</v>
      </c>
      <c r="F58" s="34">
        <v>45.1</v>
      </c>
      <c r="G58" s="34"/>
      <c r="H58" s="34">
        <f t="shared" si="10"/>
        <v>0</v>
      </c>
      <c r="I58" s="34">
        <f t="shared" si="11"/>
        <v>0</v>
      </c>
      <c r="J58" s="34">
        <f t="shared" si="12"/>
        <v>0</v>
      </c>
      <c r="K58" s="34">
        <v>3.0000000000000004E-05</v>
      </c>
      <c r="L58" s="34">
        <f t="shared" si="13"/>
        <v>0.0013530000000000003</v>
      </c>
      <c r="N58" s="35" t="s">
        <v>112</v>
      </c>
      <c r="O58" s="34">
        <f t="shared" si="14"/>
        <v>0</v>
      </c>
      <c r="Z58" s="34">
        <f t="shared" si="15"/>
        <v>0</v>
      </c>
      <c r="AA58" s="34">
        <f t="shared" si="16"/>
        <v>0</v>
      </c>
      <c r="AB58" s="34">
        <f t="shared" si="17"/>
        <v>0</v>
      </c>
      <c r="AD58" s="34">
        <v>14</v>
      </c>
      <c r="AE58" s="34">
        <f t="shared" si="18"/>
        <v>0</v>
      </c>
      <c r="AF58" s="34">
        <f t="shared" si="19"/>
        <v>0</v>
      </c>
      <c r="AL58" s="34"/>
    </row>
    <row r="59" spans="1:38" ht="12.75">
      <c r="A59" s="3" t="s">
        <v>216</v>
      </c>
      <c r="B59" s="3"/>
      <c r="C59" s="3" t="s">
        <v>217</v>
      </c>
      <c r="D59" s="3" t="s">
        <v>218</v>
      </c>
      <c r="E59" s="3" t="s">
        <v>140</v>
      </c>
      <c r="F59" s="34">
        <v>60.5</v>
      </c>
      <c r="G59" s="34"/>
      <c r="H59" s="34">
        <f t="shared" si="10"/>
        <v>0</v>
      </c>
      <c r="I59" s="34">
        <f t="shared" si="11"/>
        <v>0</v>
      </c>
      <c r="J59" s="34">
        <f t="shared" si="12"/>
        <v>0</v>
      </c>
      <c r="K59" s="34">
        <v>3.0000000000000004E-05</v>
      </c>
      <c r="L59" s="34">
        <f t="shared" si="13"/>
        <v>0.0018150000000000002</v>
      </c>
      <c r="N59" s="35" t="s">
        <v>112</v>
      </c>
      <c r="O59" s="34">
        <f t="shared" si="14"/>
        <v>0</v>
      </c>
      <c r="Z59" s="34">
        <f t="shared" si="15"/>
        <v>0</v>
      </c>
      <c r="AA59" s="34">
        <f t="shared" si="16"/>
        <v>0</v>
      </c>
      <c r="AB59" s="34">
        <f t="shared" si="17"/>
        <v>0</v>
      </c>
      <c r="AD59" s="34">
        <v>14</v>
      </c>
      <c r="AE59" s="34">
        <f t="shared" si="18"/>
        <v>0</v>
      </c>
      <c r="AF59" s="34">
        <f t="shared" si="19"/>
        <v>0</v>
      </c>
      <c r="AL59" s="34"/>
    </row>
    <row r="60" spans="1:38" ht="12.75">
      <c r="A60" s="3" t="s">
        <v>219</v>
      </c>
      <c r="B60" s="3"/>
      <c r="C60" s="3" t="s">
        <v>217</v>
      </c>
      <c r="D60" s="3" t="s">
        <v>220</v>
      </c>
      <c r="E60" s="3" t="s">
        <v>140</v>
      </c>
      <c r="F60" s="34">
        <v>2.2</v>
      </c>
      <c r="G60" s="34"/>
      <c r="H60" s="34">
        <f t="shared" si="10"/>
        <v>0</v>
      </c>
      <c r="I60" s="34">
        <f t="shared" si="11"/>
        <v>0</v>
      </c>
      <c r="J60" s="34">
        <f t="shared" si="12"/>
        <v>0</v>
      </c>
      <c r="K60" s="34">
        <v>3.0000000000000004E-05</v>
      </c>
      <c r="L60" s="34">
        <f t="shared" si="13"/>
        <v>6.600000000000002E-05</v>
      </c>
      <c r="N60" s="35" t="s">
        <v>112</v>
      </c>
      <c r="O60" s="34">
        <f t="shared" si="14"/>
        <v>0</v>
      </c>
      <c r="Z60" s="34">
        <f t="shared" si="15"/>
        <v>0</v>
      </c>
      <c r="AA60" s="34">
        <f t="shared" si="16"/>
        <v>0</v>
      </c>
      <c r="AB60" s="34">
        <f t="shared" si="17"/>
        <v>0</v>
      </c>
      <c r="AD60" s="34">
        <v>14</v>
      </c>
      <c r="AE60" s="34">
        <f t="shared" si="18"/>
        <v>0</v>
      </c>
      <c r="AF60" s="34">
        <f t="shared" si="19"/>
        <v>0</v>
      </c>
      <c r="AL60" s="34"/>
    </row>
    <row r="61" spans="1:38" ht="12.75">
      <c r="A61" s="3" t="s">
        <v>221</v>
      </c>
      <c r="B61" s="3"/>
      <c r="C61" s="3" t="s">
        <v>222</v>
      </c>
      <c r="D61" s="3" t="s">
        <v>223</v>
      </c>
      <c r="E61" s="3" t="s">
        <v>140</v>
      </c>
      <c r="F61" s="34">
        <v>15.4</v>
      </c>
      <c r="G61" s="34"/>
      <c r="H61" s="34">
        <f t="shared" si="10"/>
        <v>0</v>
      </c>
      <c r="I61" s="34">
        <f t="shared" si="11"/>
        <v>0</v>
      </c>
      <c r="J61" s="34">
        <f t="shared" si="12"/>
        <v>0</v>
      </c>
      <c r="K61" s="34">
        <v>3.0000000000000004E-05</v>
      </c>
      <c r="L61" s="34">
        <f t="shared" si="13"/>
        <v>0.00046200000000000006</v>
      </c>
      <c r="N61" s="35" t="s">
        <v>112</v>
      </c>
      <c r="O61" s="34">
        <f t="shared" si="14"/>
        <v>0</v>
      </c>
      <c r="Z61" s="34">
        <f t="shared" si="15"/>
        <v>0</v>
      </c>
      <c r="AA61" s="34">
        <f t="shared" si="16"/>
        <v>0</v>
      </c>
      <c r="AB61" s="34">
        <f t="shared" si="17"/>
        <v>0</v>
      </c>
      <c r="AD61" s="34">
        <v>14</v>
      </c>
      <c r="AE61" s="34">
        <f t="shared" si="18"/>
        <v>0</v>
      </c>
      <c r="AF61" s="34">
        <f t="shared" si="19"/>
        <v>0</v>
      </c>
      <c r="AL61" s="34"/>
    </row>
    <row r="62" spans="1:38" ht="12.75">
      <c r="A62" s="3" t="s">
        <v>224</v>
      </c>
      <c r="B62" s="3"/>
      <c r="C62" s="3" t="s">
        <v>222</v>
      </c>
      <c r="D62" s="3" t="s">
        <v>225</v>
      </c>
      <c r="E62" s="3" t="s">
        <v>140</v>
      </c>
      <c r="F62" s="34">
        <v>2.2</v>
      </c>
      <c r="G62" s="34"/>
      <c r="H62" s="34">
        <f t="shared" si="10"/>
        <v>0</v>
      </c>
      <c r="I62" s="34">
        <f t="shared" si="11"/>
        <v>0</v>
      </c>
      <c r="J62" s="34">
        <f t="shared" si="12"/>
        <v>0</v>
      </c>
      <c r="K62" s="34">
        <v>3.0000000000000004E-05</v>
      </c>
      <c r="L62" s="34">
        <f t="shared" si="13"/>
        <v>6.600000000000002E-05</v>
      </c>
      <c r="N62" s="35" t="s">
        <v>112</v>
      </c>
      <c r="O62" s="34">
        <f t="shared" si="14"/>
        <v>0</v>
      </c>
      <c r="Z62" s="34">
        <f t="shared" si="15"/>
        <v>0</v>
      </c>
      <c r="AA62" s="34">
        <f t="shared" si="16"/>
        <v>0</v>
      </c>
      <c r="AB62" s="34">
        <f t="shared" si="17"/>
        <v>0</v>
      </c>
      <c r="AD62" s="34">
        <v>14</v>
      </c>
      <c r="AE62" s="34">
        <f t="shared" si="18"/>
        <v>0</v>
      </c>
      <c r="AF62" s="34">
        <f t="shared" si="19"/>
        <v>0</v>
      </c>
      <c r="AL62" s="34"/>
    </row>
    <row r="63" spans="1:38" ht="12.75">
      <c r="A63" s="3" t="s">
        <v>226</v>
      </c>
      <c r="B63" s="3"/>
      <c r="C63" s="3" t="s">
        <v>227</v>
      </c>
      <c r="D63" s="3" t="s">
        <v>228</v>
      </c>
      <c r="E63" s="3" t="s">
        <v>140</v>
      </c>
      <c r="F63" s="34">
        <v>20.9</v>
      </c>
      <c r="G63" s="34"/>
      <c r="H63" s="34">
        <f t="shared" si="10"/>
        <v>0</v>
      </c>
      <c r="I63" s="34">
        <f t="shared" si="11"/>
        <v>0</v>
      </c>
      <c r="J63" s="34">
        <f t="shared" si="12"/>
        <v>0</v>
      </c>
      <c r="K63" s="34">
        <v>4E-05</v>
      </c>
      <c r="L63" s="34">
        <f t="shared" si="13"/>
        <v>0.000836</v>
      </c>
      <c r="N63" s="35" t="s">
        <v>112</v>
      </c>
      <c r="O63" s="34">
        <f t="shared" si="14"/>
        <v>0</v>
      </c>
      <c r="Z63" s="34">
        <f t="shared" si="15"/>
        <v>0</v>
      </c>
      <c r="AA63" s="34">
        <f t="shared" si="16"/>
        <v>0</v>
      </c>
      <c r="AB63" s="34">
        <f t="shared" si="17"/>
        <v>0</v>
      </c>
      <c r="AD63" s="34">
        <v>14</v>
      </c>
      <c r="AE63" s="34">
        <f t="shared" si="18"/>
        <v>0</v>
      </c>
      <c r="AF63" s="34">
        <f t="shared" si="19"/>
        <v>0</v>
      </c>
      <c r="AL63" s="34"/>
    </row>
    <row r="64" spans="1:38" ht="12.75">
      <c r="A64" s="3" t="s">
        <v>229</v>
      </c>
      <c r="B64" s="3"/>
      <c r="C64" s="3" t="s">
        <v>227</v>
      </c>
      <c r="D64" s="3" t="s">
        <v>230</v>
      </c>
      <c r="E64" s="3" t="s">
        <v>140</v>
      </c>
      <c r="F64" s="34">
        <v>2.2</v>
      </c>
      <c r="G64" s="34"/>
      <c r="H64" s="34">
        <f t="shared" si="10"/>
        <v>0</v>
      </c>
      <c r="I64" s="34">
        <f t="shared" si="11"/>
        <v>0</v>
      </c>
      <c r="J64" s="34">
        <f t="shared" si="12"/>
        <v>0</v>
      </c>
      <c r="K64" s="34">
        <v>4E-05</v>
      </c>
      <c r="L64" s="34">
        <f t="shared" si="13"/>
        <v>8.800000000000001E-05</v>
      </c>
      <c r="N64" s="35" t="s">
        <v>112</v>
      </c>
      <c r="O64" s="34">
        <f t="shared" si="14"/>
        <v>0</v>
      </c>
      <c r="Z64" s="34">
        <f t="shared" si="15"/>
        <v>0</v>
      </c>
      <c r="AA64" s="34">
        <f t="shared" si="16"/>
        <v>0</v>
      </c>
      <c r="AB64" s="34">
        <f t="shared" si="17"/>
        <v>0</v>
      </c>
      <c r="AD64" s="34">
        <v>14</v>
      </c>
      <c r="AE64" s="34">
        <f t="shared" si="18"/>
        <v>0</v>
      </c>
      <c r="AF64" s="34">
        <f t="shared" si="19"/>
        <v>0</v>
      </c>
      <c r="AL64" s="34"/>
    </row>
    <row r="65" spans="1:38" ht="12.75">
      <c r="A65" s="3" t="s">
        <v>231</v>
      </c>
      <c r="B65" s="3"/>
      <c r="C65" s="3" t="s">
        <v>232</v>
      </c>
      <c r="D65" s="3" t="s">
        <v>233</v>
      </c>
      <c r="E65" s="3" t="s">
        <v>140</v>
      </c>
      <c r="F65" s="34">
        <v>19.8</v>
      </c>
      <c r="G65" s="34"/>
      <c r="H65" s="34">
        <f t="shared" si="10"/>
        <v>0</v>
      </c>
      <c r="I65" s="34">
        <f t="shared" si="11"/>
        <v>0</v>
      </c>
      <c r="J65" s="34">
        <f t="shared" si="12"/>
        <v>0</v>
      </c>
      <c r="K65" s="34">
        <v>5E-05</v>
      </c>
      <c r="L65" s="34">
        <f t="shared" si="13"/>
        <v>0.00099</v>
      </c>
      <c r="N65" s="35" t="s">
        <v>112</v>
      </c>
      <c r="O65" s="34">
        <f t="shared" si="14"/>
        <v>0</v>
      </c>
      <c r="Z65" s="34">
        <f t="shared" si="15"/>
        <v>0</v>
      </c>
      <c r="AA65" s="34">
        <f t="shared" si="16"/>
        <v>0</v>
      </c>
      <c r="AB65" s="34">
        <f t="shared" si="17"/>
        <v>0</v>
      </c>
      <c r="AD65" s="34">
        <v>14</v>
      </c>
      <c r="AE65" s="34">
        <f t="shared" si="18"/>
        <v>0</v>
      </c>
      <c r="AF65" s="34">
        <f t="shared" si="19"/>
        <v>0</v>
      </c>
      <c r="AL65" s="34"/>
    </row>
    <row r="66" spans="1:38" ht="12.75">
      <c r="A66" s="3" t="s">
        <v>234</v>
      </c>
      <c r="B66" s="3"/>
      <c r="C66" s="3" t="s">
        <v>232</v>
      </c>
      <c r="D66" s="3" t="s">
        <v>235</v>
      </c>
      <c r="E66" s="3" t="s">
        <v>140</v>
      </c>
      <c r="F66" s="34">
        <v>45.1</v>
      </c>
      <c r="G66" s="34"/>
      <c r="H66" s="34">
        <f t="shared" si="10"/>
        <v>0</v>
      </c>
      <c r="I66" s="34">
        <f t="shared" si="11"/>
        <v>0</v>
      </c>
      <c r="J66" s="34">
        <f t="shared" si="12"/>
        <v>0</v>
      </c>
      <c r="K66" s="34">
        <v>5E-05</v>
      </c>
      <c r="L66" s="34">
        <f t="shared" si="13"/>
        <v>0.002255</v>
      </c>
      <c r="N66" s="35" t="s">
        <v>112</v>
      </c>
      <c r="O66" s="34">
        <f t="shared" si="14"/>
        <v>0</v>
      </c>
      <c r="Z66" s="34">
        <f t="shared" si="15"/>
        <v>0</v>
      </c>
      <c r="AA66" s="34">
        <f t="shared" si="16"/>
        <v>0</v>
      </c>
      <c r="AB66" s="34">
        <f t="shared" si="17"/>
        <v>0</v>
      </c>
      <c r="AD66" s="34">
        <v>14</v>
      </c>
      <c r="AE66" s="34">
        <f t="shared" si="18"/>
        <v>0</v>
      </c>
      <c r="AF66" s="34">
        <f t="shared" si="19"/>
        <v>0</v>
      </c>
      <c r="AL66" s="34"/>
    </row>
    <row r="67" spans="1:38" ht="12.75">
      <c r="A67" s="3" t="s">
        <v>236</v>
      </c>
      <c r="B67" s="3"/>
      <c r="C67" s="3" t="s">
        <v>237</v>
      </c>
      <c r="D67" s="3" t="s">
        <v>238</v>
      </c>
      <c r="E67" s="3" t="s">
        <v>140</v>
      </c>
      <c r="F67" s="34">
        <v>31.9</v>
      </c>
      <c r="G67" s="34"/>
      <c r="H67" s="34">
        <f t="shared" si="10"/>
        <v>0</v>
      </c>
      <c r="I67" s="34">
        <f t="shared" si="11"/>
        <v>0</v>
      </c>
      <c r="J67" s="34">
        <f t="shared" si="12"/>
        <v>0</v>
      </c>
      <c r="K67" s="34">
        <v>8E-05</v>
      </c>
      <c r="L67" s="34">
        <f t="shared" si="13"/>
        <v>0.002552</v>
      </c>
      <c r="N67" s="35" t="s">
        <v>112</v>
      </c>
      <c r="O67" s="34">
        <f t="shared" si="14"/>
        <v>0</v>
      </c>
      <c r="Z67" s="34">
        <f t="shared" si="15"/>
        <v>0</v>
      </c>
      <c r="AA67" s="34">
        <f t="shared" si="16"/>
        <v>0</v>
      </c>
      <c r="AB67" s="34">
        <f t="shared" si="17"/>
        <v>0</v>
      </c>
      <c r="AD67" s="34">
        <v>14</v>
      </c>
      <c r="AE67" s="34">
        <f t="shared" si="18"/>
        <v>0</v>
      </c>
      <c r="AF67" s="34">
        <f t="shared" si="19"/>
        <v>0</v>
      </c>
      <c r="AL67" s="34"/>
    </row>
    <row r="68" spans="1:38" ht="12.75">
      <c r="A68" s="3" t="s">
        <v>239</v>
      </c>
      <c r="B68" s="3"/>
      <c r="C68" s="3" t="s">
        <v>237</v>
      </c>
      <c r="D68" s="3" t="s">
        <v>240</v>
      </c>
      <c r="E68" s="3" t="s">
        <v>140</v>
      </c>
      <c r="F68" s="34">
        <v>45.1</v>
      </c>
      <c r="G68" s="34"/>
      <c r="H68" s="34">
        <f t="shared" si="10"/>
        <v>0</v>
      </c>
      <c r="I68" s="34">
        <f t="shared" si="11"/>
        <v>0</v>
      </c>
      <c r="J68" s="34">
        <f t="shared" si="12"/>
        <v>0</v>
      </c>
      <c r="K68" s="34">
        <v>8E-05</v>
      </c>
      <c r="L68" s="34">
        <f t="shared" si="13"/>
        <v>0.0036080000000000005</v>
      </c>
      <c r="N68" s="35" t="s">
        <v>112</v>
      </c>
      <c r="O68" s="34">
        <f t="shared" si="14"/>
        <v>0</v>
      </c>
      <c r="Z68" s="34">
        <f t="shared" si="15"/>
        <v>0</v>
      </c>
      <c r="AA68" s="34">
        <f t="shared" si="16"/>
        <v>0</v>
      </c>
      <c r="AB68" s="34">
        <f t="shared" si="17"/>
        <v>0</v>
      </c>
      <c r="AD68" s="34">
        <v>14</v>
      </c>
      <c r="AE68" s="34">
        <f t="shared" si="18"/>
        <v>0</v>
      </c>
      <c r="AF68" s="34">
        <f t="shared" si="19"/>
        <v>0</v>
      </c>
      <c r="AL68" s="34"/>
    </row>
    <row r="69" spans="1:38" ht="12.75">
      <c r="A69" s="3" t="s">
        <v>241</v>
      </c>
      <c r="B69" s="3"/>
      <c r="C69" s="3" t="s">
        <v>242</v>
      </c>
      <c r="D69" s="3" t="s">
        <v>243</v>
      </c>
      <c r="E69" s="3" t="s">
        <v>140</v>
      </c>
      <c r="F69" s="34">
        <v>26.4</v>
      </c>
      <c r="G69" s="34"/>
      <c r="H69" s="34">
        <f t="shared" si="10"/>
        <v>0</v>
      </c>
      <c r="I69" s="34">
        <f t="shared" si="11"/>
        <v>0</v>
      </c>
      <c r="J69" s="34">
        <f t="shared" si="12"/>
        <v>0</v>
      </c>
      <c r="K69" s="34">
        <v>0.00013</v>
      </c>
      <c r="L69" s="34">
        <f t="shared" si="13"/>
        <v>0.0034319999999999997</v>
      </c>
      <c r="N69" s="35" t="s">
        <v>112</v>
      </c>
      <c r="O69" s="34">
        <f t="shared" si="14"/>
        <v>0</v>
      </c>
      <c r="Z69" s="34">
        <f t="shared" si="15"/>
        <v>0</v>
      </c>
      <c r="AA69" s="34">
        <f t="shared" si="16"/>
        <v>0</v>
      </c>
      <c r="AB69" s="34">
        <f t="shared" si="17"/>
        <v>0</v>
      </c>
      <c r="AD69" s="34">
        <v>14</v>
      </c>
      <c r="AE69" s="34">
        <f t="shared" si="18"/>
        <v>0</v>
      </c>
      <c r="AF69" s="34">
        <f t="shared" si="19"/>
        <v>0</v>
      </c>
      <c r="AL69" s="34"/>
    </row>
    <row r="70" spans="1:38" ht="12.75">
      <c r="A70" s="3" t="s">
        <v>244</v>
      </c>
      <c r="B70" s="3"/>
      <c r="C70" s="3" t="s">
        <v>245</v>
      </c>
      <c r="D70" s="3" t="s">
        <v>246</v>
      </c>
      <c r="E70" s="3" t="s">
        <v>140</v>
      </c>
      <c r="F70" s="34">
        <v>11</v>
      </c>
      <c r="G70" s="34"/>
      <c r="H70" s="34">
        <f t="shared" si="10"/>
        <v>0</v>
      </c>
      <c r="I70" s="34">
        <f t="shared" si="11"/>
        <v>0</v>
      </c>
      <c r="J70" s="34">
        <f t="shared" si="12"/>
        <v>0</v>
      </c>
      <c r="K70" s="34">
        <v>0.00012</v>
      </c>
      <c r="L70" s="34">
        <f t="shared" si="13"/>
        <v>0.00132</v>
      </c>
      <c r="N70" s="35" t="s">
        <v>112</v>
      </c>
      <c r="O70" s="34">
        <f t="shared" si="14"/>
        <v>0</v>
      </c>
      <c r="Z70" s="34">
        <f t="shared" si="15"/>
        <v>0</v>
      </c>
      <c r="AA70" s="34">
        <f t="shared" si="16"/>
        <v>0</v>
      </c>
      <c r="AB70" s="34">
        <f t="shared" si="17"/>
        <v>0</v>
      </c>
      <c r="AD70" s="34">
        <v>14</v>
      </c>
      <c r="AE70" s="34">
        <f t="shared" si="18"/>
        <v>0</v>
      </c>
      <c r="AF70" s="34">
        <f t="shared" si="19"/>
        <v>0</v>
      </c>
      <c r="AL70" s="34"/>
    </row>
    <row r="71" spans="1:38" ht="12.75">
      <c r="A71" s="3" t="s">
        <v>247</v>
      </c>
      <c r="B71" s="3"/>
      <c r="C71" s="3" t="s">
        <v>248</v>
      </c>
      <c r="D71" s="3" t="s">
        <v>249</v>
      </c>
      <c r="E71" s="3" t="s">
        <v>140</v>
      </c>
      <c r="F71" s="34">
        <v>2.2</v>
      </c>
      <c r="G71" s="34"/>
      <c r="H71" s="34">
        <f t="shared" si="10"/>
        <v>0</v>
      </c>
      <c r="I71" s="34">
        <f t="shared" si="11"/>
        <v>0</v>
      </c>
      <c r="J71" s="34">
        <f t="shared" si="12"/>
        <v>0</v>
      </c>
      <c r="K71" s="34">
        <v>0.00012</v>
      </c>
      <c r="L71" s="34">
        <f t="shared" si="13"/>
        <v>0.000264</v>
      </c>
      <c r="N71" s="35" t="s">
        <v>112</v>
      </c>
      <c r="O71" s="34">
        <f t="shared" si="14"/>
        <v>0</v>
      </c>
      <c r="Z71" s="34">
        <f t="shared" si="15"/>
        <v>0</v>
      </c>
      <c r="AA71" s="34">
        <f t="shared" si="16"/>
        <v>0</v>
      </c>
      <c r="AB71" s="34">
        <f t="shared" si="17"/>
        <v>0</v>
      </c>
      <c r="AD71" s="34">
        <v>14</v>
      </c>
      <c r="AE71" s="34">
        <f t="shared" si="18"/>
        <v>0</v>
      </c>
      <c r="AF71" s="34">
        <f t="shared" si="19"/>
        <v>0</v>
      </c>
      <c r="AL71" s="34"/>
    </row>
    <row r="72" spans="1:38" ht="12.75">
      <c r="A72" s="3" t="s">
        <v>250</v>
      </c>
      <c r="B72" s="3"/>
      <c r="C72" s="3" t="s">
        <v>251</v>
      </c>
      <c r="D72" s="3" t="s">
        <v>252</v>
      </c>
      <c r="E72" s="3" t="s">
        <v>140</v>
      </c>
      <c r="F72" s="34">
        <v>68.2</v>
      </c>
      <c r="G72" s="34"/>
      <c r="H72" s="34">
        <f t="shared" si="10"/>
        <v>0</v>
      </c>
      <c r="I72" s="34">
        <f t="shared" si="11"/>
        <v>0</v>
      </c>
      <c r="J72" s="34">
        <f t="shared" si="12"/>
        <v>0</v>
      </c>
      <c r="K72" s="34">
        <v>0.00014</v>
      </c>
      <c r="L72" s="34">
        <v>0</v>
      </c>
      <c r="N72" s="35" t="s">
        <v>112</v>
      </c>
      <c r="O72" s="34">
        <f t="shared" si="14"/>
        <v>0</v>
      </c>
      <c r="Z72" s="34">
        <f t="shared" si="15"/>
        <v>0</v>
      </c>
      <c r="AA72" s="34">
        <f t="shared" si="16"/>
        <v>0</v>
      </c>
      <c r="AB72" s="34">
        <f t="shared" si="17"/>
        <v>0</v>
      </c>
      <c r="AD72" s="34">
        <v>14</v>
      </c>
      <c r="AE72" s="34">
        <f t="shared" si="18"/>
        <v>0</v>
      </c>
      <c r="AF72" s="34">
        <f t="shared" si="19"/>
        <v>0</v>
      </c>
      <c r="AL72" s="34"/>
    </row>
    <row r="73" spans="1:38" ht="12.75">
      <c r="A73" s="3" t="s">
        <v>253</v>
      </c>
      <c r="B73" s="3"/>
      <c r="C73" s="3" t="s">
        <v>254</v>
      </c>
      <c r="D73" s="3" t="s">
        <v>255</v>
      </c>
      <c r="E73" s="3" t="s">
        <v>140</v>
      </c>
      <c r="F73" s="34">
        <v>60.5</v>
      </c>
      <c r="G73" s="34"/>
      <c r="H73" s="34">
        <f t="shared" si="10"/>
        <v>0</v>
      </c>
      <c r="I73" s="34">
        <f t="shared" si="11"/>
        <v>0</v>
      </c>
      <c r="J73" s="34">
        <f t="shared" si="12"/>
        <v>0</v>
      </c>
      <c r="K73" s="34">
        <v>0.00023000000000000003</v>
      </c>
      <c r="L73" s="34">
        <v>0</v>
      </c>
      <c r="N73" s="35" t="s">
        <v>112</v>
      </c>
      <c r="O73" s="34">
        <f t="shared" si="14"/>
        <v>0</v>
      </c>
      <c r="Z73" s="34">
        <f t="shared" si="15"/>
        <v>0</v>
      </c>
      <c r="AA73" s="34">
        <f t="shared" si="16"/>
        <v>0</v>
      </c>
      <c r="AB73" s="34">
        <f t="shared" si="17"/>
        <v>0</v>
      </c>
      <c r="AD73" s="34">
        <v>14</v>
      </c>
      <c r="AE73" s="34">
        <f t="shared" si="18"/>
        <v>0</v>
      </c>
      <c r="AF73" s="34">
        <f t="shared" si="19"/>
        <v>0</v>
      </c>
      <c r="AL73" s="34"/>
    </row>
    <row r="74" spans="1:38" ht="12.75">
      <c r="A74" s="3" t="s">
        <v>256</v>
      </c>
      <c r="B74" s="3"/>
      <c r="C74" s="3" t="s">
        <v>254</v>
      </c>
      <c r="D74" s="3" t="s">
        <v>257</v>
      </c>
      <c r="E74" s="3" t="s">
        <v>140</v>
      </c>
      <c r="F74" s="34">
        <v>2.2</v>
      </c>
      <c r="G74" s="34"/>
      <c r="H74" s="34">
        <f t="shared" si="10"/>
        <v>0</v>
      </c>
      <c r="I74" s="34">
        <f t="shared" si="11"/>
        <v>0</v>
      </c>
      <c r="J74" s="34">
        <f t="shared" si="12"/>
        <v>0</v>
      </c>
      <c r="K74" s="34">
        <v>0.00023000000000000003</v>
      </c>
      <c r="L74" s="34">
        <f t="shared" si="13"/>
        <v>0.0005060000000000002</v>
      </c>
      <c r="N74" s="35" t="s">
        <v>112</v>
      </c>
      <c r="O74" s="34">
        <f t="shared" si="14"/>
        <v>0</v>
      </c>
      <c r="Z74" s="34">
        <f t="shared" si="15"/>
        <v>0</v>
      </c>
      <c r="AA74" s="34">
        <f t="shared" si="16"/>
        <v>0</v>
      </c>
      <c r="AB74" s="34">
        <f t="shared" si="17"/>
        <v>0</v>
      </c>
      <c r="AD74" s="34">
        <v>14</v>
      </c>
      <c r="AE74" s="34">
        <f t="shared" si="18"/>
        <v>0</v>
      </c>
      <c r="AF74" s="34">
        <f t="shared" si="19"/>
        <v>0</v>
      </c>
      <c r="AL74" s="34"/>
    </row>
    <row r="75" spans="1:38" ht="12.75">
      <c r="A75" s="3" t="s">
        <v>258</v>
      </c>
      <c r="B75" s="3"/>
      <c r="C75" s="3" t="s">
        <v>259</v>
      </c>
      <c r="D75" s="3" t="s">
        <v>260</v>
      </c>
      <c r="E75" s="3" t="s">
        <v>140</v>
      </c>
      <c r="F75" s="34">
        <v>20.9</v>
      </c>
      <c r="G75" s="34"/>
      <c r="H75" s="34">
        <f t="shared" si="10"/>
        <v>0</v>
      </c>
      <c r="I75" s="34">
        <f t="shared" si="11"/>
        <v>0</v>
      </c>
      <c r="J75" s="34">
        <f t="shared" si="12"/>
        <v>0</v>
      </c>
      <c r="K75" s="34">
        <v>0.00037</v>
      </c>
      <c r="L75" s="34">
        <v>0</v>
      </c>
      <c r="N75" s="35" t="s">
        <v>112</v>
      </c>
      <c r="O75" s="34">
        <f t="shared" si="14"/>
        <v>0</v>
      </c>
      <c r="Z75" s="34">
        <f t="shared" si="15"/>
        <v>0</v>
      </c>
      <c r="AA75" s="34">
        <f t="shared" si="16"/>
        <v>0</v>
      </c>
      <c r="AB75" s="34">
        <f t="shared" si="17"/>
        <v>0</v>
      </c>
      <c r="AD75" s="34">
        <v>14</v>
      </c>
      <c r="AE75" s="34">
        <f t="shared" si="18"/>
        <v>0</v>
      </c>
      <c r="AF75" s="34">
        <f t="shared" si="19"/>
        <v>0</v>
      </c>
      <c r="AL75" s="34"/>
    </row>
    <row r="76" spans="1:38" ht="12.75">
      <c r="A76" s="3" t="s">
        <v>261</v>
      </c>
      <c r="B76" s="3"/>
      <c r="C76" s="3" t="s">
        <v>259</v>
      </c>
      <c r="D76" s="3" t="s">
        <v>262</v>
      </c>
      <c r="E76" s="3" t="s">
        <v>140</v>
      </c>
      <c r="F76" s="34">
        <v>2.2</v>
      </c>
      <c r="G76" s="34"/>
      <c r="H76" s="34">
        <f t="shared" si="10"/>
        <v>0</v>
      </c>
      <c r="I76" s="34">
        <f t="shared" si="11"/>
        <v>0</v>
      </c>
      <c r="J76" s="34">
        <f t="shared" si="12"/>
        <v>0</v>
      </c>
      <c r="K76" s="34">
        <v>0.00037</v>
      </c>
      <c r="L76" s="34">
        <f t="shared" si="13"/>
        <v>0.000814</v>
      </c>
      <c r="N76" s="35" t="s">
        <v>112</v>
      </c>
      <c r="O76" s="34">
        <f t="shared" si="14"/>
        <v>0</v>
      </c>
      <c r="Z76" s="34">
        <f t="shared" si="15"/>
        <v>0</v>
      </c>
      <c r="AA76" s="34">
        <f t="shared" si="16"/>
        <v>0</v>
      </c>
      <c r="AB76" s="34">
        <f t="shared" si="17"/>
        <v>0</v>
      </c>
      <c r="AD76" s="34">
        <v>14</v>
      </c>
      <c r="AE76" s="34">
        <f t="shared" si="18"/>
        <v>0</v>
      </c>
      <c r="AF76" s="34">
        <f t="shared" si="19"/>
        <v>0</v>
      </c>
      <c r="AL76" s="34"/>
    </row>
    <row r="77" spans="1:38" ht="12.75">
      <c r="A77" s="3" t="s">
        <v>263</v>
      </c>
      <c r="B77" s="3"/>
      <c r="C77" s="3" t="s">
        <v>264</v>
      </c>
      <c r="D77" s="3" t="s">
        <v>265</v>
      </c>
      <c r="E77" s="3" t="s">
        <v>140</v>
      </c>
      <c r="F77" s="34">
        <v>31.9</v>
      </c>
      <c r="G77" s="34"/>
      <c r="H77" s="34">
        <f t="shared" si="10"/>
        <v>0</v>
      </c>
      <c r="I77" s="34">
        <f t="shared" si="11"/>
        <v>0</v>
      </c>
      <c r="J77" s="34">
        <f t="shared" si="12"/>
        <v>0</v>
      </c>
      <c r="K77" s="34">
        <v>0.00057</v>
      </c>
      <c r="L77" s="34">
        <v>0</v>
      </c>
      <c r="N77" s="35" t="s">
        <v>112</v>
      </c>
      <c r="O77" s="34">
        <f t="shared" si="14"/>
        <v>0</v>
      </c>
      <c r="Z77" s="34">
        <f t="shared" si="15"/>
        <v>0</v>
      </c>
      <c r="AA77" s="34">
        <f t="shared" si="16"/>
        <v>0</v>
      </c>
      <c r="AB77" s="34">
        <f t="shared" si="17"/>
        <v>0</v>
      </c>
      <c r="AD77" s="34">
        <v>14</v>
      </c>
      <c r="AE77" s="34">
        <f t="shared" si="18"/>
        <v>0</v>
      </c>
      <c r="AF77" s="34">
        <f t="shared" si="19"/>
        <v>0</v>
      </c>
      <c r="AL77" s="34"/>
    </row>
    <row r="78" spans="1:38" ht="12.75">
      <c r="A78" s="3" t="s">
        <v>266</v>
      </c>
      <c r="B78" s="3"/>
      <c r="C78" s="3" t="s">
        <v>264</v>
      </c>
      <c r="D78" s="3" t="s">
        <v>267</v>
      </c>
      <c r="E78" s="3" t="s">
        <v>140</v>
      </c>
      <c r="F78" s="34">
        <v>45.1</v>
      </c>
      <c r="G78" s="34"/>
      <c r="H78" s="34">
        <f t="shared" si="10"/>
        <v>0</v>
      </c>
      <c r="I78" s="34">
        <f t="shared" si="11"/>
        <v>0</v>
      </c>
      <c r="J78" s="34">
        <f t="shared" si="12"/>
        <v>0</v>
      </c>
      <c r="K78" s="34">
        <v>0.00057</v>
      </c>
      <c r="L78" s="34">
        <v>0</v>
      </c>
      <c r="N78" s="35" t="s">
        <v>112</v>
      </c>
      <c r="O78" s="34">
        <f t="shared" si="14"/>
        <v>0</v>
      </c>
      <c r="Z78" s="34">
        <f t="shared" si="15"/>
        <v>0</v>
      </c>
      <c r="AA78" s="34">
        <f t="shared" si="16"/>
        <v>0</v>
      </c>
      <c r="AB78" s="34">
        <f t="shared" si="17"/>
        <v>0</v>
      </c>
      <c r="AD78" s="34">
        <v>14</v>
      </c>
      <c r="AE78" s="34">
        <f t="shared" si="18"/>
        <v>0</v>
      </c>
      <c r="AF78" s="34">
        <f t="shared" si="19"/>
        <v>0</v>
      </c>
      <c r="AL78" s="34"/>
    </row>
    <row r="79" spans="1:38" ht="12.75">
      <c r="A79" s="3" t="s">
        <v>268</v>
      </c>
      <c r="B79" s="3"/>
      <c r="C79" s="3" t="s">
        <v>269</v>
      </c>
      <c r="D79" s="3" t="s">
        <v>270</v>
      </c>
      <c r="E79" s="3" t="s">
        <v>140</v>
      </c>
      <c r="F79" s="34">
        <v>11</v>
      </c>
      <c r="G79" s="34"/>
      <c r="H79" s="34">
        <f t="shared" si="10"/>
        <v>0</v>
      </c>
      <c r="I79" s="34">
        <f t="shared" si="11"/>
        <v>0</v>
      </c>
      <c r="J79" s="34">
        <f t="shared" si="12"/>
        <v>0</v>
      </c>
      <c r="K79" s="34">
        <v>0.00089</v>
      </c>
      <c r="L79" s="34">
        <v>0</v>
      </c>
      <c r="N79" s="35" t="s">
        <v>112</v>
      </c>
      <c r="O79" s="34">
        <f t="shared" si="14"/>
        <v>0</v>
      </c>
      <c r="Z79" s="34">
        <f t="shared" si="15"/>
        <v>0</v>
      </c>
      <c r="AA79" s="34">
        <f t="shared" si="16"/>
        <v>0</v>
      </c>
      <c r="AB79" s="34">
        <f t="shared" si="17"/>
        <v>0</v>
      </c>
      <c r="AD79" s="34">
        <v>14</v>
      </c>
      <c r="AE79" s="34">
        <f t="shared" si="18"/>
        <v>0</v>
      </c>
      <c r="AF79" s="34">
        <f t="shared" si="19"/>
        <v>0</v>
      </c>
      <c r="AL79" s="34"/>
    </row>
    <row r="80" spans="1:38" ht="12.75">
      <c r="A80" s="3" t="s">
        <v>271</v>
      </c>
      <c r="B80" s="3"/>
      <c r="C80" s="3" t="s">
        <v>272</v>
      </c>
      <c r="D80" s="3" t="s">
        <v>273</v>
      </c>
      <c r="E80" s="3" t="s">
        <v>140</v>
      </c>
      <c r="F80" s="34">
        <v>2.2</v>
      </c>
      <c r="G80" s="34"/>
      <c r="H80" s="34">
        <f t="shared" si="10"/>
        <v>0</v>
      </c>
      <c r="I80" s="34">
        <f t="shared" si="11"/>
        <v>0</v>
      </c>
      <c r="J80" s="34">
        <f t="shared" si="12"/>
        <v>0</v>
      </c>
      <c r="K80" s="34">
        <v>0.0014100000000000002</v>
      </c>
      <c r="L80" s="34">
        <f t="shared" si="13"/>
        <v>0.0031020000000000006</v>
      </c>
      <c r="N80" s="35" t="s">
        <v>112</v>
      </c>
      <c r="O80" s="34">
        <f t="shared" si="14"/>
        <v>0</v>
      </c>
      <c r="Z80" s="34">
        <f t="shared" si="15"/>
        <v>0</v>
      </c>
      <c r="AA80" s="34">
        <f t="shared" si="16"/>
        <v>0</v>
      </c>
      <c r="AB80" s="34">
        <f t="shared" si="17"/>
        <v>0</v>
      </c>
      <c r="AD80" s="34">
        <v>14</v>
      </c>
      <c r="AE80" s="34">
        <f t="shared" si="18"/>
        <v>0</v>
      </c>
      <c r="AF80" s="34">
        <f t="shared" si="19"/>
        <v>0</v>
      </c>
      <c r="AL80" s="34"/>
    </row>
    <row r="81" spans="1:38" ht="12.75">
      <c r="A81" s="3" t="s">
        <v>274</v>
      </c>
      <c r="B81" s="3"/>
      <c r="C81" s="3" t="s">
        <v>275</v>
      </c>
      <c r="D81" s="3" t="s">
        <v>276</v>
      </c>
      <c r="E81" s="3" t="s">
        <v>140</v>
      </c>
      <c r="F81" s="34">
        <v>138.6</v>
      </c>
      <c r="G81" s="34"/>
      <c r="H81" s="34">
        <f t="shared" si="10"/>
        <v>0</v>
      </c>
      <c r="I81" s="34">
        <f t="shared" si="11"/>
        <v>0</v>
      </c>
      <c r="J81" s="34">
        <f t="shared" si="12"/>
        <v>0</v>
      </c>
      <c r="K81" s="34">
        <v>0.00021</v>
      </c>
      <c r="L81" s="34">
        <v>0</v>
      </c>
      <c r="N81" s="35" t="s">
        <v>112</v>
      </c>
      <c r="O81" s="34">
        <f t="shared" si="14"/>
        <v>0</v>
      </c>
      <c r="Z81" s="34">
        <f t="shared" si="15"/>
        <v>0</v>
      </c>
      <c r="AA81" s="34">
        <f t="shared" si="16"/>
        <v>0</v>
      </c>
      <c r="AB81" s="34">
        <f t="shared" si="17"/>
        <v>0</v>
      </c>
      <c r="AD81" s="34">
        <v>14</v>
      </c>
      <c r="AE81" s="34">
        <f t="shared" si="18"/>
        <v>0</v>
      </c>
      <c r="AF81" s="34">
        <f t="shared" si="19"/>
        <v>0</v>
      </c>
      <c r="AL81" s="34"/>
    </row>
    <row r="82" spans="1:38" ht="12.75">
      <c r="A82" s="3" t="s">
        <v>277</v>
      </c>
      <c r="B82" s="3"/>
      <c r="C82" s="3" t="s">
        <v>275</v>
      </c>
      <c r="D82" s="3" t="s">
        <v>278</v>
      </c>
      <c r="E82" s="3" t="s">
        <v>140</v>
      </c>
      <c r="F82" s="34">
        <v>45.1</v>
      </c>
      <c r="G82" s="34"/>
      <c r="H82" s="34">
        <f t="shared" si="10"/>
        <v>0</v>
      </c>
      <c r="I82" s="34">
        <f t="shared" si="11"/>
        <v>0</v>
      </c>
      <c r="J82" s="34">
        <f t="shared" si="12"/>
        <v>0</v>
      </c>
      <c r="K82" s="34">
        <v>0.00021</v>
      </c>
      <c r="L82" s="34">
        <v>0</v>
      </c>
      <c r="N82" s="35" t="s">
        <v>112</v>
      </c>
      <c r="O82" s="34">
        <f t="shared" si="14"/>
        <v>0</v>
      </c>
      <c r="Z82" s="34">
        <f t="shared" si="15"/>
        <v>0</v>
      </c>
      <c r="AA82" s="34">
        <f t="shared" si="16"/>
        <v>0</v>
      </c>
      <c r="AB82" s="34">
        <f t="shared" si="17"/>
        <v>0</v>
      </c>
      <c r="AD82" s="34">
        <v>14</v>
      </c>
      <c r="AE82" s="34">
        <f t="shared" si="18"/>
        <v>0</v>
      </c>
      <c r="AF82" s="34">
        <f t="shared" si="19"/>
        <v>0</v>
      </c>
      <c r="AL82" s="34"/>
    </row>
    <row r="83" spans="1:38" ht="12.75">
      <c r="A83" s="3" t="s">
        <v>279</v>
      </c>
      <c r="B83" s="3"/>
      <c r="C83" s="3" t="s">
        <v>280</v>
      </c>
      <c r="D83" s="3" t="s">
        <v>281</v>
      </c>
      <c r="E83" s="3" t="s">
        <v>140</v>
      </c>
      <c r="F83" s="34">
        <v>15.4</v>
      </c>
      <c r="G83" s="34"/>
      <c r="H83" s="34">
        <f t="shared" si="10"/>
        <v>0</v>
      </c>
      <c r="I83" s="34">
        <f t="shared" si="11"/>
        <v>0</v>
      </c>
      <c r="J83" s="34">
        <f t="shared" si="12"/>
        <v>0</v>
      </c>
      <c r="K83" s="34">
        <v>0.00031</v>
      </c>
      <c r="L83" s="34">
        <f t="shared" si="13"/>
        <v>0.0047740000000000005</v>
      </c>
      <c r="N83" s="35" t="s">
        <v>112</v>
      </c>
      <c r="O83" s="34">
        <f t="shared" si="14"/>
        <v>0</v>
      </c>
      <c r="Z83" s="34">
        <f t="shared" si="15"/>
        <v>0</v>
      </c>
      <c r="AA83" s="34">
        <f t="shared" si="16"/>
        <v>0</v>
      </c>
      <c r="AB83" s="34">
        <f t="shared" si="17"/>
        <v>0</v>
      </c>
      <c r="AD83" s="34">
        <v>14</v>
      </c>
      <c r="AE83" s="34">
        <f t="shared" si="18"/>
        <v>0</v>
      </c>
      <c r="AF83" s="34">
        <f t="shared" si="19"/>
        <v>0</v>
      </c>
      <c r="AL83" s="34"/>
    </row>
    <row r="84" spans="1:38" ht="12.75">
      <c r="A84" s="3" t="s">
        <v>282</v>
      </c>
      <c r="B84" s="3"/>
      <c r="C84" s="3" t="s">
        <v>280</v>
      </c>
      <c r="D84" s="3" t="s">
        <v>283</v>
      </c>
      <c r="E84" s="3" t="s">
        <v>140</v>
      </c>
      <c r="F84" s="34">
        <v>2.2</v>
      </c>
      <c r="G84" s="34"/>
      <c r="H84" s="34">
        <f t="shared" si="10"/>
        <v>0</v>
      </c>
      <c r="I84" s="34">
        <f t="shared" si="11"/>
        <v>0</v>
      </c>
      <c r="J84" s="34">
        <f t="shared" si="12"/>
        <v>0</v>
      </c>
      <c r="K84" s="34">
        <v>0.00031</v>
      </c>
      <c r="L84" s="34">
        <f t="shared" si="13"/>
        <v>0.0006820000000000001</v>
      </c>
      <c r="N84" s="35" t="s">
        <v>112</v>
      </c>
      <c r="O84" s="34">
        <f t="shared" si="14"/>
        <v>0</v>
      </c>
      <c r="Z84" s="34">
        <f t="shared" si="15"/>
        <v>0</v>
      </c>
      <c r="AA84" s="34">
        <f t="shared" si="16"/>
        <v>0</v>
      </c>
      <c r="AB84" s="34">
        <f t="shared" si="17"/>
        <v>0</v>
      </c>
      <c r="AD84" s="34">
        <v>14</v>
      </c>
      <c r="AE84" s="34">
        <f t="shared" si="18"/>
        <v>0</v>
      </c>
      <c r="AF84" s="34">
        <f t="shared" si="19"/>
        <v>0</v>
      </c>
      <c r="AL84" s="34"/>
    </row>
    <row r="85" spans="1:38" ht="12.75">
      <c r="A85" s="3" t="s">
        <v>284</v>
      </c>
      <c r="B85" s="3"/>
      <c r="C85" s="3" t="s">
        <v>285</v>
      </c>
      <c r="D85" s="3" t="s">
        <v>286</v>
      </c>
      <c r="E85" s="3" t="s">
        <v>140</v>
      </c>
      <c r="F85" s="34">
        <v>19.8</v>
      </c>
      <c r="G85" s="34"/>
      <c r="H85" s="34">
        <f t="shared" si="10"/>
        <v>0</v>
      </c>
      <c r="I85" s="34">
        <f t="shared" si="11"/>
        <v>0</v>
      </c>
      <c r="J85" s="34">
        <f t="shared" si="12"/>
        <v>0</v>
      </c>
      <c r="K85" s="34">
        <v>0.00047000000000000004</v>
      </c>
      <c r="L85" s="34">
        <v>0</v>
      </c>
      <c r="N85" s="35" t="s">
        <v>112</v>
      </c>
      <c r="O85" s="34">
        <f t="shared" si="14"/>
        <v>0</v>
      </c>
      <c r="Z85" s="34">
        <f t="shared" si="15"/>
        <v>0</v>
      </c>
      <c r="AA85" s="34">
        <f t="shared" si="16"/>
        <v>0</v>
      </c>
      <c r="AB85" s="34">
        <f t="shared" si="17"/>
        <v>0</v>
      </c>
      <c r="AD85" s="34">
        <v>14</v>
      </c>
      <c r="AE85" s="34">
        <f t="shared" si="18"/>
        <v>0</v>
      </c>
      <c r="AF85" s="34">
        <f t="shared" si="19"/>
        <v>0</v>
      </c>
      <c r="AL85" s="34"/>
    </row>
    <row r="86" spans="1:38" ht="12.75">
      <c r="A86" s="3" t="s">
        <v>287</v>
      </c>
      <c r="B86" s="3"/>
      <c r="C86" s="3" t="s">
        <v>285</v>
      </c>
      <c r="D86" s="3" t="s">
        <v>288</v>
      </c>
      <c r="E86" s="3" t="s">
        <v>140</v>
      </c>
      <c r="F86" s="34">
        <v>45.1</v>
      </c>
      <c r="G86" s="34"/>
      <c r="H86" s="34">
        <f aca="true" t="shared" si="20" ref="H86:H117">ROUND(F86*AE86,2)</f>
        <v>0</v>
      </c>
      <c r="I86" s="34">
        <f aca="true" t="shared" si="21" ref="I86:I117">J86-H86</f>
        <v>0</v>
      </c>
      <c r="J86" s="34">
        <f aca="true" t="shared" si="22" ref="J86:J117">ROUND(F86*G86,2)</f>
        <v>0</v>
      </c>
      <c r="K86" s="34">
        <v>0.00047000000000000004</v>
      </c>
      <c r="L86" s="34">
        <v>0</v>
      </c>
      <c r="N86" s="35" t="s">
        <v>112</v>
      </c>
      <c r="O86" s="34">
        <f aca="true" t="shared" si="23" ref="O86:O117">IF(N86="5",I86,0)</f>
        <v>0</v>
      </c>
      <c r="Z86" s="34">
        <f aca="true" t="shared" si="24" ref="Z86:Z117">IF(AD86=0,J86,0)</f>
        <v>0</v>
      </c>
      <c r="AA86" s="34">
        <f aca="true" t="shared" si="25" ref="AA86:AA117">IF(AD86=14,J86,0)</f>
        <v>0</v>
      </c>
      <c r="AB86" s="34">
        <f aca="true" t="shared" si="26" ref="AB86:AB117">IF(AD86=20,J86,0)</f>
        <v>0</v>
      </c>
      <c r="AD86" s="34">
        <v>14</v>
      </c>
      <c r="AE86" s="34">
        <f aca="true" t="shared" si="27" ref="AE86:AE118">G86*1</f>
        <v>0</v>
      </c>
      <c r="AF86" s="34">
        <f aca="true" t="shared" si="28" ref="AF86:AF118">G86*(1-1)</f>
        <v>0</v>
      </c>
      <c r="AL86" s="34"/>
    </row>
    <row r="87" spans="1:38" ht="12.75">
      <c r="A87" s="3" t="s">
        <v>289</v>
      </c>
      <c r="B87" s="3"/>
      <c r="C87" s="3" t="s">
        <v>290</v>
      </c>
      <c r="D87" s="3" t="s">
        <v>291</v>
      </c>
      <c r="E87" s="3" t="s">
        <v>140</v>
      </c>
      <c r="F87" s="34">
        <v>26.4</v>
      </c>
      <c r="G87" s="34"/>
      <c r="H87" s="34">
        <f t="shared" si="20"/>
        <v>0</v>
      </c>
      <c r="I87" s="34">
        <f t="shared" si="21"/>
        <v>0</v>
      </c>
      <c r="J87" s="34">
        <f t="shared" si="22"/>
        <v>0</v>
      </c>
      <c r="K87" s="34">
        <v>0.00069</v>
      </c>
      <c r="L87" s="34">
        <v>0</v>
      </c>
      <c r="N87" s="35" t="s">
        <v>112</v>
      </c>
      <c r="O87" s="34">
        <f t="shared" si="23"/>
        <v>0</v>
      </c>
      <c r="Z87" s="34">
        <f t="shared" si="24"/>
        <v>0</v>
      </c>
      <c r="AA87" s="34">
        <f t="shared" si="25"/>
        <v>0</v>
      </c>
      <c r="AB87" s="34">
        <f t="shared" si="26"/>
        <v>0</v>
      </c>
      <c r="AD87" s="34">
        <v>14</v>
      </c>
      <c r="AE87" s="34">
        <f t="shared" si="27"/>
        <v>0</v>
      </c>
      <c r="AF87" s="34">
        <f t="shared" si="28"/>
        <v>0</v>
      </c>
      <c r="AL87" s="34"/>
    </row>
    <row r="88" spans="1:38" ht="12.75">
      <c r="A88" s="3" t="s">
        <v>292</v>
      </c>
      <c r="B88" s="3"/>
      <c r="C88" s="3" t="s">
        <v>293</v>
      </c>
      <c r="D88" s="3" t="s">
        <v>294</v>
      </c>
      <c r="E88" s="3" t="s">
        <v>111</v>
      </c>
      <c r="F88" s="34">
        <v>2</v>
      </c>
      <c r="G88" s="34"/>
      <c r="H88" s="34">
        <f t="shared" si="20"/>
        <v>0</v>
      </c>
      <c r="I88" s="34">
        <f t="shared" si="21"/>
        <v>0</v>
      </c>
      <c r="J88" s="34">
        <f t="shared" si="22"/>
        <v>0</v>
      </c>
      <c r="K88" s="34">
        <v>0.0001</v>
      </c>
      <c r="L88" s="34">
        <f aca="true" t="shared" si="29" ref="L86:L117">F88*K88</f>
        <v>0.0002</v>
      </c>
      <c r="N88" s="35" t="s">
        <v>112</v>
      </c>
      <c r="O88" s="34">
        <f t="shared" si="23"/>
        <v>0</v>
      </c>
      <c r="Z88" s="34">
        <f t="shared" si="24"/>
        <v>0</v>
      </c>
      <c r="AA88" s="34">
        <f t="shared" si="25"/>
        <v>0</v>
      </c>
      <c r="AB88" s="34">
        <f t="shared" si="26"/>
        <v>0</v>
      </c>
      <c r="AD88" s="34">
        <v>14</v>
      </c>
      <c r="AE88" s="34">
        <f t="shared" si="27"/>
        <v>0</v>
      </c>
      <c r="AF88" s="34">
        <f t="shared" si="28"/>
        <v>0</v>
      </c>
      <c r="AL88" s="34"/>
    </row>
    <row r="89" spans="1:38" ht="12.75">
      <c r="A89" s="3" t="s">
        <v>295</v>
      </c>
      <c r="B89" s="3"/>
      <c r="C89" s="3" t="s">
        <v>293</v>
      </c>
      <c r="D89" s="3" t="s">
        <v>296</v>
      </c>
      <c r="E89" s="3" t="s">
        <v>111</v>
      </c>
      <c r="F89" s="34">
        <v>2</v>
      </c>
      <c r="G89" s="34"/>
      <c r="H89" s="34">
        <f t="shared" si="20"/>
        <v>0</v>
      </c>
      <c r="I89" s="34">
        <f t="shared" si="21"/>
        <v>0</v>
      </c>
      <c r="J89" s="34">
        <f t="shared" si="22"/>
        <v>0</v>
      </c>
      <c r="K89" s="34">
        <v>0.0001</v>
      </c>
      <c r="L89" s="34">
        <f t="shared" si="29"/>
        <v>0.0002</v>
      </c>
      <c r="N89" s="35" t="s">
        <v>112</v>
      </c>
      <c r="O89" s="34">
        <f t="shared" si="23"/>
        <v>0</v>
      </c>
      <c r="Z89" s="34">
        <f t="shared" si="24"/>
        <v>0</v>
      </c>
      <c r="AA89" s="34">
        <f t="shared" si="25"/>
        <v>0</v>
      </c>
      <c r="AB89" s="34">
        <f t="shared" si="26"/>
        <v>0</v>
      </c>
      <c r="AD89" s="34">
        <v>14</v>
      </c>
      <c r="AE89" s="34">
        <f t="shared" si="27"/>
        <v>0</v>
      </c>
      <c r="AF89" s="34">
        <f t="shared" si="28"/>
        <v>0</v>
      </c>
      <c r="AL89" s="34"/>
    </row>
    <row r="90" spans="1:38" ht="12.75">
      <c r="A90" s="3" t="s">
        <v>297</v>
      </c>
      <c r="B90" s="3"/>
      <c r="C90" s="3" t="s">
        <v>298</v>
      </c>
      <c r="D90" s="3" t="s">
        <v>299</v>
      </c>
      <c r="E90" s="3" t="s">
        <v>111</v>
      </c>
      <c r="F90" s="34">
        <v>1</v>
      </c>
      <c r="G90" s="34"/>
      <c r="H90" s="34">
        <f t="shared" si="20"/>
        <v>0</v>
      </c>
      <c r="I90" s="34">
        <f t="shared" si="21"/>
        <v>0</v>
      </c>
      <c r="J90" s="34">
        <f t="shared" si="22"/>
        <v>0</v>
      </c>
      <c r="K90" s="34">
        <v>0.03</v>
      </c>
      <c r="L90" s="34">
        <v>0</v>
      </c>
      <c r="N90" s="35" t="s">
        <v>112</v>
      </c>
      <c r="O90" s="34">
        <f t="shared" si="23"/>
        <v>0</v>
      </c>
      <c r="Z90" s="34">
        <f t="shared" si="24"/>
        <v>0</v>
      </c>
      <c r="AA90" s="34">
        <f t="shared" si="25"/>
        <v>0</v>
      </c>
      <c r="AB90" s="34">
        <f t="shared" si="26"/>
        <v>0</v>
      </c>
      <c r="AD90" s="34">
        <v>14</v>
      </c>
      <c r="AE90" s="34">
        <f t="shared" si="27"/>
        <v>0</v>
      </c>
      <c r="AF90" s="34">
        <f t="shared" si="28"/>
        <v>0</v>
      </c>
      <c r="AL90" s="34"/>
    </row>
    <row r="91" spans="1:38" ht="12.75">
      <c r="A91" s="3" t="s">
        <v>300</v>
      </c>
      <c r="B91" s="3"/>
      <c r="C91" s="3" t="s">
        <v>301</v>
      </c>
      <c r="D91" s="3" t="s">
        <v>302</v>
      </c>
      <c r="E91" s="3" t="s">
        <v>111</v>
      </c>
      <c r="F91" s="34">
        <v>31</v>
      </c>
      <c r="G91" s="34"/>
      <c r="H91" s="34">
        <f t="shared" si="20"/>
        <v>0</v>
      </c>
      <c r="I91" s="34">
        <f t="shared" si="21"/>
        <v>0</v>
      </c>
      <c r="J91" s="34">
        <f t="shared" si="22"/>
        <v>0</v>
      </c>
      <c r="K91" s="34">
        <v>0.00026</v>
      </c>
      <c r="L91" s="34">
        <v>0</v>
      </c>
      <c r="N91" s="35" t="s">
        <v>112</v>
      </c>
      <c r="O91" s="34">
        <f t="shared" si="23"/>
        <v>0</v>
      </c>
      <c r="Z91" s="34">
        <f t="shared" si="24"/>
        <v>0</v>
      </c>
      <c r="AA91" s="34">
        <f t="shared" si="25"/>
        <v>0</v>
      </c>
      <c r="AB91" s="34">
        <f t="shared" si="26"/>
        <v>0</v>
      </c>
      <c r="AD91" s="34">
        <v>14</v>
      </c>
      <c r="AE91" s="34">
        <f t="shared" si="27"/>
        <v>0</v>
      </c>
      <c r="AF91" s="34">
        <f t="shared" si="28"/>
        <v>0</v>
      </c>
      <c r="AL91" s="34"/>
    </row>
    <row r="92" spans="1:38" ht="12.75">
      <c r="A92" s="3" t="s">
        <v>303</v>
      </c>
      <c r="B92" s="3"/>
      <c r="C92" s="3" t="s">
        <v>304</v>
      </c>
      <c r="D92" s="3" t="s">
        <v>305</v>
      </c>
      <c r="E92" s="3" t="s">
        <v>111</v>
      </c>
      <c r="F92" s="34">
        <v>12</v>
      </c>
      <c r="G92" s="34"/>
      <c r="H92" s="34">
        <f t="shared" si="20"/>
        <v>0</v>
      </c>
      <c r="I92" s="34">
        <f t="shared" si="21"/>
        <v>0</v>
      </c>
      <c r="J92" s="34">
        <f t="shared" si="22"/>
        <v>0</v>
      </c>
      <c r="K92" s="34">
        <v>0.00018</v>
      </c>
      <c r="L92" s="34">
        <f t="shared" si="29"/>
        <v>0.00216</v>
      </c>
      <c r="N92" s="35" t="s">
        <v>112</v>
      </c>
      <c r="O92" s="34">
        <f t="shared" si="23"/>
        <v>0</v>
      </c>
      <c r="Z92" s="34">
        <f t="shared" si="24"/>
        <v>0</v>
      </c>
      <c r="AA92" s="34">
        <f t="shared" si="25"/>
        <v>0</v>
      </c>
      <c r="AB92" s="34">
        <f t="shared" si="26"/>
        <v>0</v>
      </c>
      <c r="AD92" s="34">
        <v>14</v>
      </c>
      <c r="AE92" s="34">
        <f t="shared" si="27"/>
        <v>0</v>
      </c>
      <c r="AF92" s="34">
        <f t="shared" si="28"/>
        <v>0</v>
      </c>
      <c r="AL92" s="34"/>
    </row>
    <row r="93" spans="1:38" ht="12.75">
      <c r="A93" s="3" t="s">
        <v>306</v>
      </c>
      <c r="B93" s="3"/>
      <c r="C93" s="3" t="s">
        <v>304</v>
      </c>
      <c r="D93" s="3" t="s">
        <v>307</v>
      </c>
      <c r="E93" s="3" t="s">
        <v>111</v>
      </c>
      <c r="F93" s="34">
        <v>1</v>
      </c>
      <c r="G93" s="34"/>
      <c r="H93" s="34">
        <f t="shared" si="20"/>
        <v>0</v>
      </c>
      <c r="I93" s="34">
        <f t="shared" si="21"/>
        <v>0</v>
      </c>
      <c r="J93" s="34">
        <f t="shared" si="22"/>
        <v>0</v>
      </c>
      <c r="K93" s="34">
        <v>0.00018</v>
      </c>
      <c r="L93" s="34">
        <f t="shared" si="29"/>
        <v>0.00018</v>
      </c>
      <c r="N93" s="35" t="s">
        <v>112</v>
      </c>
      <c r="O93" s="34">
        <f t="shared" si="23"/>
        <v>0</v>
      </c>
      <c r="Z93" s="34">
        <f t="shared" si="24"/>
        <v>0</v>
      </c>
      <c r="AA93" s="34">
        <f t="shared" si="25"/>
        <v>0</v>
      </c>
      <c r="AB93" s="34">
        <f t="shared" si="26"/>
        <v>0</v>
      </c>
      <c r="AD93" s="34">
        <v>14</v>
      </c>
      <c r="AE93" s="34">
        <f t="shared" si="27"/>
        <v>0</v>
      </c>
      <c r="AF93" s="34">
        <f t="shared" si="28"/>
        <v>0</v>
      </c>
      <c r="AL93" s="34"/>
    </row>
    <row r="94" spans="1:38" ht="12.75">
      <c r="A94" s="3" t="s">
        <v>308</v>
      </c>
      <c r="B94" s="3"/>
      <c r="C94" s="3" t="s">
        <v>309</v>
      </c>
      <c r="D94" s="3" t="s">
        <v>310</v>
      </c>
      <c r="E94" s="3" t="s">
        <v>111</v>
      </c>
      <c r="F94" s="34">
        <v>7</v>
      </c>
      <c r="G94" s="34"/>
      <c r="H94" s="34">
        <f t="shared" si="20"/>
        <v>0</v>
      </c>
      <c r="I94" s="34">
        <f t="shared" si="21"/>
        <v>0</v>
      </c>
      <c r="J94" s="34">
        <f t="shared" si="22"/>
        <v>0</v>
      </c>
      <c r="K94" s="34">
        <v>0.00032</v>
      </c>
      <c r="L94" s="34">
        <f t="shared" si="29"/>
        <v>0.0022400000000000002</v>
      </c>
      <c r="N94" s="35" t="s">
        <v>112</v>
      </c>
      <c r="O94" s="34">
        <f t="shared" si="23"/>
        <v>0</v>
      </c>
      <c r="Z94" s="34">
        <f t="shared" si="24"/>
        <v>0</v>
      </c>
      <c r="AA94" s="34">
        <f t="shared" si="25"/>
        <v>0</v>
      </c>
      <c r="AB94" s="34">
        <f t="shared" si="26"/>
        <v>0</v>
      </c>
      <c r="AD94" s="34">
        <v>14</v>
      </c>
      <c r="AE94" s="34">
        <f t="shared" si="27"/>
        <v>0</v>
      </c>
      <c r="AF94" s="34">
        <f t="shared" si="28"/>
        <v>0</v>
      </c>
      <c r="AL94" s="34"/>
    </row>
    <row r="95" spans="1:38" ht="12.75">
      <c r="A95" s="3" t="s">
        <v>311</v>
      </c>
      <c r="B95" s="3"/>
      <c r="C95" s="3" t="s">
        <v>309</v>
      </c>
      <c r="D95" s="3" t="s">
        <v>312</v>
      </c>
      <c r="E95" s="3" t="s">
        <v>111</v>
      </c>
      <c r="F95" s="34">
        <v>11</v>
      </c>
      <c r="G95" s="34"/>
      <c r="H95" s="34">
        <f t="shared" si="20"/>
        <v>0</v>
      </c>
      <c r="I95" s="34">
        <f t="shared" si="21"/>
        <v>0</v>
      </c>
      <c r="J95" s="34">
        <f t="shared" si="22"/>
        <v>0</v>
      </c>
      <c r="K95" s="34">
        <v>0.00031</v>
      </c>
      <c r="L95" s="34">
        <f t="shared" si="29"/>
        <v>0.00341</v>
      </c>
      <c r="N95" s="35" t="s">
        <v>112</v>
      </c>
      <c r="O95" s="34">
        <f t="shared" si="23"/>
        <v>0</v>
      </c>
      <c r="Z95" s="34">
        <f t="shared" si="24"/>
        <v>0</v>
      </c>
      <c r="AA95" s="34">
        <f t="shared" si="25"/>
        <v>0</v>
      </c>
      <c r="AB95" s="34">
        <f t="shared" si="26"/>
        <v>0</v>
      </c>
      <c r="AD95" s="34">
        <v>14</v>
      </c>
      <c r="AE95" s="34">
        <f t="shared" si="27"/>
        <v>0</v>
      </c>
      <c r="AF95" s="34">
        <f t="shared" si="28"/>
        <v>0</v>
      </c>
      <c r="AL95" s="34"/>
    </row>
    <row r="96" spans="1:38" ht="12.75">
      <c r="A96" s="3" t="s">
        <v>313</v>
      </c>
      <c r="B96" s="3"/>
      <c r="C96" s="3" t="s">
        <v>314</v>
      </c>
      <c r="D96" s="3" t="s">
        <v>315</v>
      </c>
      <c r="E96" s="3" t="s">
        <v>111</v>
      </c>
      <c r="F96" s="34">
        <v>6</v>
      </c>
      <c r="G96" s="34"/>
      <c r="H96" s="34">
        <f t="shared" si="20"/>
        <v>0</v>
      </c>
      <c r="I96" s="34">
        <f t="shared" si="21"/>
        <v>0</v>
      </c>
      <c r="J96" s="34">
        <f t="shared" si="22"/>
        <v>0</v>
      </c>
      <c r="K96" s="34">
        <v>0.00048</v>
      </c>
      <c r="L96" s="34">
        <f t="shared" si="29"/>
        <v>0.00288</v>
      </c>
      <c r="N96" s="35" t="s">
        <v>112</v>
      </c>
      <c r="O96" s="34">
        <f t="shared" si="23"/>
        <v>0</v>
      </c>
      <c r="Z96" s="34">
        <f t="shared" si="24"/>
        <v>0</v>
      </c>
      <c r="AA96" s="34">
        <f t="shared" si="25"/>
        <v>0</v>
      </c>
      <c r="AB96" s="34">
        <f t="shared" si="26"/>
        <v>0</v>
      </c>
      <c r="AD96" s="34">
        <v>14</v>
      </c>
      <c r="AE96" s="34">
        <f t="shared" si="27"/>
        <v>0</v>
      </c>
      <c r="AF96" s="34">
        <f t="shared" si="28"/>
        <v>0</v>
      </c>
      <c r="AL96" s="34"/>
    </row>
    <row r="97" spans="1:38" ht="12.75">
      <c r="A97" s="3" t="s">
        <v>316</v>
      </c>
      <c r="B97" s="3"/>
      <c r="C97" s="3" t="s">
        <v>314</v>
      </c>
      <c r="D97" s="3" t="s">
        <v>317</v>
      </c>
      <c r="E97" s="3" t="s">
        <v>111</v>
      </c>
      <c r="F97" s="34">
        <v>3</v>
      </c>
      <c r="G97" s="34"/>
      <c r="H97" s="34">
        <f t="shared" si="20"/>
        <v>0</v>
      </c>
      <c r="I97" s="34">
        <f t="shared" si="21"/>
        <v>0</v>
      </c>
      <c r="J97" s="34">
        <f t="shared" si="22"/>
        <v>0</v>
      </c>
      <c r="K97" s="34">
        <v>0.00048</v>
      </c>
      <c r="L97" s="34">
        <f t="shared" si="29"/>
        <v>0.00144</v>
      </c>
      <c r="N97" s="35" t="s">
        <v>112</v>
      </c>
      <c r="O97" s="34">
        <f t="shared" si="23"/>
        <v>0</v>
      </c>
      <c r="Z97" s="34">
        <f t="shared" si="24"/>
        <v>0</v>
      </c>
      <c r="AA97" s="34">
        <f t="shared" si="25"/>
        <v>0</v>
      </c>
      <c r="AB97" s="34">
        <f t="shared" si="26"/>
        <v>0</v>
      </c>
      <c r="AD97" s="34">
        <v>14</v>
      </c>
      <c r="AE97" s="34">
        <f t="shared" si="27"/>
        <v>0</v>
      </c>
      <c r="AF97" s="34">
        <f t="shared" si="28"/>
        <v>0</v>
      </c>
      <c r="AL97" s="34"/>
    </row>
    <row r="98" spans="1:38" ht="12.75">
      <c r="A98" s="3" t="s">
        <v>318</v>
      </c>
      <c r="B98" s="3"/>
      <c r="C98" s="3" t="s">
        <v>319</v>
      </c>
      <c r="D98" s="3" t="s">
        <v>320</v>
      </c>
      <c r="E98" s="3" t="s">
        <v>111</v>
      </c>
      <c r="F98" s="34">
        <v>1</v>
      </c>
      <c r="G98" s="34"/>
      <c r="H98" s="34">
        <f t="shared" si="20"/>
        <v>0</v>
      </c>
      <c r="I98" s="34">
        <f t="shared" si="21"/>
        <v>0</v>
      </c>
      <c r="J98" s="34">
        <f t="shared" si="22"/>
        <v>0</v>
      </c>
      <c r="K98" s="34">
        <v>0.0006800000000000002</v>
      </c>
      <c r="L98" s="34">
        <f t="shared" si="29"/>
        <v>0.0006800000000000002</v>
      </c>
      <c r="N98" s="35" t="s">
        <v>112</v>
      </c>
      <c r="O98" s="34">
        <f t="shared" si="23"/>
        <v>0</v>
      </c>
      <c r="Z98" s="34">
        <f t="shared" si="24"/>
        <v>0</v>
      </c>
      <c r="AA98" s="34">
        <f t="shared" si="25"/>
        <v>0</v>
      </c>
      <c r="AB98" s="34">
        <f t="shared" si="26"/>
        <v>0</v>
      </c>
      <c r="AD98" s="34">
        <v>14</v>
      </c>
      <c r="AE98" s="34">
        <f t="shared" si="27"/>
        <v>0</v>
      </c>
      <c r="AF98" s="34">
        <f t="shared" si="28"/>
        <v>0</v>
      </c>
      <c r="AL98" s="34"/>
    </row>
    <row r="99" spans="1:38" ht="12.75">
      <c r="A99" s="3" t="s">
        <v>321</v>
      </c>
      <c r="B99" s="3"/>
      <c r="C99" s="3" t="s">
        <v>319</v>
      </c>
      <c r="D99" s="3" t="s">
        <v>322</v>
      </c>
      <c r="E99" s="3" t="s">
        <v>111</v>
      </c>
      <c r="F99" s="34">
        <v>5</v>
      </c>
      <c r="G99" s="34"/>
      <c r="H99" s="34">
        <f t="shared" si="20"/>
        <v>0</v>
      </c>
      <c r="I99" s="34">
        <f t="shared" si="21"/>
        <v>0</v>
      </c>
      <c r="J99" s="34">
        <f t="shared" si="22"/>
        <v>0</v>
      </c>
      <c r="K99" s="34">
        <v>0.0006800000000000002</v>
      </c>
      <c r="L99" s="34">
        <f t="shared" si="29"/>
        <v>0.0034000000000000007</v>
      </c>
      <c r="N99" s="35" t="s">
        <v>112</v>
      </c>
      <c r="O99" s="34">
        <f t="shared" si="23"/>
        <v>0</v>
      </c>
      <c r="Z99" s="34">
        <f t="shared" si="24"/>
        <v>0</v>
      </c>
      <c r="AA99" s="34">
        <f t="shared" si="25"/>
        <v>0</v>
      </c>
      <c r="AB99" s="34">
        <f t="shared" si="26"/>
        <v>0</v>
      </c>
      <c r="AD99" s="34">
        <v>14</v>
      </c>
      <c r="AE99" s="34">
        <f t="shared" si="27"/>
        <v>0</v>
      </c>
      <c r="AF99" s="34">
        <f t="shared" si="28"/>
        <v>0</v>
      </c>
      <c r="AL99" s="34"/>
    </row>
    <row r="100" spans="1:38" ht="12.75">
      <c r="A100" s="3" t="s">
        <v>323</v>
      </c>
      <c r="B100" s="3"/>
      <c r="C100" s="3" t="s">
        <v>324</v>
      </c>
      <c r="D100" s="3" t="s">
        <v>325</v>
      </c>
      <c r="E100" s="3" t="s">
        <v>111</v>
      </c>
      <c r="F100" s="34">
        <v>1</v>
      </c>
      <c r="G100" s="34"/>
      <c r="H100" s="34">
        <f t="shared" si="20"/>
        <v>0</v>
      </c>
      <c r="I100" s="34">
        <f t="shared" si="21"/>
        <v>0</v>
      </c>
      <c r="J100" s="34">
        <f t="shared" si="22"/>
        <v>0</v>
      </c>
      <c r="K100" s="34">
        <v>0.00163</v>
      </c>
      <c r="L100" s="34">
        <f t="shared" si="29"/>
        <v>0.00163</v>
      </c>
      <c r="N100" s="35" t="s">
        <v>112</v>
      </c>
      <c r="O100" s="34">
        <f t="shared" si="23"/>
        <v>0</v>
      </c>
      <c r="Z100" s="34">
        <f t="shared" si="24"/>
        <v>0</v>
      </c>
      <c r="AA100" s="34">
        <f t="shared" si="25"/>
        <v>0</v>
      </c>
      <c r="AB100" s="34">
        <f t="shared" si="26"/>
        <v>0</v>
      </c>
      <c r="AD100" s="34">
        <v>14</v>
      </c>
      <c r="AE100" s="34">
        <f t="shared" si="27"/>
        <v>0</v>
      </c>
      <c r="AF100" s="34">
        <f t="shared" si="28"/>
        <v>0</v>
      </c>
      <c r="AL100" s="34"/>
    </row>
    <row r="101" spans="1:38" ht="12.75">
      <c r="A101" s="3" t="s">
        <v>326</v>
      </c>
      <c r="B101" s="3"/>
      <c r="C101" s="3" t="s">
        <v>327</v>
      </c>
      <c r="D101" s="3" t="s">
        <v>328</v>
      </c>
      <c r="E101" s="3" t="s">
        <v>111</v>
      </c>
      <c r="F101" s="34">
        <v>2</v>
      </c>
      <c r="G101" s="34"/>
      <c r="H101" s="34">
        <f t="shared" si="20"/>
        <v>0</v>
      </c>
      <c r="I101" s="34">
        <f t="shared" si="21"/>
        <v>0</v>
      </c>
      <c r="J101" s="34">
        <f t="shared" si="22"/>
        <v>0</v>
      </c>
      <c r="K101" s="34">
        <v>0.0011800000000000003</v>
      </c>
      <c r="L101" s="34">
        <f t="shared" si="29"/>
        <v>0.0023600000000000006</v>
      </c>
      <c r="N101" s="35" t="s">
        <v>112</v>
      </c>
      <c r="O101" s="34">
        <f t="shared" si="23"/>
        <v>0</v>
      </c>
      <c r="Z101" s="34">
        <f t="shared" si="24"/>
        <v>0</v>
      </c>
      <c r="AA101" s="34">
        <f t="shared" si="25"/>
        <v>0</v>
      </c>
      <c r="AB101" s="34">
        <f t="shared" si="26"/>
        <v>0</v>
      </c>
      <c r="AD101" s="34">
        <v>14</v>
      </c>
      <c r="AE101" s="34">
        <f t="shared" si="27"/>
        <v>0</v>
      </c>
      <c r="AF101" s="34">
        <f t="shared" si="28"/>
        <v>0</v>
      </c>
      <c r="AL101" s="34"/>
    </row>
    <row r="102" spans="1:38" ht="12.75">
      <c r="A102" s="3" t="s">
        <v>329</v>
      </c>
      <c r="B102" s="3"/>
      <c r="C102" s="3" t="s">
        <v>330</v>
      </c>
      <c r="D102" s="3" t="s">
        <v>331</v>
      </c>
      <c r="E102" s="3" t="s">
        <v>111</v>
      </c>
      <c r="F102" s="34">
        <v>2</v>
      </c>
      <c r="G102" s="34"/>
      <c r="H102" s="34">
        <f t="shared" si="20"/>
        <v>0</v>
      </c>
      <c r="I102" s="34">
        <f t="shared" si="21"/>
        <v>0</v>
      </c>
      <c r="J102" s="34">
        <f t="shared" si="22"/>
        <v>0</v>
      </c>
      <c r="K102" s="34">
        <v>0.00183</v>
      </c>
      <c r="L102" s="34">
        <f t="shared" si="29"/>
        <v>0.00366</v>
      </c>
      <c r="N102" s="35" t="s">
        <v>112</v>
      </c>
      <c r="O102" s="34">
        <f t="shared" si="23"/>
        <v>0</v>
      </c>
      <c r="Z102" s="34">
        <f t="shared" si="24"/>
        <v>0</v>
      </c>
      <c r="AA102" s="34">
        <f t="shared" si="25"/>
        <v>0</v>
      </c>
      <c r="AB102" s="34">
        <f t="shared" si="26"/>
        <v>0</v>
      </c>
      <c r="AD102" s="34">
        <v>14</v>
      </c>
      <c r="AE102" s="34">
        <f t="shared" si="27"/>
        <v>0</v>
      </c>
      <c r="AF102" s="34">
        <f t="shared" si="28"/>
        <v>0</v>
      </c>
      <c r="AL102" s="34"/>
    </row>
    <row r="103" spans="1:38" ht="12.75">
      <c r="A103" s="3" t="s">
        <v>332</v>
      </c>
      <c r="B103" s="3"/>
      <c r="C103" s="3" t="s">
        <v>333</v>
      </c>
      <c r="D103" s="3" t="s">
        <v>334</v>
      </c>
      <c r="E103" s="3" t="s">
        <v>111</v>
      </c>
      <c r="F103" s="34">
        <v>1</v>
      </c>
      <c r="G103" s="34"/>
      <c r="H103" s="34">
        <f t="shared" si="20"/>
        <v>0</v>
      </c>
      <c r="I103" s="34">
        <f t="shared" si="21"/>
        <v>0</v>
      </c>
      <c r="J103" s="34">
        <f t="shared" si="22"/>
        <v>0</v>
      </c>
      <c r="K103" s="34">
        <v>0.00045999999999999996</v>
      </c>
      <c r="L103" s="34">
        <f t="shared" si="29"/>
        <v>0.00045999999999999996</v>
      </c>
      <c r="N103" s="35" t="s">
        <v>112</v>
      </c>
      <c r="O103" s="34">
        <f t="shared" si="23"/>
        <v>0</v>
      </c>
      <c r="Z103" s="34">
        <f t="shared" si="24"/>
        <v>0</v>
      </c>
      <c r="AA103" s="34">
        <f t="shared" si="25"/>
        <v>0</v>
      </c>
      <c r="AB103" s="34">
        <f t="shared" si="26"/>
        <v>0</v>
      </c>
      <c r="AD103" s="34">
        <v>14</v>
      </c>
      <c r="AE103" s="34">
        <f t="shared" si="27"/>
        <v>0</v>
      </c>
      <c r="AF103" s="34">
        <f t="shared" si="28"/>
        <v>0</v>
      </c>
      <c r="AL103" s="34"/>
    </row>
    <row r="104" spans="1:38" ht="12.75">
      <c r="A104" s="3" t="s">
        <v>335</v>
      </c>
      <c r="B104" s="3"/>
      <c r="C104" s="3" t="s">
        <v>336</v>
      </c>
      <c r="D104" s="3" t="s">
        <v>337</v>
      </c>
      <c r="E104" s="3" t="s">
        <v>111</v>
      </c>
      <c r="F104" s="34">
        <v>1</v>
      </c>
      <c r="G104" s="34"/>
      <c r="H104" s="34">
        <f t="shared" si="20"/>
        <v>0</v>
      </c>
      <c r="I104" s="34">
        <f t="shared" si="21"/>
        <v>0</v>
      </c>
      <c r="J104" s="34">
        <f t="shared" si="22"/>
        <v>0</v>
      </c>
      <c r="K104" s="34">
        <v>0.00142</v>
      </c>
      <c r="L104" s="34">
        <f t="shared" si="29"/>
        <v>0.00142</v>
      </c>
      <c r="N104" s="35" t="s">
        <v>112</v>
      </c>
      <c r="O104" s="34">
        <f t="shared" si="23"/>
        <v>0</v>
      </c>
      <c r="Z104" s="34">
        <f t="shared" si="24"/>
        <v>0</v>
      </c>
      <c r="AA104" s="34">
        <f t="shared" si="25"/>
        <v>0</v>
      </c>
      <c r="AB104" s="34">
        <f t="shared" si="26"/>
        <v>0</v>
      </c>
      <c r="AD104" s="34">
        <v>14</v>
      </c>
      <c r="AE104" s="34">
        <f t="shared" si="27"/>
        <v>0</v>
      </c>
      <c r="AF104" s="34">
        <f t="shared" si="28"/>
        <v>0</v>
      </c>
      <c r="AL104" s="34"/>
    </row>
    <row r="105" spans="1:38" ht="12.75">
      <c r="A105" s="3" t="s">
        <v>338</v>
      </c>
      <c r="B105" s="3"/>
      <c r="C105" s="3" t="s">
        <v>339</v>
      </c>
      <c r="D105" s="3" t="s">
        <v>340</v>
      </c>
      <c r="E105" s="3" t="s">
        <v>111</v>
      </c>
      <c r="F105" s="34">
        <v>80</v>
      </c>
      <c r="G105" s="34"/>
      <c r="H105" s="34">
        <f t="shared" si="20"/>
        <v>0</v>
      </c>
      <c r="I105" s="34">
        <f t="shared" si="21"/>
        <v>0</v>
      </c>
      <c r="J105" s="34">
        <f t="shared" si="22"/>
        <v>0</v>
      </c>
      <c r="K105" s="34">
        <v>0.00019</v>
      </c>
      <c r="L105" s="34">
        <v>0</v>
      </c>
      <c r="N105" s="35" t="s">
        <v>112</v>
      </c>
      <c r="O105" s="34">
        <f t="shared" si="23"/>
        <v>0</v>
      </c>
      <c r="Z105" s="34">
        <f t="shared" si="24"/>
        <v>0</v>
      </c>
      <c r="AA105" s="34">
        <f t="shared" si="25"/>
        <v>0</v>
      </c>
      <c r="AB105" s="34">
        <f t="shared" si="26"/>
        <v>0</v>
      </c>
      <c r="AD105" s="34">
        <v>14</v>
      </c>
      <c r="AE105" s="34">
        <f t="shared" si="27"/>
        <v>0</v>
      </c>
      <c r="AF105" s="34">
        <f t="shared" si="28"/>
        <v>0</v>
      </c>
      <c r="AL105" s="34"/>
    </row>
    <row r="106" spans="1:38" ht="12.75">
      <c r="A106" s="3" t="s">
        <v>341</v>
      </c>
      <c r="B106" s="3"/>
      <c r="C106" s="3" t="s">
        <v>339</v>
      </c>
      <c r="D106" s="3" t="s">
        <v>342</v>
      </c>
      <c r="E106" s="3" t="s">
        <v>111</v>
      </c>
      <c r="F106" s="34">
        <v>35</v>
      </c>
      <c r="G106" s="34"/>
      <c r="H106" s="34">
        <f t="shared" si="20"/>
        <v>0</v>
      </c>
      <c r="I106" s="34">
        <f t="shared" si="21"/>
        <v>0</v>
      </c>
      <c r="J106" s="34">
        <f t="shared" si="22"/>
        <v>0</v>
      </c>
      <c r="K106" s="34">
        <v>0.00019</v>
      </c>
      <c r="L106" s="34">
        <v>0</v>
      </c>
      <c r="N106" s="35" t="s">
        <v>112</v>
      </c>
      <c r="O106" s="34">
        <f t="shared" si="23"/>
        <v>0</v>
      </c>
      <c r="Z106" s="34">
        <f t="shared" si="24"/>
        <v>0</v>
      </c>
      <c r="AA106" s="34">
        <f t="shared" si="25"/>
        <v>0</v>
      </c>
      <c r="AB106" s="34">
        <f t="shared" si="26"/>
        <v>0</v>
      </c>
      <c r="AD106" s="34">
        <v>14</v>
      </c>
      <c r="AE106" s="34">
        <f t="shared" si="27"/>
        <v>0</v>
      </c>
      <c r="AF106" s="34">
        <f t="shared" si="28"/>
        <v>0</v>
      </c>
      <c r="AL106" s="34"/>
    </row>
    <row r="107" spans="1:38" ht="12.75">
      <c r="A107" s="3" t="s">
        <v>343</v>
      </c>
      <c r="B107" s="3"/>
      <c r="C107" s="3" t="s">
        <v>344</v>
      </c>
      <c r="D107" s="3" t="s">
        <v>345</v>
      </c>
      <c r="E107" s="3" t="s">
        <v>111</v>
      </c>
      <c r="F107" s="34">
        <v>33</v>
      </c>
      <c r="G107" s="34"/>
      <c r="H107" s="34">
        <f t="shared" si="20"/>
        <v>0</v>
      </c>
      <c r="I107" s="34">
        <f t="shared" si="21"/>
        <v>0</v>
      </c>
      <c r="J107" s="34">
        <f t="shared" si="22"/>
        <v>0</v>
      </c>
      <c r="K107" s="34">
        <v>0.0002</v>
      </c>
      <c r="L107" s="34">
        <v>0</v>
      </c>
      <c r="N107" s="35" t="s">
        <v>112</v>
      </c>
      <c r="O107" s="34">
        <f t="shared" si="23"/>
        <v>0</v>
      </c>
      <c r="Z107" s="34">
        <f t="shared" si="24"/>
        <v>0</v>
      </c>
      <c r="AA107" s="34">
        <f t="shared" si="25"/>
        <v>0</v>
      </c>
      <c r="AB107" s="34">
        <f t="shared" si="26"/>
        <v>0</v>
      </c>
      <c r="AD107" s="34">
        <v>14</v>
      </c>
      <c r="AE107" s="34">
        <f t="shared" si="27"/>
        <v>0</v>
      </c>
      <c r="AF107" s="34">
        <f t="shared" si="28"/>
        <v>0</v>
      </c>
      <c r="AL107" s="34"/>
    </row>
    <row r="108" spans="1:38" ht="12.75">
      <c r="A108" s="3" t="s">
        <v>346</v>
      </c>
      <c r="B108" s="3"/>
      <c r="C108" s="3" t="s">
        <v>347</v>
      </c>
      <c r="D108" s="3" t="s">
        <v>348</v>
      </c>
      <c r="E108" s="3" t="s">
        <v>111</v>
      </c>
      <c r="F108" s="34">
        <v>22</v>
      </c>
      <c r="G108" s="34"/>
      <c r="H108" s="34">
        <f t="shared" si="20"/>
        <v>0</v>
      </c>
      <c r="I108" s="34">
        <f t="shared" si="21"/>
        <v>0</v>
      </c>
      <c r="J108" s="34">
        <f t="shared" si="22"/>
        <v>0</v>
      </c>
      <c r="K108" s="34">
        <v>0.00025</v>
      </c>
      <c r="L108" s="34">
        <v>0</v>
      </c>
      <c r="N108" s="35" t="s">
        <v>112</v>
      </c>
      <c r="O108" s="34">
        <f t="shared" si="23"/>
        <v>0</v>
      </c>
      <c r="Z108" s="34">
        <f t="shared" si="24"/>
        <v>0</v>
      </c>
      <c r="AA108" s="34">
        <f t="shared" si="25"/>
        <v>0</v>
      </c>
      <c r="AB108" s="34">
        <f t="shared" si="26"/>
        <v>0</v>
      </c>
      <c r="AD108" s="34">
        <v>14</v>
      </c>
      <c r="AE108" s="34">
        <f t="shared" si="27"/>
        <v>0</v>
      </c>
      <c r="AF108" s="34">
        <f t="shared" si="28"/>
        <v>0</v>
      </c>
      <c r="AL108" s="34"/>
    </row>
    <row r="109" spans="1:38" ht="12.75">
      <c r="A109" s="3" t="s">
        <v>349</v>
      </c>
      <c r="B109" s="3"/>
      <c r="C109" s="3" t="s">
        <v>347</v>
      </c>
      <c r="D109" s="3" t="s">
        <v>350</v>
      </c>
      <c r="E109" s="3" t="s">
        <v>111</v>
      </c>
      <c r="F109" s="34">
        <v>22</v>
      </c>
      <c r="G109" s="34"/>
      <c r="H109" s="34">
        <f t="shared" si="20"/>
        <v>0</v>
      </c>
      <c r="I109" s="34">
        <f t="shared" si="21"/>
        <v>0</v>
      </c>
      <c r="J109" s="34">
        <f t="shared" si="22"/>
        <v>0</v>
      </c>
      <c r="K109" s="34">
        <v>0.00025</v>
      </c>
      <c r="L109" s="34">
        <v>0</v>
      </c>
      <c r="N109" s="35" t="s">
        <v>112</v>
      </c>
      <c r="O109" s="34">
        <f t="shared" si="23"/>
        <v>0</v>
      </c>
      <c r="Z109" s="34">
        <f t="shared" si="24"/>
        <v>0</v>
      </c>
      <c r="AA109" s="34">
        <f t="shared" si="25"/>
        <v>0</v>
      </c>
      <c r="AB109" s="34">
        <f t="shared" si="26"/>
        <v>0</v>
      </c>
      <c r="AD109" s="34">
        <v>14</v>
      </c>
      <c r="AE109" s="34">
        <f t="shared" si="27"/>
        <v>0</v>
      </c>
      <c r="AF109" s="34">
        <f t="shared" si="28"/>
        <v>0</v>
      </c>
      <c r="AL109" s="34"/>
    </row>
    <row r="110" spans="1:38" ht="12.75">
      <c r="A110" s="3" t="s">
        <v>351</v>
      </c>
      <c r="B110" s="3"/>
      <c r="C110" s="3" t="s">
        <v>352</v>
      </c>
      <c r="D110" s="3" t="s">
        <v>353</v>
      </c>
      <c r="E110" s="3" t="s">
        <v>111</v>
      </c>
      <c r="F110" s="34">
        <v>41</v>
      </c>
      <c r="G110" s="34"/>
      <c r="H110" s="34">
        <f t="shared" si="20"/>
        <v>0</v>
      </c>
      <c r="I110" s="34">
        <f t="shared" si="21"/>
        <v>0</v>
      </c>
      <c r="J110" s="34">
        <f t="shared" si="22"/>
        <v>0</v>
      </c>
      <c r="K110" s="34">
        <v>0.00027000000000000006</v>
      </c>
      <c r="L110" s="34">
        <v>0</v>
      </c>
      <c r="N110" s="35" t="s">
        <v>112</v>
      </c>
      <c r="O110" s="34">
        <f t="shared" si="23"/>
        <v>0</v>
      </c>
      <c r="Z110" s="34">
        <f t="shared" si="24"/>
        <v>0</v>
      </c>
      <c r="AA110" s="34">
        <f t="shared" si="25"/>
        <v>0</v>
      </c>
      <c r="AB110" s="34">
        <f t="shared" si="26"/>
        <v>0</v>
      </c>
      <c r="AD110" s="34">
        <v>14</v>
      </c>
      <c r="AE110" s="34">
        <f t="shared" si="27"/>
        <v>0</v>
      </c>
      <c r="AF110" s="34">
        <f t="shared" si="28"/>
        <v>0</v>
      </c>
      <c r="AL110" s="34"/>
    </row>
    <row r="111" spans="1:38" ht="12.75">
      <c r="A111" s="3" t="s">
        <v>354</v>
      </c>
      <c r="B111" s="3"/>
      <c r="C111" s="3" t="s">
        <v>352</v>
      </c>
      <c r="D111" s="3" t="s">
        <v>355</v>
      </c>
      <c r="E111" s="3" t="s">
        <v>111</v>
      </c>
      <c r="F111" s="34">
        <v>24</v>
      </c>
      <c r="G111" s="34"/>
      <c r="H111" s="34">
        <f t="shared" si="20"/>
        <v>0</v>
      </c>
      <c r="I111" s="34">
        <f t="shared" si="21"/>
        <v>0</v>
      </c>
      <c r="J111" s="34">
        <f t="shared" si="22"/>
        <v>0</v>
      </c>
      <c r="K111" s="34">
        <v>0.00027000000000000006</v>
      </c>
      <c r="L111" s="34">
        <v>0</v>
      </c>
      <c r="N111" s="35" t="s">
        <v>112</v>
      </c>
      <c r="O111" s="34">
        <f t="shared" si="23"/>
        <v>0</v>
      </c>
      <c r="Z111" s="34">
        <f t="shared" si="24"/>
        <v>0</v>
      </c>
      <c r="AA111" s="34">
        <f t="shared" si="25"/>
        <v>0</v>
      </c>
      <c r="AB111" s="34">
        <f t="shared" si="26"/>
        <v>0</v>
      </c>
      <c r="AD111" s="34">
        <v>14</v>
      </c>
      <c r="AE111" s="34">
        <f t="shared" si="27"/>
        <v>0</v>
      </c>
      <c r="AF111" s="34">
        <f t="shared" si="28"/>
        <v>0</v>
      </c>
      <c r="AL111" s="34"/>
    </row>
    <row r="112" spans="1:38" ht="12.75">
      <c r="A112" s="3" t="s">
        <v>356</v>
      </c>
      <c r="B112" s="3"/>
      <c r="C112" s="3" t="s">
        <v>357</v>
      </c>
      <c r="D112" s="3" t="s">
        <v>358</v>
      </c>
      <c r="E112" s="3" t="s">
        <v>111</v>
      </c>
      <c r="F112" s="34">
        <v>19</v>
      </c>
      <c r="G112" s="34"/>
      <c r="H112" s="34">
        <f t="shared" si="20"/>
        <v>0</v>
      </c>
      <c r="I112" s="34">
        <f t="shared" si="21"/>
        <v>0</v>
      </c>
      <c r="J112" s="34">
        <f t="shared" si="22"/>
        <v>0</v>
      </c>
      <c r="K112" s="34">
        <v>0.00031</v>
      </c>
      <c r="L112" s="34">
        <v>0</v>
      </c>
      <c r="N112" s="35" t="s">
        <v>112</v>
      </c>
      <c r="O112" s="34">
        <f t="shared" si="23"/>
        <v>0</v>
      </c>
      <c r="Z112" s="34">
        <f t="shared" si="24"/>
        <v>0</v>
      </c>
      <c r="AA112" s="34">
        <f t="shared" si="25"/>
        <v>0</v>
      </c>
      <c r="AB112" s="34">
        <f t="shared" si="26"/>
        <v>0</v>
      </c>
      <c r="AD112" s="34">
        <v>14</v>
      </c>
      <c r="AE112" s="34">
        <f t="shared" si="27"/>
        <v>0</v>
      </c>
      <c r="AF112" s="34">
        <f t="shared" si="28"/>
        <v>0</v>
      </c>
      <c r="AL112" s="34"/>
    </row>
    <row r="113" spans="1:38" ht="12.75">
      <c r="A113" s="3" t="s">
        <v>359</v>
      </c>
      <c r="B113" s="3"/>
      <c r="C113" s="3" t="s">
        <v>360</v>
      </c>
      <c r="D113" s="3" t="s">
        <v>361</v>
      </c>
      <c r="E113" s="3" t="s">
        <v>125</v>
      </c>
      <c r="F113" s="34">
        <v>1</v>
      </c>
      <c r="G113" s="34"/>
      <c r="H113" s="34">
        <f t="shared" si="20"/>
        <v>0</v>
      </c>
      <c r="I113" s="34">
        <f t="shared" si="21"/>
        <v>0</v>
      </c>
      <c r="J113" s="34">
        <f t="shared" si="22"/>
        <v>0</v>
      </c>
      <c r="K113" s="34">
        <v>0</v>
      </c>
      <c r="L113" s="34">
        <f t="shared" si="29"/>
        <v>0</v>
      </c>
      <c r="N113" s="35" t="s">
        <v>112</v>
      </c>
      <c r="O113" s="34">
        <f t="shared" si="23"/>
        <v>0</v>
      </c>
      <c r="Z113" s="34">
        <f t="shared" si="24"/>
        <v>0</v>
      </c>
      <c r="AA113" s="34">
        <f t="shared" si="25"/>
        <v>0</v>
      </c>
      <c r="AB113" s="34">
        <f t="shared" si="26"/>
        <v>0</v>
      </c>
      <c r="AD113" s="34">
        <v>14</v>
      </c>
      <c r="AE113" s="34">
        <f t="shared" si="27"/>
        <v>0</v>
      </c>
      <c r="AF113" s="34">
        <f t="shared" si="28"/>
        <v>0</v>
      </c>
      <c r="AL113" s="34"/>
    </row>
    <row r="114" spans="1:38" ht="12.75">
      <c r="A114" s="3" t="s">
        <v>362</v>
      </c>
      <c r="B114" s="3"/>
      <c r="C114" s="3" t="s">
        <v>363</v>
      </c>
      <c r="D114" s="3" t="s">
        <v>364</v>
      </c>
      <c r="E114" s="3" t="s">
        <v>125</v>
      </c>
      <c r="F114" s="34">
        <v>1</v>
      </c>
      <c r="G114" s="34"/>
      <c r="H114" s="34">
        <f t="shared" si="20"/>
        <v>0</v>
      </c>
      <c r="I114" s="34">
        <f t="shared" si="21"/>
        <v>0</v>
      </c>
      <c r="J114" s="34">
        <f t="shared" si="22"/>
        <v>0</v>
      </c>
      <c r="K114" s="34">
        <v>0</v>
      </c>
      <c r="L114" s="34">
        <f t="shared" si="29"/>
        <v>0</v>
      </c>
      <c r="N114" s="35" t="s">
        <v>112</v>
      </c>
      <c r="O114" s="34">
        <f t="shared" si="23"/>
        <v>0</v>
      </c>
      <c r="Z114" s="34">
        <f t="shared" si="24"/>
        <v>0</v>
      </c>
      <c r="AA114" s="34">
        <f t="shared" si="25"/>
        <v>0</v>
      </c>
      <c r="AB114" s="34">
        <f t="shared" si="26"/>
        <v>0</v>
      </c>
      <c r="AD114" s="34">
        <v>14</v>
      </c>
      <c r="AE114" s="34">
        <f t="shared" si="27"/>
        <v>0</v>
      </c>
      <c r="AF114" s="34">
        <f t="shared" si="28"/>
        <v>0</v>
      </c>
      <c r="AL114" s="34"/>
    </row>
    <row r="115" spans="1:38" ht="12.75">
      <c r="A115" s="3" t="s">
        <v>365</v>
      </c>
      <c r="B115" s="3"/>
      <c r="C115" s="3" t="s">
        <v>366</v>
      </c>
      <c r="D115" s="3" t="s">
        <v>367</v>
      </c>
      <c r="E115" s="3" t="s">
        <v>125</v>
      </c>
      <c r="F115" s="34">
        <v>1</v>
      </c>
      <c r="G115" s="34"/>
      <c r="H115" s="34">
        <f t="shared" si="20"/>
        <v>0</v>
      </c>
      <c r="I115" s="34">
        <f t="shared" si="21"/>
        <v>0</v>
      </c>
      <c r="J115" s="34">
        <f t="shared" si="22"/>
        <v>0</v>
      </c>
      <c r="K115" s="34">
        <v>0</v>
      </c>
      <c r="L115" s="34">
        <f t="shared" si="29"/>
        <v>0</v>
      </c>
      <c r="N115" s="35" t="s">
        <v>112</v>
      </c>
      <c r="O115" s="34">
        <f t="shared" si="23"/>
        <v>0</v>
      </c>
      <c r="Z115" s="34">
        <f t="shared" si="24"/>
        <v>0</v>
      </c>
      <c r="AA115" s="34">
        <f t="shared" si="25"/>
        <v>0</v>
      </c>
      <c r="AB115" s="34">
        <f t="shared" si="26"/>
        <v>0</v>
      </c>
      <c r="AD115" s="34">
        <v>14</v>
      </c>
      <c r="AE115" s="34">
        <f t="shared" si="27"/>
        <v>0</v>
      </c>
      <c r="AF115" s="34">
        <f t="shared" si="28"/>
        <v>0</v>
      </c>
      <c r="AL115" s="34"/>
    </row>
    <row r="116" spans="1:38" ht="12.75">
      <c r="A116" s="3" t="s">
        <v>368</v>
      </c>
      <c r="B116" s="3"/>
      <c r="C116" s="3" t="s">
        <v>369</v>
      </c>
      <c r="D116" s="3" t="s">
        <v>370</v>
      </c>
      <c r="E116" s="3" t="s">
        <v>125</v>
      </c>
      <c r="F116" s="34">
        <v>2</v>
      </c>
      <c r="G116" s="34"/>
      <c r="H116" s="34">
        <f t="shared" si="20"/>
        <v>0</v>
      </c>
      <c r="I116" s="34">
        <f t="shared" si="21"/>
        <v>0</v>
      </c>
      <c r="J116" s="34">
        <f t="shared" si="22"/>
        <v>0</v>
      </c>
      <c r="K116" s="34">
        <v>0</v>
      </c>
      <c r="L116" s="34">
        <f t="shared" si="29"/>
        <v>0</v>
      </c>
      <c r="N116" s="35" t="s">
        <v>112</v>
      </c>
      <c r="O116" s="34">
        <f t="shared" si="23"/>
        <v>0</v>
      </c>
      <c r="Z116" s="34">
        <f t="shared" si="24"/>
        <v>0</v>
      </c>
      <c r="AA116" s="34">
        <f t="shared" si="25"/>
        <v>0</v>
      </c>
      <c r="AB116" s="34">
        <f t="shared" si="26"/>
        <v>0</v>
      </c>
      <c r="AD116" s="34">
        <v>14</v>
      </c>
      <c r="AE116" s="34">
        <f t="shared" si="27"/>
        <v>0</v>
      </c>
      <c r="AF116" s="34">
        <f t="shared" si="28"/>
        <v>0</v>
      </c>
      <c r="AL116" s="34"/>
    </row>
    <row r="117" spans="1:38" ht="12.75">
      <c r="A117" s="3" t="s">
        <v>371</v>
      </c>
      <c r="B117" s="3"/>
      <c r="C117" s="3" t="s">
        <v>372</v>
      </c>
      <c r="D117" s="3" t="s">
        <v>373</v>
      </c>
      <c r="E117" s="3" t="s">
        <v>125</v>
      </c>
      <c r="F117" s="34">
        <v>20</v>
      </c>
      <c r="G117" s="34"/>
      <c r="H117" s="34">
        <f t="shared" si="20"/>
        <v>0</v>
      </c>
      <c r="I117" s="34">
        <f t="shared" si="21"/>
        <v>0</v>
      </c>
      <c r="J117" s="34">
        <f t="shared" si="22"/>
        <v>0</v>
      </c>
      <c r="K117" s="34">
        <v>0</v>
      </c>
      <c r="L117" s="34">
        <f t="shared" si="29"/>
        <v>0</v>
      </c>
      <c r="N117" s="35" t="s">
        <v>112</v>
      </c>
      <c r="O117" s="34">
        <f t="shared" si="23"/>
        <v>0</v>
      </c>
      <c r="Z117" s="34">
        <f t="shared" si="24"/>
        <v>0</v>
      </c>
      <c r="AA117" s="34">
        <f t="shared" si="25"/>
        <v>0</v>
      </c>
      <c r="AB117" s="34">
        <f t="shared" si="26"/>
        <v>0</v>
      </c>
      <c r="AD117" s="34">
        <v>14</v>
      </c>
      <c r="AE117" s="34">
        <f t="shared" si="27"/>
        <v>0</v>
      </c>
      <c r="AF117" s="34">
        <f t="shared" si="28"/>
        <v>0</v>
      </c>
      <c r="AL117" s="34"/>
    </row>
    <row r="118" spans="1:38" ht="12.75">
      <c r="A118" s="3" t="s">
        <v>374</v>
      </c>
      <c r="B118" s="3"/>
      <c r="C118" s="3" t="s">
        <v>375</v>
      </c>
      <c r="D118" s="3" t="s">
        <v>376</v>
      </c>
      <c r="E118" s="3" t="s">
        <v>125</v>
      </c>
      <c r="F118" s="34">
        <v>20</v>
      </c>
      <c r="G118" s="34"/>
      <c r="H118" s="34">
        <f aca="true" t="shared" si="30" ref="H118:H149">ROUND(F118*AE118,2)</f>
        <v>0</v>
      </c>
      <c r="I118" s="34">
        <f aca="true" t="shared" si="31" ref="I118:I149">J118-H118</f>
        <v>0</v>
      </c>
      <c r="J118" s="34">
        <f aca="true" t="shared" si="32" ref="J118:J149">ROUND(F118*G118,2)</f>
        <v>0</v>
      </c>
      <c r="K118" s="34">
        <v>0</v>
      </c>
      <c r="L118" s="34">
        <f aca="true" t="shared" si="33" ref="L118:L149">F118*K118</f>
        <v>0</v>
      </c>
      <c r="N118" s="35" t="s">
        <v>112</v>
      </c>
      <c r="O118" s="34">
        <f aca="true" t="shared" si="34" ref="O118:O149">IF(N118="5",I118,0)</f>
        <v>0</v>
      </c>
      <c r="Z118" s="34">
        <f aca="true" t="shared" si="35" ref="Z118:Z149">IF(AD118=0,J118,0)</f>
        <v>0</v>
      </c>
      <c r="AA118" s="34">
        <f aca="true" t="shared" si="36" ref="AA118:AA149">IF(AD118=14,J118,0)</f>
        <v>0</v>
      </c>
      <c r="AB118" s="34">
        <f aca="true" t="shared" si="37" ref="AB118:AB149">IF(AD118=20,J118,0)</f>
        <v>0</v>
      </c>
      <c r="AD118" s="34">
        <v>14</v>
      </c>
      <c r="AE118" s="34">
        <f t="shared" si="27"/>
        <v>0</v>
      </c>
      <c r="AF118" s="34">
        <f t="shared" si="28"/>
        <v>0</v>
      </c>
      <c r="AL118" s="34"/>
    </row>
    <row r="119" spans="1:38" ht="12.75">
      <c r="A119" s="3" t="s">
        <v>377</v>
      </c>
      <c r="B119" s="3"/>
      <c r="C119" s="3" t="s">
        <v>378</v>
      </c>
      <c r="D119" s="3" t="s">
        <v>379</v>
      </c>
      <c r="E119" s="3" t="s">
        <v>140</v>
      </c>
      <c r="F119" s="34">
        <v>14.3</v>
      </c>
      <c r="G119" s="34"/>
      <c r="H119" s="34">
        <f t="shared" si="30"/>
        <v>0</v>
      </c>
      <c r="I119" s="34">
        <f t="shared" si="31"/>
        <v>0</v>
      </c>
      <c r="J119" s="34">
        <f t="shared" si="32"/>
        <v>0</v>
      </c>
      <c r="K119" s="34">
        <v>0.01615</v>
      </c>
      <c r="L119" s="34">
        <v>0</v>
      </c>
      <c r="N119" s="35" t="s">
        <v>88</v>
      </c>
      <c r="O119" s="34">
        <f t="shared" si="34"/>
        <v>0</v>
      </c>
      <c r="Z119" s="34">
        <f t="shared" si="35"/>
        <v>0</v>
      </c>
      <c r="AA119" s="34">
        <f t="shared" si="36"/>
        <v>0</v>
      </c>
      <c r="AB119" s="34">
        <f t="shared" si="37"/>
        <v>0</v>
      </c>
      <c r="AD119" s="34">
        <v>14</v>
      </c>
      <c r="AE119" s="34">
        <f>G119*0.476745171128431</f>
        <v>0</v>
      </c>
      <c r="AF119" s="34">
        <f>G119*(1-0.476745171128431)</f>
        <v>0</v>
      </c>
      <c r="AL119" s="34"/>
    </row>
    <row r="120" spans="1:38" ht="12.75">
      <c r="A120" s="3" t="s">
        <v>380</v>
      </c>
      <c r="B120" s="3"/>
      <c r="C120" s="3" t="s">
        <v>381</v>
      </c>
      <c r="D120" s="3" t="s">
        <v>382</v>
      </c>
      <c r="E120" s="3" t="s">
        <v>140</v>
      </c>
      <c r="F120" s="34">
        <v>39.6</v>
      </c>
      <c r="G120" s="34"/>
      <c r="H120" s="34">
        <f t="shared" si="30"/>
        <v>0</v>
      </c>
      <c r="I120" s="34">
        <f t="shared" si="31"/>
        <v>0</v>
      </c>
      <c r="J120" s="34">
        <f t="shared" si="32"/>
        <v>0</v>
      </c>
      <c r="K120" s="34">
        <v>0.01632</v>
      </c>
      <c r="L120" s="34">
        <v>0</v>
      </c>
      <c r="N120" s="35" t="s">
        <v>88</v>
      </c>
      <c r="O120" s="34">
        <f t="shared" si="34"/>
        <v>0</v>
      </c>
      <c r="Z120" s="34">
        <f t="shared" si="35"/>
        <v>0</v>
      </c>
      <c r="AA120" s="34">
        <f t="shared" si="36"/>
        <v>0</v>
      </c>
      <c r="AB120" s="34">
        <f t="shared" si="37"/>
        <v>0</v>
      </c>
      <c r="AD120" s="34">
        <v>14</v>
      </c>
      <c r="AE120" s="34">
        <f>G120*0.542546605214281</f>
        <v>0</v>
      </c>
      <c r="AF120" s="34">
        <f>G120*(1-0.542546605214281)</f>
        <v>0</v>
      </c>
      <c r="AL120" s="34"/>
    </row>
    <row r="121" spans="1:38" ht="12.75">
      <c r="A121" s="3" t="s">
        <v>383</v>
      </c>
      <c r="B121" s="3"/>
      <c r="C121" s="3" t="s">
        <v>384</v>
      </c>
      <c r="D121" s="3" t="s">
        <v>385</v>
      </c>
      <c r="E121" s="3" t="s">
        <v>140</v>
      </c>
      <c r="F121" s="34">
        <v>206.8</v>
      </c>
      <c r="G121" s="34"/>
      <c r="H121" s="34">
        <f t="shared" si="30"/>
        <v>0</v>
      </c>
      <c r="I121" s="34">
        <f t="shared" si="31"/>
        <v>0</v>
      </c>
      <c r="J121" s="34">
        <f t="shared" si="32"/>
        <v>0</v>
      </c>
      <c r="K121" s="34">
        <v>0.00028</v>
      </c>
      <c r="L121" s="34">
        <v>0</v>
      </c>
      <c r="N121" s="35" t="s">
        <v>81</v>
      </c>
      <c r="O121" s="34">
        <f t="shared" si="34"/>
        <v>0</v>
      </c>
      <c r="Z121" s="34">
        <f t="shared" si="35"/>
        <v>0</v>
      </c>
      <c r="AA121" s="34">
        <f t="shared" si="36"/>
        <v>0</v>
      </c>
      <c r="AB121" s="34">
        <f t="shared" si="37"/>
        <v>0</v>
      </c>
      <c r="AD121" s="34">
        <v>14</v>
      </c>
      <c r="AE121" s="34">
        <f>G121*0.046630587886426</f>
        <v>0</v>
      </c>
      <c r="AF121" s="34">
        <f>G121*(1-0.046630587886426)</f>
        <v>0</v>
      </c>
      <c r="AL121" s="34"/>
    </row>
    <row r="122" spans="1:38" ht="12.75">
      <c r="A122" s="3" t="s">
        <v>386</v>
      </c>
      <c r="B122" s="3"/>
      <c r="C122" s="3" t="s">
        <v>384</v>
      </c>
      <c r="D122" s="3" t="s">
        <v>387</v>
      </c>
      <c r="E122" s="3" t="s">
        <v>140</v>
      </c>
      <c r="F122" s="34">
        <v>45.1</v>
      </c>
      <c r="G122" s="34"/>
      <c r="H122" s="34">
        <f t="shared" si="30"/>
        <v>0</v>
      </c>
      <c r="I122" s="34">
        <f t="shared" si="31"/>
        <v>0</v>
      </c>
      <c r="J122" s="34">
        <f t="shared" si="32"/>
        <v>0</v>
      </c>
      <c r="K122" s="34">
        <v>0.00028</v>
      </c>
      <c r="L122" s="34">
        <v>0</v>
      </c>
      <c r="N122" s="35" t="s">
        <v>81</v>
      </c>
      <c r="O122" s="34">
        <f t="shared" si="34"/>
        <v>0</v>
      </c>
      <c r="Z122" s="34">
        <f t="shared" si="35"/>
        <v>0</v>
      </c>
      <c r="AA122" s="34">
        <f t="shared" si="36"/>
        <v>0</v>
      </c>
      <c r="AB122" s="34">
        <f t="shared" si="37"/>
        <v>0</v>
      </c>
      <c r="AD122" s="34">
        <v>14</v>
      </c>
      <c r="AE122" s="34">
        <f>G122*0.046630587886426</f>
        <v>0</v>
      </c>
      <c r="AF122" s="34">
        <f>G122*(1-0.046630587886426)</f>
        <v>0</v>
      </c>
      <c r="AL122" s="34"/>
    </row>
    <row r="123" spans="1:38" ht="12.75">
      <c r="A123" s="3" t="s">
        <v>388</v>
      </c>
      <c r="B123" s="3"/>
      <c r="C123" s="3" t="s">
        <v>389</v>
      </c>
      <c r="D123" s="3" t="s">
        <v>390</v>
      </c>
      <c r="E123" s="3" t="s">
        <v>140</v>
      </c>
      <c r="F123" s="34">
        <v>60.5</v>
      </c>
      <c r="G123" s="34"/>
      <c r="H123" s="34">
        <f t="shared" si="30"/>
        <v>0</v>
      </c>
      <c r="I123" s="34">
        <f t="shared" si="31"/>
        <v>0</v>
      </c>
      <c r="J123" s="34">
        <f t="shared" si="32"/>
        <v>0</v>
      </c>
      <c r="K123" s="34">
        <v>0.00028</v>
      </c>
      <c r="L123" s="34">
        <v>0</v>
      </c>
      <c r="N123" s="35" t="s">
        <v>81</v>
      </c>
      <c r="O123" s="34">
        <f t="shared" si="34"/>
        <v>0</v>
      </c>
      <c r="Z123" s="34">
        <f t="shared" si="35"/>
        <v>0</v>
      </c>
      <c r="AA123" s="34">
        <f t="shared" si="36"/>
        <v>0</v>
      </c>
      <c r="AB123" s="34">
        <f t="shared" si="37"/>
        <v>0</v>
      </c>
      <c r="AD123" s="34">
        <v>14</v>
      </c>
      <c r="AE123" s="34">
        <f>G123*0.0428941625750136</f>
        <v>0</v>
      </c>
      <c r="AF123" s="34">
        <f>G123*(1-0.0428941625750136)</f>
        <v>0</v>
      </c>
      <c r="AL123" s="34"/>
    </row>
    <row r="124" spans="1:38" ht="12.75">
      <c r="A124" s="3" t="s">
        <v>391</v>
      </c>
      <c r="B124" s="3"/>
      <c r="C124" s="3" t="s">
        <v>389</v>
      </c>
      <c r="D124" s="3" t="s">
        <v>392</v>
      </c>
      <c r="E124" s="3" t="s">
        <v>140</v>
      </c>
      <c r="F124" s="34">
        <v>4.4</v>
      </c>
      <c r="G124" s="34"/>
      <c r="H124" s="34">
        <f t="shared" si="30"/>
        <v>0</v>
      </c>
      <c r="I124" s="34">
        <f t="shared" si="31"/>
        <v>0</v>
      </c>
      <c r="J124" s="34">
        <f t="shared" si="32"/>
        <v>0</v>
      </c>
      <c r="K124" s="34">
        <v>0.00028</v>
      </c>
      <c r="L124" s="34">
        <f t="shared" si="33"/>
        <v>0.001232</v>
      </c>
      <c r="N124" s="35" t="s">
        <v>81</v>
      </c>
      <c r="O124" s="34">
        <f t="shared" si="34"/>
        <v>0</v>
      </c>
      <c r="Z124" s="34">
        <f t="shared" si="35"/>
        <v>0</v>
      </c>
      <c r="AA124" s="34">
        <f t="shared" si="36"/>
        <v>0</v>
      </c>
      <c r="AB124" s="34">
        <f t="shared" si="37"/>
        <v>0</v>
      </c>
      <c r="AD124" s="34">
        <v>14</v>
      </c>
      <c r="AE124" s="34">
        <f>G124*0.0428941625750136</f>
        <v>0</v>
      </c>
      <c r="AF124" s="34">
        <f>G124*(1-0.0428941625750136)</f>
        <v>0</v>
      </c>
      <c r="AL124" s="34"/>
    </row>
    <row r="125" spans="1:38" ht="12.75">
      <c r="A125" s="3" t="s">
        <v>393</v>
      </c>
      <c r="B125" s="3"/>
      <c r="C125" s="3" t="s">
        <v>394</v>
      </c>
      <c r="D125" s="3" t="s">
        <v>395</v>
      </c>
      <c r="E125" s="3" t="s">
        <v>140</v>
      </c>
      <c r="F125" s="34">
        <v>40.7</v>
      </c>
      <c r="G125" s="34"/>
      <c r="H125" s="34">
        <f t="shared" si="30"/>
        <v>0</v>
      </c>
      <c r="I125" s="34">
        <f t="shared" si="31"/>
        <v>0</v>
      </c>
      <c r="J125" s="34">
        <f t="shared" si="32"/>
        <v>0</v>
      </c>
      <c r="K125" s="34">
        <v>0.00028</v>
      </c>
      <c r="L125" s="34">
        <v>0</v>
      </c>
      <c r="N125" s="35" t="s">
        <v>81</v>
      </c>
      <c r="O125" s="34">
        <f t="shared" si="34"/>
        <v>0</v>
      </c>
      <c r="Z125" s="34">
        <f t="shared" si="35"/>
        <v>0</v>
      </c>
      <c r="AA125" s="34">
        <f t="shared" si="36"/>
        <v>0</v>
      </c>
      <c r="AB125" s="34">
        <f t="shared" si="37"/>
        <v>0</v>
      </c>
      <c r="AD125" s="34">
        <v>14</v>
      </c>
      <c r="AE125" s="34">
        <f>G125*0.0362368936513423</f>
        <v>0</v>
      </c>
      <c r="AF125" s="34">
        <f>G125*(1-0.0362368936513423)</f>
        <v>0</v>
      </c>
      <c r="AL125" s="34"/>
    </row>
    <row r="126" spans="1:38" ht="12.75">
      <c r="A126" s="3" t="s">
        <v>396</v>
      </c>
      <c r="B126" s="3"/>
      <c r="C126" s="3" t="s">
        <v>394</v>
      </c>
      <c r="D126" s="3" t="s">
        <v>397</v>
      </c>
      <c r="E126" s="3" t="s">
        <v>140</v>
      </c>
      <c r="F126" s="34">
        <v>47.3</v>
      </c>
      <c r="G126" s="34"/>
      <c r="H126" s="34">
        <f t="shared" si="30"/>
        <v>0</v>
      </c>
      <c r="I126" s="34">
        <f t="shared" si="31"/>
        <v>0</v>
      </c>
      <c r="J126" s="34">
        <f t="shared" si="32"/>
        <v>0</v>
      </c>
      <c r="K126" s="34">
        <v>0.00028</v>
      </c>
      <c r="L126" s="34">
        <v>0</v>
      </c>
      <c r="N126" s="35" t="s">
        <v>81</v>
      </c>
      <c r="O126" s="34">
        <f t="shared" si="34"/>
        <v>0</v>
      </c>
      <c r="Z126" s="34">
        <f t="shared" si="35"/>
        <v>0</v>
      </c>
      <c r="AA126" s="34">
        <f t="shared" si="36"/>
        <v>0</v>
      </c>
      <c r="AB126" s="34">
        <f t="shared" si="37"/>
        <v>0</v>
      </c>
      <c r="AD126" s="34">
        <v>14</v>
      </c>
      <c r="AE126" s="34">
        <f>G126*0.0362368936513423</f>
        <v>0</v>
      </c>
      <c r="AF126" s="34">
        <f>G126*(1-0.0362368936513423)</f>
        <v>0</v>
      </c>
      <c r="AL126" s="34"/>
    </row>
    <row r="127" spans="1:38" ht="12.75">
      <c r="A127" s="3" t="s">
        <v>398</v>
      </c>
      <c r="B127" s="3"/>
      <c r="C127" s="3" t="s">
        <v>399</v>
      </c>
      <c r="D127" s="3" t="s">
        <v>400</v>
      </c>
      <c r="E127" s="3" t="s">
        <v>140</v>
      </c>
      <c r="F127" s="34">
        <v>58.3</v>
      </c>
      <c r="G127" s="34"/>
      <c r="H127" s="34">
        <f t="shared" si="30"/>
        <v>0</v>
      </c>
      <c r="I127" s="34">
        <f t="shared" si="31"/>
        <v>0</v>
      </c>
      <c r="J127" s="34">
        <f t="shared" si="32"/>
        <v>0</v>
      </c>
      <c r="K127" s="34">
        <v>0.0003</v>
      </c>
      <c r="L127" s="34">
        <v>0</v>
      </c>
      <c r="N127" s="35" t="s">
        <v>81</v>
      </c>
      <c r="O127" s="34">
        <f t="shared" si="34"/>
        <v>0</v>
      </c>
      <c r="Z127" s="34">
        <f t="shared" si="35"/>
        <v>0</v>
      </c>
      <c r="AA127" s="34">
        <f t="shared" si="36"/>
        <v>0</v>
      </c>
      <c r="AB127" s="34">
        <f t="shared" si="37"/>
        <v>0</v>
      </c>
      <c r="AD127" s="34">
        <v>14</v>
      </c>
      <c r="AE127" s="34">
        <f>G127*0.0336197798884366</f>
        <v>0</v>
      </c>
      <c r="AF127" s="34">
        <f>G127*(1-0.0336197798884366)</f>
        <v>0</v>
      </c>
      <c r="AL127" s="34"/>
    </row>
    <row r="128" spans="1:38" ht="12.75">
      <c r="A128" s="3" t="s">
        <v>401</v>
      </c>
      <c r="B128" s="3"/>
      <c r="C128" s="3" t="s">
        <v>399</v>
      </c>
      <c r="D128" s="3" t="s">
        <v>402</v>
      </c>
      <c r="E128" s="3" t="s">
        <v>140</v>
      </c>
      <c r="F128" s="34">
        <v>45.1</v>
      </c>
      <c r="G128" s="34"/>
      <c r="H128" s="34">
        <f t="shared" si="30"/>
        <v>0</v>
      </c>
      <c r="I128" s="34">
        <f t="shared" si="31"/>
        <v>0</v>
      </c>
      <c r="J128" s="34">
        <f t="shared" si="32"/>
        <v>0</v>
      </c>
      <c r="K128" s="34">
        <v>0.0003</v>
      </c>
      <c r="L128" s="34">
        <v>0</v>
      </c>
      <c r="N128" s="35" t="s">
        <v>81</v>
      </c>
      <c r="O128" s="34">
        <f t="shared" si="34"/>
        <v>0</v>
      </c>
      <c r="Z128" s="34">
        <f t="shared" si="35"/>
        <v>0</v>
      </c>
      <c r="AA128" s="34">
        <f t="shared" si="36"/>
        <v>0</v>
      </c>
      <c r="AB128" s="34">
        <f t="shared" si="37"/>
        <v>0</v>
      </c>
      <c r="AD128" s="34">
        <v>14</v>
      </c>
      <c r="AE128" s="34">
        <f>G128*0.0336197798884366</f>
        <v>0</v>
      </c>
      <c r="AF128" s="34">
        <f>G128*(1-0.0336197798884366)</f>
        <v>0</v>
      </c>
      <c r="AL128" s="34"/>
    </row>
    <row r="129" spans="1:38" ht="12.75">
      <c r="A129" s="3" t="s">
        <v>403</v>
      </c>
      <c r="B129" s="3"/>
      <c r="C129" s="3" t="s">
        <v>404</v>
      </c>
      <c r="D129" s="3" t="s">
        <v>405</v>
      </c>
      <c r="E129" s="3" t="s">
        <v>140</v>
      </c>
      <c r="F129" s="34">
        <v>13.2</v>
      </c>
      <c r="G129" s="34"/>
      <c r="H129" s="34">
        <f t="shared" si="30"/>
        <v>0</v>
      </c>
      <c r="I129" s="34">
        <f t="shared" si="31"/>
        <v>0</v>
      </c>
      <c r="J129" s="34">
        <f t="shared" si="32"/>
        <v>0</v>
      </c>
      <c r="K129" s="34">
        <v>0.0003</v>
      </c>
      <c r="L129" s="34">
        <f t="shared" si="33"/>
        <v>0.003959999999999999</v>
      </c>
      <c r="N129" s="35" t="s">
        <v>81</v>
      </c>
      <c r="O129" s="34">
        <f t="shared" si="34"/>
        <v>0</v>
      </c>
      <c r="Z129" s="34">
        <f t="shared" si="35"/>
        <v>0</v>
      </c>
      <c r="AA129" s="34">
        <f t="shared" si="36"/>
        <v>0</v>
      </c>
      <c r="AB129" s="34">
        <f t="shared" si="37"/>
        <v>0</v>
      </c>
      <c r="AD129" s="34">
        <v>14</v>
      </c>
      <c r="AE129" s="34">
        <f>G129*0.0276743608835939</f>
        <v>0</v>
      </c>
      <c r="AF129" s="34">
        <f>G129*(1-0.0276743608835939)</f>
        <v>0</v>
      </c>
      <c r="AL129" s="34"/>
    </row>
    <row r="130" spans="1:38" ht="12.75">
      <c r="A130" s="3" t="s">
        <v>406</v>
      </c>
      <c r="B130" s="3"/>
      <c r="C130" s="3" t="s">
        <v>407</v>
      </c>
      <c r="D130" s="3" t="s">
        <v>408</v>
      </c>
      <c r="E130" s="3" t="s">
        <v>111</v>
      </c>
      <c r="F130" s="34">
        <v>45</v>
      </c>
      <c r="G130" s="34"/>
      <c r="H130" s="34">
        <f t="shared" si="30"/>
        <v>0</v>
      </c>
      <c r="I130" s="34">
        <f t="shared" si="31"/>
        <v>0</v>
      </c>
      <c r="J130" s="34">
        <f t="shared" si="32"/>
        <v>0</v>
      </c>
      <c r="K130" s="34">
        <v>0</v>
      </c>
      <c r="L130" s="34">
        <f t="shared" si="33"/>
        <v>0</v>
      </c>
      <c r="N130" s="35" t="s">
        <v>81</v>
      </c>
      <c r="O130" s="34">
        <f t="shared" si="34"/>
        <v>0</v>
      </c>
      <c r="Z130" s="34">
        <f t="shared" si="35"/>
        <v>0</v>
      </c>
      <c r="AA130" s="34">
        <f t="shared" si="36"/>
        <v>0</v>
      </c>
      <c r="AB130" s="34">
        <f t="shared" si="37"/>
        <v>0</v>
      </c>
      <c r="AD130" s="34">
        <v>14</v>
      </c>
      <c r="AE130" s="34">
        <f>G130*0</f>
        <v>0</v>
      </c>
      <c r="AF130" s="34">
        <f>G130*(1-0)</f>
        <v>0</v>
      </c>
      <c r="AL130" s="34"/>
    </row>
    <row r="131" spans="1:38" ht="12.75">
      <c r="A131" s="3" t="s">
        <v>409</v>
      </c>
      <c r="B131" s="3"/>
      <c r="C131" s="3" t="s">
        <v>407</v>
      </c>
      <c r="D131" s="3" t="s">
        <v>410</v>
      </c>
      <c r="E131" s="3" t="s">
        <v>111</v>
      </c>
      <c r="F131" s="34">
        <v>7</v>
      </c>
      <c r="G131" s="34"/>
      <c r="H131" s="34">
        <f t="shared" si="30"/>
        <v>0</v>
      </c>
      <c r="I131" s="34">
        <f t="shared" si="31"/>
        <v>0</v>
      </c>
      <c r="J131" s="34">
        <f t="shared" si="32"/>
        <v>0</v>
      </c>
      <c r="K131" s="34">
        <v>0</v>
      </c>
      <c r="L131" s="34">
        <f t="shared" si="33"/>
        <v>0</v>
      </c>
      <c r="N131" s="35" t="s">
        <v>81</v>
      </c>
      <c r="O131" s="34">
        <f t="shared" si="34"/>
        <v>0</v>
      </c>
      <c r="Z131" s="34">
        <f t="shared" si="35"/>
        <v>0</v>
      </c>
      <c r="AA131" s="34">
        <f t="shared" si="36"/>
        <v>0</v>
      </c>
      <c r="AB131" s="34">
        <f t="shared" si="37"/>
        <v>0</v>
      </c>
      <c r="AD131" s="34">
        <v>14</v>
      </c>
      <c r="AE131" s="34">
        <f>G131*0</f>
        <v>0</v>
      </c>
      <c r="AF131" s="34">
        <f>G131*(1-0)</f>
        <v>0</v>
      </c>
      <c r="AL131" s="34"/>
    </row>
    <row r="132" spans="1:38" ht="12.75">
      <c r="A132" s="3" t="s">
        <v>411</v>
      </c>
      <c r="B132" s="3"/>
      <c r="C132" s="3" t="s">
        <v>412</v>
      </c>
      <c r="D132" s="3" t="s">
        <v>413</v>
      </c>
      <c r="E132" s="3" t="s">
        <v>111</v>
      </c>
      <c r="F132" s="34">
        <v>7</v>
      </c>
      <c r="G132" s="34"/>
      <c r="H132" s="34">
        <f t="shared" si="30"/>
        <v>0</v>
      </c>
      <c r="I132" s="34">
        <f t="shared" si="31"/>
        <v>0</v>
      </c>
      <c r="J132" s="34">
        <f t="shared" si="32"/>
        <v>0</v>
      </c>
      <c r="K132" s="34">
        <v>0</v>
      </c>
      <c r="L132" s="34">
        <f t="shared" si="33"/>
        <v>0</v>
      </c>
      <c r="N132" s="35" t="s">
        <v>81</v>
      </c>
      <c r="O132" s="34">
        <f t="shared" si="34"/>
        <v>0</v>
      </c>
      <c r="Z132" s="34">
        <f t="shared" si="35"/>
        <v>0</v>
      </c>
      <c r="AA132" s="34">
        <f t="shared" si="36"/>
        <v>0</v>
      </c>
      <c r="AB132" s="34">
        <f t="shared" si="37"/>
        <v>0</v>
      </c>
      <c r="AD132" s="34">
        <v>14</v>
      </c>
      <c r="AE132" s="34">
        <f>G132*0</f>
        <v>0</v>
      </c>
      <c r="AF132" s="34">
        <f>G132*(1-0)</f>
        <v>0</v>
      </c>
      <c r="AL132" s="34"/>
    </row>
    <row r="133" spans="1:38" ht="12.75">
      <c r="A133" s="3" t="s">
        <v>414</v>
      </c>
      <c r="B133" s="3"/>
      <c r="C133" s="3" t="s">
        <v>415</v>
      </c>
      <c r="D133" s="3" t="s">
        <v>416</v>
      </c>
      <c r="E133" s="3" t="s">
        <v>111</v>
      </c>
      <c r="F133" s="34">
        <v>3</v>
      </c>
      <c r="G133" s="34"/>
      <c r="H133" s="34">
        <f t="shared" si="30"/>
        <v>0</v>
      </c>
      <c r="I133" s="34">
        <f t="shared" si="31"/>
        <v>0</v>
      </c>
      <c r="J133" s="34">
        <f t="shared" si="32"/>
        <v>0</v>
      </c>
      <c r="K133" s="34">
        <v>0</v>
      </c>
      <c r="L133" s="34">
        <f t="shared" si="33"/>
        <v>0</v>
      </c>
      <c r="N133" s="35" t="s">
        <v>81</v>
      </c>
      <c r="O133" s="34">
        <f t="shared" si="34"/>
        <v>0</v>
      </c>
      <c r="Z133" s="34">
        <f t="shared" si="35"/>
        <v>0</v>
      </c>
      <c r="AA133" s="34">
        <f t="shared" si="36"/>
        <v>0</v>
      </c>
      <c r="AB133" s="34">
        <f t="shared" si="37"/>
        <v>0</v>
      </c>
      <c r="AD133" s="34">
        <v>14</v>
      </c>
      <c r="AE133" s="34">
        <f>G133*0</f>
        <v>0</v>
      </c>
      <c r="AF133" s="34">
        <f>G133*(1-0)</f>
        <v>0</v>
      </c>
      <c r="AL133" s="34"/>
    </row>
    <row r="134" spans="1:38" ht="12.75">
      <c r="A134" s="3" t="s">
        <v>417</v>
      </c>
      <c r="B134" s="3"/>
      <c r="C134" s="3" t="s">
        <v>418</v>
      </c>
      <c r="D134" s="3" t="s">
        <v>419</v>
      </c>
      <c r="E134" s="3" t="s">
        <v>140</v>
      </c>
      <c r="F134" s="34">
        <v>220</v>
      </c>
      <c r="G134" s="34"/>
      <c r="H134" s="34">
        <f t="shared" si="30"/>
        <v>0</v>
      </c>
      <c r="I134" s="34">
        <f t="shared" si="31"/>
        <v>0</v>
      </c>
      <c r="J134" s="34">
        <f t="shared" si="32"/>
        <v>0</v>
      </c>
      <c r="K134" s="34">
        <v>0.04334</v>
      </c>
      <c r="L134" s="34">
        <v>0</v>
      </c>
      <c r="N134" s="35" t="s">
        <v>88</v>
      </c>
      <c r="O134" s="34">
        <f t="shared" si="34"/>
        <v>0</v>
      </c>
      <c r="Z134" s="34">
        <f t="shared" si="35"/>
        <v>0</v>
      </c>
      <c r="AA134" s="34">
        <f t="shared" si="36"/>
        <v>0</v>
      </c>
      <c r="AB134" s="34">
        <f t="shared" si="37"/>
        <v>0</v>
      </c>
      <c r="AD134" s="34">
        <v>14</v>
      </c>
      <c r="AE134" s="34">
        <f>G134*0.050354193926815</f>
        <v>0</v>
      </c>
      <c r="AF134" s="34">
        <f>G134*(1-0.050354193926815)</f>
        <v>0</v>
      </c>
      <c r="AL134" s="34"/>
    </row>
    <row r="135" spans="1:38" ht="12.75">
      <c r="A135" s="3" t="s">
        <v>420</v>
      </c>
      <c r="B135" s="3"/>
      <c r="C135" s="3" t="s">
        <v>421</v>
      </c>
      <c r="D135" s="3" t="s">
        <v>422</v>
      </c>
      <c r="E135" s="3" t="s">
        <v>111</v>
      </c>
      <c r="F135" s="34">
        <v>1</v>
      </c>
      <c r="G135" s="34"/>
      <c r="H135" s="34">
        <f t="shared" si="30"/>
        <v>0</v>
      </c>
      <c r="I135" s="34">
        <f t="shared" si="31"/>
        <v>0</v>
      </c>
      <c r="J135" s="34">
        <f t="shared" si="32"/>
        <v>0</v>
      </c>
      <c r="K135" s="34">
        <v>0.00019</v>
      </c>
      <c r="L135" s="34">
        <f t="shared" si="33"/>
        <v>0.00019</v>
      </c>
      <c r="N135" s="35" t="s">
        <v>81</v>
      </c>
      <c r="O135" s="34">
        <f t="shared" si="34"/>
        <v>0</v>
      </c>
      <c r="Z135" s="34">
        <f t="shared" si="35"/>
        <v>0</v>
      </c>
      <c r="AA135" s="34">
        <f t="shared" si="36"/>
        <v>0</v>
      </c>
      <c r="AB135" s="34">
        <f t="shared" si="37"/>
        <v>0</v>
      </c>
      <c r="AD135" s="34">
        <v>14</v>
      </c>
      <c r="AE135" s="34">
        <f>G135*0.827792424924442</f>
        <v>0</v>
      </c>
      <c r="AF135" s="34">
        <f>G135*(1-0.827792424924442)</f>
        <v>0</v>
      </c>
      <c r="AL135" s="34"/>
    </row>
    <row r="136" spans="1:38" ht="12.75">
      <c r="A136" s="3" t="s">
        <v>423</v>
      </c>
      <c r="B136" s="3"/>
      <c r="C136" s="3" t="s">
        <v>424</v>
      </c>
      <c r="D136" s="3" t="s">
        <v>425</v>
      </c>
      <c r="E136" s="3" t="s">
        <v>111</v>
      </c>
      <c r="F136" s="34">
        <v>1</v>
      </c>
      <c r="G136" s="34"/>
      <c r="H136" s="34">
        <f t="shared" si="30"/>
        <v>0</v>
      </c>
      <c r="I136" s="34">
        <f t="shared" si="31"/>
        <v>0</v>
      </c>
      <c r="J136" s="34">
        <f t="shared" si="32"/>
        <v>0</v>
      </c>
      <c r="K136" s="34">
        <v>0.0003400000000000001</v>
      </c>
      <c r="L136" s="34">
        <f t="shared" si="33"/>
        <v>0.0003400000000000001</v>
      </c>
      <c r="N136" s="35" t="s">
        <v>81</v>
      </c>
      <c r="O136" s="34">
        <f t="shared" si="34"/>
        <v>0</v>
      </c>
      <c r="Z136" s="34">
        <f t="shared" si="35"/>
        <v>0</v>
      </c>
      <c r="AA136" s="34">
        <f t="shared" si="36"/>
        <v>0</v>
      </c>
      <c r="AB136" s="34">
        <f t="shared" si="37"/>
        <v>0</v>
      </c>
      <c r="AD136" s="34">
        <v>14</v>
      </c>
      <c r="AE136" s="34">
        <f>G136*0.838315157402093</f>
        <v>0</v>
      </c>
      <c r="AF136" s="34">
        <f>G136*(1-0.838315157402093)</f>
        <v>0</v>
      </c>
      <c r="AL136" s="34"/>
    </row>
    <row r="137" spans="1:38" ht="12.75">
      <c r="A137" s="3" t="s">
        <v>426</v>
      </c>
      <c r="B137" s="3"/>
      <c r="C137" s="3" t="s">
        <v>424</v>
      </c>
      <c r="D137" s="3" t="s">
        <v>427</v>
      </c>
      <c r="E137" s="3" t="s">
        <v>111</v>
      </c>
      <c r="F137" s="34">
        <v>1</v>
      </c>
      <c r="G137" s="34"/>
      <c r="H137" s="34">
        <f t="shared" si="30"/>
        <v>0</v>
      </c>
      <c r="I137" s="34">
        <f t="shared" si="31"/>
        <v>0</v>
      </c>
      <c r="J137" s="34">
        <f t="shared" si="32"/>
        <v>0</v>
      </c>
      <c r="K137" s="34">
        <v>0.0003400000000000001</v>
      </c>
      <c r="L137" s="34">
        <f t="shared" si="33"/>
        <v>0.0003400000000000001</v>
      </c>
      <c r="N137" s="35" t="s">
        <v>81</v>
      </c>
      <c r="O137" s="34">
        <f t="shared" si="34"/>
        <v>0</v>
      </c>
      <c r="Z137" s="34">
        <f t="shared" si="35"/>
        <v>0</v>
      </c>
      <c r="AA137" s="34">
        <f t="shared" si="36"/>
        <v>0</v>
      </c>
      <c r="AB137" s="34">
        <f t="shared" si="37"/>
        <v>0</v>
      </c>
      <c r="AD137" s="34">
        <v>14</v>
      </c>
      <c r="AE137" s="34">
        <f>G137*0.838315157402093</f>
        <v>0</v>
      </c>
      <c r="AF137" s="34">
        <f>G137*(1-0.838315157402093)</f>
        <v>0</v>
      </c>
      <c r="AL137" s="34"/>
    </row>
    <row r="138" spans="1:38" ht="12.75">
      <c r="A138" s="3" t="s">
        <v>428</v>
      </c>
      <c r="B138" s="3"/>
      <c r="C138" s="3" t="s">
        <v>429</v>
      </c>
      <c r="D138" s="3" t="s">
        <v>430</v>
      </c>
      <c r="E138" s="3" t="s">
        <v>111</v>
      </c>
      <c r="F138" s="34">
        <v>1</v>
      </c>
      <c r="G138" s="34"/>
      <c r="H138" s="34">
        <f t="shared" si="30"/>
        <v>0</v>
      </c>
      <c r="I138" s="34">
        <f t="shared" si="31"/>
        <v>0</v>
      </c>
      <c r="J138" s="34">
        <f t="shared" si="32"/>
        <v>0</v>
      </c>
      <c r="K138" s="34">
        <v>0.00055</v>
      </c>
      <c r="L138" s="34">
        <f t="shared" si="33"/>
        <v>0.00055</v>
      </c>
      <c r="N138" s="35" t="s">
        <v>81</v>
      </c>
      <c r="O138" s="34">
        <f t="shared" si="34"/>
        <v>0</v>
      </c>
      <c r="Z138" s="34">
        <f t="shared" si="35"/>
        <v>0</v>
      </c>
      <c r="AA138" s="34">
        <f t="shared" si="36"/>
        <v>0</v>
      </c>
      <c r="AB138" s="34">
        <f t="shared" si="37"/>
        <v>0</v>
      </c>
      <c r="AD138" s="34">
        <v>14</v>
      </c>
      <c r="AE138" s="34">
        <f>G138*0.870162315805221</f>
        <v>0</v>
      </c>
      <c r="AF138" s="34">
        <f>G138*(1-0.870162315805221)</f>
        <v>0</v>
      </c>
      <c r="AL138" s="34"/>
    </row>
    <row r="139" spans="1:38" ht="12.75">
      <c r="A139" s="3" t="s">
        <v>431</v>
      </c>
      <c r="B139" s="3"/>
      <c r="C139" s="3" t="s">
        <v>432</v>
      </c>
      <c r="D139" s="3" t="s">
        <v>433</v>
      </c>
      <c r="E139" s="3" t="s">
        <v>111</v>
      </c>
      <c r="F139" s="34">
        <v>2</v>
      </c>
      <c r="G139" s="34"/>
      <c r="H139" s="34">
        <f t="shared" si="30"/>
        <v>0</v>
      </c>
      <c r="I139" s="34">
        <f t="shared" si="31"/>
        <v>0</v>
      </c>
      <c r="J139" s="34">
        <f t="shared" si="32"/>
        <v>0</v>
      </c>
      <c r="K139" s="34">
        <v>0.0010600000000000002</v>
      </c>
      <c r="L139" s="34">
        <f t="shared" si="33"/>
        <v>0.0021200000000000004</v>
      </c>
      <c r="N139" s="35" t="s">
        <v>81</v>
      </c>
      <c r="O139" s="34">
        <f t="shared" si="34"/>
        <v>0</v>
      </c>
      <c r="Z139" s="34">
        <f t="shared" si="35"/>
        <v>0</v>
      </c>
      <c r="AA139" s="34">
        <f t="shared" si="36"/>
        <v>0</v>
      </c>
      <c r="AB139" s="34">
        <f t="shared" si="37"/>
        <v>0</v>
      </c>
      <c r="AD139" s="34">
        <v>14</v>
      </c>
      <c r="AE139" s="34">
        <f>G139*0.88378454141572</f>
        <v>0</v>
      </c>
      <c r="AF139" s="34">
        <f>G139*(1-0.88378454141572)</f>
        <v>0</v>
      </c>
      <c r="AL139" s="34"/>
    </row>
    <row r="140" spans="1:38" ht="12.75">
      <c r="A140" s="3" t="s">
        <v>434</v>
      </c>
      <c r="B140" s="3"/>
      <c r="C140" s="3" t="s">
        <v>435</v>
      </c>
      <c r="D140" s="3" t="s">
        <v>436</v>
      </c>
      <c r="E140" s="3" t="s">
        <v>111</v>
      </c>
      <c r="F140" s="34">
        <v>45</v>
      </c>
      <c r="G140" s="34"/>
      <c r="H140" s="34">
        <f t="shared" si="30"/>
        <v>0</v>
      </c>
      <c r="I140" s="34">
        <f t="shared" si="31"/>
        <v>0</v>
      </c>
      <c r="J140" s="34">
        <f t="shared" si="32"/>
        <v>0</v>
      </c>
      <c r="K140" s="34">
        <v>2E-05</v>
      </c>
      <c r="L140" s="34">
        <f t="shared" si="33"/>
        <v>0.0009000000000000001</v>
      </c>
      <c r="N140" s="35" t="s">
        <v>81</v>
      </c>
      <c r="O140" s="34">
        <f t="shared" si="34"/>
        <v>0</v>
      </c>
      <c r="Z140" s="34">
        <f t="shared" si="35"/>
        <v>0</v>
      </c>
      <c r="AA140" s="34">
        <f t="shared" si="36"/>
        <v>0</v>
      </c>
      <c r="AB140" s="34">
        <f t="shared" si="37"/>
        <v>0</v>
      </c>
      <c r="AD140" s="34">
        <v>14</v>
      </c>
      <c r="AE140" s="34">
        <f>G140*0.0568644818423383</f>
        <v>0</v>
      </c>
      <c r="AF140" s="34">
        <f>G140*(1-0.0568644818423383)</f>
        <v>0</v>
      </c>
      <c r="AL140" s="34"/>
    </row>
    <row r="141" spans="1:38" ht="12.75">
      <c r="A141" s="3" t="s">
        <v>437</v>
      </c>
      <c r="B141" s="3"/>
      <c r="C141" s="3" t="s">
        <v>435</v>
      </c>
      <c r="D141" s="3" t="s">
        <v>438</v>
      </c>
      <c r="E141" s="3" t="s">
        <v>111</v>
      </c>
      <c r="F141" s="34">
        <v>1</v>
      </c>
      <c r="G141" s="34"/>
      <c r="H141" s="34">
        <f t="shared" si="30"/>
        <v>0</v>
      </c>
      <c r="I141" s="34">
        <f t="shared" si="31"/>
        <v>0</v>
      </c>
      <c r="J141" s="34">
        <f t="shared" si="32"/>
        <v>0</v>
      </c>
      <c r="K141" s="34">
        <v>0</v>
      </c>
      <c r="L141" s="34">
        <f t="shared" si="33"/>
        <v>0</v>
      </c>
      <c r="N141" s="35" t="s">
        <v>81</v>
      </c>
      <c r="O141" s="34">
        <f t="shared" si="34"/>
        <v>0</v>
      </c>
      <c r="Z141" s="34">
        <f t="shared" si="35"/>
        <v>0</v>
      </c>
      <c r="AA141" s="34">
        <f t="shared" si="36"/>
        <v>0</v>
      </c>
      <c r="AB141" s="34">
        <f t="shared" si="37"/>
        <v>0</v>
      </c>
      <c r="AD141" s="34">
        <v>14</v>
      </c>
      <c r="AE141" s="34">
        <f>G141*0.0568644818423383</f>
        <v>0</v>
      </c>
      <c r="AF141" s="34">
        <f>G141*(1-0.0568644818423383)</f>
        <v>0</v>
      </c>
      <c r="AL141" s="34"/>
    </row>
    <row r="142" spans="1:38" ht="12.75">
      <c r="A142" s="3" t="s">
        <v>439</v>
      </c>
      <c r="B142" s="3"/>
      <c r="C142" s="3" t="s">
        <v>440</v>
      </c>
      <c r="D142" s="3" t="s">
        <v>441</v>
      </c>
      <c r="E142" s="3" t="s">
        <v>111</v>
      </c>
      <c r="F142" s="34">
        <v>77</v>
      </c>
      <c r="G142" s="34"/>
      <c r="H142" s="34">
        <f t="shared" si="30"/>
        <v>0</v>
      </c>
      <c r="I142" s="34">
        <f t="shared" si="31"/>
        <v>0</v>
      </c>
      <c r="J142" s="34">
        <f t="shared" si="32"/>
        <v>0</v>
      </c>
      <c r="K142" s="34">
        <v>2E-05</v>
      </c>
      <c r="L142" s="34">
        <f t="shared" si="33"/>
        <v>0.0015400000000000001</v>
      </c>
      <c r="N142" s="35" t="s">
        <v>81</v>
      </c>
      <c r="O142" s="34">
        <f t="shared" si="34"/>
        <v>0</v>
      </c>
      <c r="Z142" s="34">
        <f t="shared" si="35"/>
        <v>0</v>
      </c>
      <c r="AA142" s="34">
        <f t="shared" si="36"/>
        <v>0</v>
      </c>
      <c r="AB142" s="34">
        <f t="shared" si="37"/>
        <v>0</v>
      </c>
      <c r="AD142" s="34">
        <v>14</v>
      </c>
      <c r="AE142" s="34">
        <f>G142*0.0602307908809457</f>
        <v>0</v>
      </c>
      <c r="AF142" s="34">
        <f>G142*(1-0.0602307908809457)</f>
        <v>0</v>
      </c>
      <c r="AL142" s="34"/>
    </row>
    <row r="143" spans="1:38" ht="12.75">
      <c r="A143" s="3" t="s">
        <v>442</v>
      </c>
      <c r="B143" s="3"/>
      <c r="C143" s="3" t="s">
        <v>440</v>
      </c>
      <c r="D143" s="3" t="s">
        <v>443</v>
      </c>
      <c r="E143" s="3" t="s">
        <v>111</v>
      </c>
      <c r="F143" s="34">
        <v>11</v>
      </c>
      <c r="G143" s="34"/>
      <c r="H143" s="34">
        <f t="shared" si="30"/>
        <v>0</v>
      </c>
      <c r="I143" s="34">
        <f t="shared" si="31"/>
        <v>0</v>
      </c>
      <c r="J143" s="34">
        <f t="shared" si="32"/>
        <v>0</v>
      </c>
      <c r="K143" s="34">
        <v>0</v>
      </c>
      <c r="L143" s="34">
        <f t="shared" si="33"/>
        <v>0</v>
      </c>
      <c r="N143" s="35" t="s">
        <v>81</v>
      </c>
      <c r="O143" s="34">
        <f t="shared" si="34"/>
        <v>0</v>
      </c>
      <c r="Z143" s="34">
        <f t="shared" si="35"/>
        <v>0</v>
      </c>
      <c r="AA143" s="34">
        <f t="shared" si="36"/>
        <v>0</v>
      </c>
      <c r="AB143" s="34">
        <f t="shared" si="37"/>
        <v>0</v>
      </c>
      <c r="AD143" s="34">
        <v>14</v>
      </c>
      <c r="AE143" s="34">
        <f>G143*0.0602307908809457</f>
        <v>0</v>
      </c>
      <c r="AF143" s="34">
        <f>G143*(1-0.0602307908809457)</f>
        <v>0</v>
      </c>
      <c r="AL143" s="34"/>
    </row>
    <row r="144" spans="1:38" ht="12.75">
      <c r="A144" s="3" t="s">
        <v>444</v>
      </c>
      <c r="B144" s="3"/>
      <c r="C144" s="3" t="s">
        <v>445</v>
      </c>
      <c r="D144" s="3" t="s">
        <v>446</v>
      </c>
      <c r="E144" s="3" t="s">
        <v>111</v>
      </c>
      <c r="F144" s="34">
        <v>7</v>
      </c>
      <c r="G144" s="34"/>
      <c r="H144" s="34">
        <f t="shared" si="30"/>
        <v>0</v>
      </c>
      <c r="I144" s="34">
        <f t="shared" si="31"/>
        <v>0</v>
      </c>
      <c r="J144" s="34">
        <f t="shared" si="32"/>
        <v>0</v>
      </c>
      <c r="K144" s="34">
        <v>2E-05</v>
      </c>
      <c r="L144" s="34">
        <f t="shared" si="33"/>
        <v>0.00014000000000000001</v>
      </c>
      <c r="N144" s="35" t="s">
        <v>81</v>
      </c>
      <c r="O144" s="34">
        <f t="shared" si="34"/>
        <v>0</v>
      </c>
      <c r="Z144" s="34">
        <f t="shared" si="35"/>
        <v>0</v>
      </c>
      <c r="AA144" s="34">
        <f t="shared" si="36"/>
        <v>0</v>
      </c>
      <c r="AB144" s="34">
        <f t="shared" si="37"/>
        <v>0</v>
      </c>
      <c r="AD144" s="34">
        <v>14</v>
      </c>
      <c r="AE144" s="34">
        <f>G144*0.0804770872567483</f>
        <v>0</v>
      </c>
      <c r="AF144" s="34">
        <f>G144*(1-0.0804770872567483)</f>
        <v>0</v>
      </c>
      <c r="AL144" s="34"/>
    </row>
    <row r="145" spans="1:38" ht="12.75">
      <c r="A145" s="3" t="s">
        <v>447</v>
      </c>
      <c r="B145" s="3"/>
      <c r="C145" s="3" t="s">
        <v>445</v>
      </c>
      <c r="D145" s="3" t="s">
        <v>448</v>
      </c>
      <c r="E145" s="3" t="s">
        <v>111</v>
      </c>
      <c r="F145" s="34">
        <v>4</v>
      </c>
      <c r="G145" s="34"/>
      <c r="H145" s="34">
        <f t="shared" si="30"/>
        <v>0</v>
      </c>
      <c r="I145" s="34">
        <f t="shared" si="31"/>
        <v>0</v>
      </c>
      <c r="J145" s="34">
        <f t="shared" si="32"/>
        <v>0</v>
      </c>
      <c r="K145" s="34">
        <v>0</v>
      </c>
      <c r="L145" s="34">
        <f t="shared" si="33"/>
        <v>0</v>
      </c>
      <c r="N145" s="35" t="s">
        <v>81</v>
      </c>
      <c r="O145" s="34">
        <f t="shared" si="34"/>
        <v>0</v>
      </c>
      <c r="Z145" s="34">
        <f t="shared" si="35"/>
        <v>0</v>
      </c>
      <c r="AA145" s="34">
        <f t="shared" si="36"/>
        <v>0</v>
      </c>
      <c r="AB145" s="34">
        <f t="shared" si="37"/>
        <v>0</v>
      </c>
      <c r="AD145" s="34">
        <v>14</v>
      </c>
      <c r="AE145" s="34">
        <f>G145*0.0804770872567483</f>
        <v>0</v>
      </c>
      <c r="AF145" s="34">
        <f>G145*(1-0.0804770872567483)</f>
        <v>0</v>
      </c>
      <c r="AL145" s="34"/>
    </row>
    <row r="146" spans="1:38" ht="12.75">
      <c r="A146" s="3" t="s">
        <v>449</v>
      </c>
      <c r="B146" s="3"/>
      <c r="C146" s="3" t="s">
        <v>450</v>
      </c>
      <c r="D146" s="3" t="s">
        <v>451</v>
      </c>
      <c r="E146" s="3" t="s">
        <v>111</v>
      </c>
      <c r="F146" s="34">
        <v>1</v>
      </c>
      <c r="G146" s="34"/>
      <c r="H146" s="34">
        <f t="shared" si="30"/>
        <v>0</v>
      </c>
      <c r="I146" s="34">
        <f t="shared" si="31"/>
        <v>0</v>
      </c>
      <c r="J146" s="34">
        <f t="shared" si="32"/>
        <v>0</v>
      </c>
      <c r="K146" s="34">
        <v>0</v>
      </c>
      <c r="L146" s="34">
        <f t="shared" si="33"/>
        <v>0</v>
      </c>
      <c r="N146" s="35" t="s">
        <v>81</v>
      </c>
      <c r="O146" s="34">
        <f t="shared" si="34"/>
        <v>0</v>
      </c>
      <c r="Z146" s="34">
        <f t="shared" si="35"/>
        <v>0</v>
      </c>
      <c r="AA146" s="34">
        <f t="shared" si="36"/>
        <v>0</v>
      </c>
      <c r="AB146" s="34">
        <f t="shared" si="37"/>
        <v>0</v>
      </c>
      <c r="AD146" s="34">
        <v>14</v>
      </c>
      <c r="AE146" s="34">
        <f>G146*0.0896790434235368</f>
        <v>0</v>
      </c>
      <c r="AF146" s="34">
        <f>G146*(1-0.0896790434235368)</f>
        <v>0</v>
      </c>
      <c r="AL146" s="34"/>
    </row>
    <row r="147" spans="1:38" ht="12.75">
      <c r="A147" s="3" t="s">
        <v>452</v>
      </c>
      <c r="B147" s="3"/>
      <c r="C147" s="3" t="s">
        <v>450</v>
      </c>
      <c r="D147" s="3" t="s">
        <v>453</v>
      </c>
      <c r="E147" s="3" t="s">
        <v>111</v>
      </c>
      <c r="F147" s="34">
        <v>6</v>
      </c>
      <c r="G147" s="34"/>
      <c r="H147" s="34">
        <f t="shared" si="30"/>
        <v>0</v>
      </c>
      <c r="I147" s="34">
        <f t="shared" si="31"/>
        <v>0</v>
      </c>
      <c r="J147" s="34">
        <f t="shared" si="32"/>
        <v>0</v>
      </c>
      <c r="K147" s="34">
        <v>0</v>
      </c>
      <c r="L147" s="34">
        <f t="shared" si="33"/>
        <v>0</v>
      </c>
      <c r="N147" s="35" t="s">
        <v>81</v>
      </c>
      <c r="O147" s="34">
        <f t="shared" si="34"/>
        <v>0</v>
      </c>
      <c r="Z147" s="34">
        <f t="shared" si="35"/>
        <v>0</v>
      </c>
      <c r="AA147" s="34">
        <f t="shared" si="36"/>
        <v>0</v>
      </c>
      <c r="AB147" s="34">
        <f t="shared" si="37"/>
        <v>0</v>
      </c>
      <c r="AD147" s="34">
        <v>14</v>
      </c>
      <c r="AE147" s="34">
        <f>G147*0.0896790434235368</f>
        <v>0</v>
      </c>
      <c r="AF147" s="34">
        <f>G147*(1-0.0896790434235368)</f>
        <v>0</v>
      </c>
      <c r="AL147" s="34"/>
    </row>
    <row r="148" spans="1:38" ht="12.75">
      <c r="A148" s="3" t="s">
        <v>454</v>
      </c>
      <c r="B148" s="3"/>
      <c r="C148" s="3" t="s">
        <v>455</v>
      </c>
      <c r="D148" s="3" t="s">
        <v>456</v>
      </c>
      <c r="E148" s="3" t="s">
        <v>111</v>
      </c>
      <c r="F148" s="34">
        <v>5</v>
      </c>
      <c r="G148" s="34"/>
      <c r="H148" s="34">
        <f t="shared" si="30"/>
        <v>0</v>
      </c>
      <c r="I148" s="34">
        <f t="shared" si="31"/>
        <v>0</v>
      </c>
      <c r="J148" s="34">
        <f t="shared" si="32"/>
        <v>0</v>
      </c>
      <c r="K148" s="34">
        <v>0</v>
      </c>
      <c r="L148" s="34">
        <f t="shared" si="33"/>
        <v>0</v>
      </c>
      <c r="N148" s="35" t="s">
        <v>81</v>
      </c>
      <c r="O148" s="34">
        <f t="shared" si="34"/>
        <v>0</v>
      </c>
      <c r="Z148" s="34">
        <f t="shared" si="35"/>
        <v>0</v>
      </c>
      <c r="AA148" s="34">
        <f t="shared" si="36"/>
        <v>0</v>
      </c>
      <c r="AB148" s="34">
        <f t="shared" si="37"/>
        <v>0</v>
      </c>
      <c r="AD148" s="34">
        <v>14</v>
      </c>
      <c r="AE148" s="34">
        <f>G148*0.129208834574502</f>
        <v>0</v>
      </c>
      <c r="AF148" s="34">
        <f>G148*(1-0.129208834574502)</f>
        <v>0</v>
      </c>
      <c r="AL148" s="34"/>
    </row>
    <row r="149" spans="1:38" ht="12.75">
      <c r="A149" s="3" t="s">
        <v>457</v>
      </c>
      <c r="B149" s="3"/>
      <c r="C149" s="3" t="s">
        <v>458</v>
      </c>
      <c r="D149" s="3" t="s">
        <v>459</v>
      </c>
      <c r="E149" s="3" t="s">
        <v>460</v>
      </c>
      <c r="F149" s="34">
        <v>2</v>
      </c>
      <c r="G149" s="34"/>
      <c r="H149" s="34">
        <f t="shared" si="30"/>
        <v>0</v>
      </c>
      <c r="I149" s="34">
        <f t="shared" si="31"/>
        <v>0</v>
      </c>
      <c r="J149" s="34">
        <f t="shared" si="32"/>
        <v>0</v>
      </c>
      <c r="K149" s="34">
        <v>0</v>
      </c>
      <c r="L149" s="34">
        <f t="shared" si="33"/>
        <v>0</v>
      </c>
      <c r="N149" s="35" t="s">
        <v>81</v>
      </c>
      <c r="O149" s="34">
        <f t="shared" si="34"/>
        <v>0</v>
      </c>
      <c r="Z149" s="34">
        <f t="shared" si="35"/>
        <v>0</v>
      </c>
      <c r="AA149" s="34">
        <f t="shared" si="36"/>
        <v>0</v>
      </c>
      <c r="AB149" s="34">
        <f t="shared" si="37"/>
        <v>0</v>
      </c>
      <c r="AD149" s="34">
        <v>14</v>
      </c>
      <c r="AE149" s="34">
        <f>G149*0</f>
        <v>0</v>
      </c>
      <c r="AF149" s="34">
        <f>G149*(1-0)</f>
        <v>0</v>
      </c>
      <c r="AL149" s="34"/>
    </row>
    <row r="150" spans="1:38" ht="12.75">
      <c r="A150" s="3" t="s">
        <v>461</v>
      </c>
      <c r="B150" s="3"/>
      <c r="C150" s="3" t="s">
        <v>462</v>
      </c>
      <c r="D150" s="3" t="s">
        <v>463</v>
      </c>
      <c r="E150" s="3" t="s">
        <v>111</v>
      </c>
      <c r="F150" s="34">
        <v>1</v>
      </c>
      <c r="G150" s="34"/>
      <c r="H150" s="34">
        <f aca="true" t="shared" si="38" ref="H150:H161">ROUND(F150*AE150,2)</f>
        <v>0</v>
      </c>
      <c r="I150" s="34">
        <f aca="true" t="shared" si="39" ref="I150:I161">J150-H150</f>
        <v>0</v>
      </c>
      <c r="J150" s="34">
        <f aca="true" t="shared" si="40" ref="J150:J161">ROUND(F150*G150,2)</f>
        <v>0</v>
      </c>
      <c r="K150" s="34">
        <v>0.01165</v>
      </c>
      <c r="L150" s="34">
        <v>0</v>
      </c>
      <c r="N150" s="35" t="s">
        <v>81</v>
      </c>
      <c r="O150" s="34">
        <f aca="true" t="shared" si="41" ref="O150:O161">IF(N150="5",I150,0)</f>
        <v>0</v>
      </c>
      <c r="Z150" s="34">
        <f aca="true" t="shared" si="42" ref="Z150:Z161">IF(AD150=0,J150,0)</f>
        <v>0</v>
      </c>
      <c r="AA150" s="34">
        <f aca="true" t="shared" si="43" ref="AA150:AA161">IF(AD150=14,J150,0)</f>
        <v>0</v>
      </c>
      <c r="AB150" s="34">
        <f aca="true" t="shared" si="44" ref="AB150:AB161">IF(AD150=20,J150,0)</f>
        <v>0</v>
      </c>
      <c r="AD150" s="34">
        <v>14</v>
      </c>
      <c r="AE150" s="34">
        <f>G150*0</f>
        <v>0</v>
      </c>
      <c r="AF150" s="34">
        <f>G150*(1-0)</f>
        <v>0</v>
      </c>
      <c r="AL150" s="34"/>
    </row>
    <row r="151" spans="1:38" ht="12.75">
      <c r="A151" s="3" t="s">
        <v>464</v>
      </c>
      <c r="B151" s="3"/>
      <c r="C151" s="3" t="s">
        <v>465</v>
      </c>
      <c r="D151" s="3" t="s">
        <v>466</v>
      </c>
      <c r="E151" s="3" t="s">
        <v>111</v>
      </c>
      <c r="F151" s="34">
        <v>2</v>
      </c>
      <c r="G151" s="34"/>
      <c r="H151" s="34">
        <f t="shared" si="38"/>
        <v>0</v>
      </c>
      <c r="I151" s="34">
        <f t="shared" si="39"/>
        <v>0</v>
      </c>
      <c r="J151" s="34">
        <f t="shared" si="40"/>
        <v>0</v>
      </c>
      <c r="K151" s="34">
        <v>0.0056</v>
      </c>
      <c r="L151" s="34">
        <v>0</v>
      </c>
      <c r="N151" s="35" t="s">
        <v>81</v>
      </c>
      <c r="O151" s="34">
        <f t="shared" si="41"/>
        <v>0</v>
      </c>
      <c r="Z151" s="34">
        <f t="shared" si="42"/>
        <v>0</v>
      </c>
      <c r="AA151" s="34">
        <f t="shared" si="43"/>
        <v>0</v>
      </c>
      <c r="AB151" s="34">
        <f t="shared" si="44"/>
        <v>0</v>
      </c>
      <c r="AD151" s="34">
        <v>14</v>
      </c>
      <c r="AE151" s="34">
        <f>G151*0</f>
        <v>0</v>
      </c>
      <c r="AF151" s="34">
        <f>G151*(1-0)</f>
        <v>0</v>
      </c>
      <c r="AL151" s="34"/>
    </row>
    <row r="152" spans="1:38" ht="12.75">
      <c r="A152" s="3" t="s">
        <v>467</v>
      </c>
      <c r="B152" s="3"/>
      <c r="C152" s="3" t="s">
        <v>468</v>
      </c>
      <c r="D152" s="3" t="s">
        <v>469</v>
      </c>
      <c r="E152" s="3" t="s">
        <v>111</v>
      </c>
      <c r="F152" s="34">
        <v>1</v>
      </c>
      <c r="G152" s="34"/>
      <c r="H152" s="34">
        <f t="shared" si="38"/>
        <v>0</v>
      </c>
      <c r="I152" s="34">
        <f t="shared" si="39"/>
        <v>0</v>
      </c>
      <c r="J152" s="34">
        <f t="shared" si="40"/>
        <v>0</v>
      </c>
      <c r="K152" s="34">
        <v>0.00404</v>
      </c>
      <c r="L152" s="34">
        <f aca="true" t="shared" si="45" ref="L150:L161">F152*K152</f>
        <v>0.00404</v>
      </c>
      <c r="N152" s="35" t="s">
        <v>81</v>
      </c>
      <c r="O152" s="34">
        <f t="shared" si="41"/>
        <v>0</v>
      </c>
      <c r="Z152" s="34">
        <f t="shared" si="42"/>
        <v>0</v>
      </c>
      <c r="AA152" s="34">
        <f t="shared" si="43"/>
        <v>0</v>
      </c>
      <c r="AB152" s="34">
        <f t="shared" si="44"/>
        <v>0</v>
      </c>
      <c r="AD152" s="34">
        <v>14</v>
      </c>
      <c r="AE152" s="34">
        <f>G152*0.959468918499957</f>
        <v>0</v>
      </c>
      <c r="AF152" s="34">
        <f>G152*(1-0.959468918499957)</f>
        <v>0</v>
      </c>
      <c r="AL152" s="34"/>
    </row>
    <row r="153" spans="1:38" ht="12.75">
      <c r="A153" s="3" t="s">
        <v>470</v>
      </c>
      <c r="B153" s="3"/>
      <c r="C153" s="3" t="s">
        <v>471</v>
      </c>
      <c r="D153" s="3" t="s">
        <v>472</v>
      </c>
      <c r="E153" s="3" t="s">
        <v>140</v>
      </c>
      <c r="F153" s="34">
        <v>413.6</v>
      </c>
      <c r="G153" s="34"/>
      <c r="H153" s="34">
        <f t="shared" si="38"/>
        <v>0</v>
      </c>
      <c r="I153" s="34">
        <f t="shared" si="39"/>
        <v>0</v>
      </c>
      <c r="J153" s="34">
        <f t="shared" si="40"/>
        <v>0</v>
      </c>
      <c r="K153" s="34">
        <v>0.01019</v>
      </c>
      <c r="L153" s="34">
        <v>0</v>
      </c>
      <c r="N153" s="35" t="s">
        <v>81</v>
      </c>
      <c r="O153" s="34">
        <f t="shared" si="41"/>
        <v>0</v>
      </c>
      <c r="Z153" s="34">
        <f t="shared" si="42"/>
        <v>0</v>
      </c>
      <c r="AA153" s="34">
        <f t="shared" si="43"/>
        <v>0</v>
      </c>
      <c r="AB153" s="34">
        <f t="shared" si="44"/>
        <v>0</v>
      </c>
      <c r="AD153" s="34">
        <v>14</v>
      </c>
      <c r="AE153" s="34">
        <f>G153*0.245236631837738</f>
        <v>0</v>
      </c>
      <c r="AF153" s="34">
        <f>G153*(1-0.245236631837738)</f>
        <v>0</v>
      </c>
      <c r="AL153" s="34"/>
    </row>
    <row r="154" spans="1:38" ht="12.75">
      <c r="A154" s="3" t="s">
        <v>473</v>
      </c>
      <c r="B154" s="3"/>
      <c r="C154" s="3" t="s">
        <v>471</v>
      </c>
      <c r="D154" s="3" t="s">
        <v>474</v>
      </c>
      <c r="E154" s="3" t="s">
        <v>140</v>
      </c>
      <c r="F154" s="34">
        <v>141.9</v>
      </c>
      <c r="G154" s="34"/>
      <c r="H154" s="34">
        <f t="shared" si="38"/>
        <v>0</v>
      </c>
      <c r="I154" s="34">
        <f t="shared" si="39"/>
        <v>0</v>
      </c>
      <c r="J154" s="34">
        <f t="shared" si="40"/>
        <v>0</v>
      </c>
      <c r="K154" s="34">
        <v>0.00018</v>
      </c>
      <c r="L154" s="34">
        <v>0</v>
      </c>
      <c r="N154" s="35" t="s">
        <v>81</v>
      </c>
      <c r="O154" s="34">
        <f t="shared" si="41"/>
        <v>0</v>
      </c>
      <c r="Z154" s="34">
        <f t="shared" si="42"/>
        <v>0</v>
      </c>
      <c r="AA154" s="34">
        <f t="shared" si="43"/>
        <v>0</v>
      </c>
      <c r="AB154" s="34">
        <f t="shared" si="44"/>
        <v>0</v>
      </c>
      <c r="AD154" s="34">
        <v>14</v>
      </c>
      <c r="AE154" s="34">
        <f>G154*0.245236631837738</f>
        <v>0</v>
      </c>
      <c r="AF154" s="34">
        <f>G154*(1-0.245236631837738)</f>
        <v>0</v>
      </c>
      <c r="AL154" s="34"/>
    </row>
    <row r="155" spans="1:38" ht="12.75">
      <c r="A155" s="3" t="s">
        <v>475</v>
      </c>
      <c r="B155" s="3"/>
      <c r="C155" s="3" t="s">
        <v>476</v>
      </c>
      <c r="D155" s="3" t="s">
        <v>477</v>
      </c>
      <c r="E155" s="3" t="s">
        <v>140</v>
      </c>
      <c r="F155" s="34">
        <v>413.6</v>
      </c>
      <c r="G155" s="34"/>
      <c r="H155" s="34">
        <f t="shared" si="38"/>
        <v>0</v>
      </c>
      <c r="I155" s="34">
        <f t="shared" si="39"/>
        <v>0</v>
      </c>
      <c r="J155" s="34">
        <f t="shared" si="40"/>
        <v>0</v>
      </c>
      <c r="K155" s="34">
        <v>0.03601</v>
      </c>
      <c r="L155" s="34">
        <v>0</v>
      </c>
      <c r="N155" s="35" t="s">
        <v>81</v>
      </c>
      <c r="O155" s="34">
        <f t="shared" si="41"/>
        <v>0</v>
      </c>
      <c r="Z155" s="34">
        <f t="shared" si="42"/>
        <v>0</v>
      </c>
      <c r="AA155" s="34">
        <f t="shared" si="43"/>
        <v>0</v>
      </c>
      <c r="AB155" s="34">
        <f t="shared" si="44"/>
        <v>0</v>
      </c>
      <c r="AD155" s="34">
        <v>14</v>
      </c>
      <c r="AE155" s="34">
        <f>G155*0.0601503759398496</f>
        <v>0</v>
      </c>
      <c r="AF155" s="34">
        <f>G155*(1-0.0601503759398496)</f>
        <v>0</v>
      </c>
      <c r="AL155" s="34"/>
    </row>
    <row r="156" spans="1:38" ht="12.75">
      <c r="A156" s="3" t="s">
        <v>478</v>
      </c>
      <c r="B156" s="3"/>
      <c r="C156" s="3" t="s">
        <v>476</v>
      </c>
      <c r="D156" s="3" t="s">
        <v>479</v>
      </c>
      <c r="E156" s="3" t="s">
        <v>140</v>
      </c>
      <c r="F156" s="34">
        <v>141.9</v>
      </c>
      <c r="G156" s="34"/>
      <c r="H156" s="34">
        <f t="shared" si="38"/>
        <v>0</v>
      </c>
      <c r="I156" s="34">
        <f t="shared" si="39"/>
        <v>0</v>
      </c>
      <c r="J156" s="34">
        <f t="shared" si="40"/>
        <v>0</v>
      </c>
      <c r="K156" s="34">
        <v>1E-05</v>
      </c>
      <c r="L156" s="34">
        <f t="shared" si="45"/>
        <v>0.0014190000000000001</v>
      </c>
      <c r="N156" s="35" t="s">
        <v>81</v>
      </c>
      <c r="O156" s="34">
        <f t="shared" si="41"/>
        <v>0</v>
      </c>
      <c r="Z156" s="34">
        <f t="shared" si="42"/>
        <v>0</v>
      </c>
      <c r="AA156" s="34">
        <f t="shared" si="43"/>
        <v>0</v>
      </c>
      <c r="AB156" s="34">
        <f t="shared" si="44"/>
        <v>0</v>
      </c>
      <c r="AD156" s="34">
        <v>14</v>
      </c>
      <c r="AE156" s="34">
        <f>G156*0.0601503759398496</f>
        <v>0</v>
      </c>
      <c r="AF156" s="34">
        <f>G156*(1-0.0601503759398496)</f>
        <v>0</v>
      </c>
      <c r="AL156" s="34"/>
    </row>
    <row r="157" spans="1:38" ht="12.75">
      <c r="A157" s="3" t="s">
        <v>480</v>
      </c>
      <c r="B157" s="3"/>
      <c r="C157" s="3" t="s">
        <v>481</v>
      </c>
      <c r="D157" s="3" t="s">
        <v>482</v>
      </c>
      <c r="E157" s="3" t="s">
        <v>111</v>
      </c>
      <c r="F157" s="34">
        <v>2</v>
      </c>
      <c r="G157" s="34"/>
      <c r="H157" s="34">
        <f t="shared" si="38"/>
        <v>0</v>
      </c>
      <c r="I157" s="34">
        <f t="shared" si="39"/>
        <v>0</v>
      </c>
      <c r="J157" s="34">
        <f t="shared" si="40"/>
        <v>0</v>
      </c>
      <c r="K157" s="34">
        <v>0.039</v>
      </c>
      <c r="L157" s="34">
        <v>0</v>
      </c>
      <c r="N157" s="35" t="s">
        <v>81</v>
      </c>
      <c r="O157" s="34">
        <f t="shared" si="41"/>
        <v>0</v>
      </c>
      <c r="Z157" s="34">
        <f t="shared" si="42"/>
        <v>0</v>
      </c>
      <c r="AA157" s="34">
        <f t="shared" si="43"/>
        <v>0</v>
      </c>
      <c r="AB157" s="34">
        <f t="shared" si="44"/>
        <v>0</v>
      </c>
      <c r="AD157" s="34">
        <v>14</v>
      </c>
      <c r="AE157" s="34">
        <f>G157*0.00543341550535795</f>
        <v>0</v>
      </c>
      <c r="AF157" s="34">
        <f>G157*(1-0.00543341550535795)</f>
        <v>0</v>
      </c>
      <c r="AL157" s="34"/>
    </row>
    <row r="158" spans="1:38" ht="12.75">
      <c r="A158" s="3" t="s">
        <v>483</v>
      </c>
      <c r="B158" s="3"/>
      <c r="C158" s="3" t="s">
        <v>484</v>
      </c>
      <c r="D158" s="3" t="s">
        <v>485</v>
      </c>
      <c r="E158" s="3" t="s">
        <v>111</v>
      </c>
      <c r="F158" s="34">
        <v>15</v>
      </c>
      <c r="G158" s="34"/>
      <c r="H158" s="34">
        <f t="shared" si="38"/>
        <v>0</v>
      </c>
      <c r="I158" s="34">
        <f t="shared" si="39"/>
        <v>0</v>
      </c>
      <c r="J158" s="34">
        <f t="shared" si="40"/>
        <v>0</v>
      </c>
      <c r="K158" s="34">
        <v>0.00045000000000000004</v>
      </c>
      <c r="L158" s="34">
        <v>0</v>
      </c>
      <c r="N158" s="35" t="s">
        <v>81</v>
      </c>
      <c r="O158" s="34">
        <f t="shared" si="41"/>
        <v>0</v>
      </c>
      <c r="Z158" s="34">
        <f t="shared" si="42"/>
        <v>0</v>
      </c>
      <c r="AA158" s="34">
        <f t="shared" si="43"/>
        <v>0</v>
      </c>
      <c r="AB158" s="34">
        <f t="shared" si="44"/>
        <v>0</v>
      </c>
      <c r="AD158" s="34">
        <v>14</v>
      </c>
      <c r="AE158" s="34">
        <f>G158*0.327634011090573</f>
        <v>0</v>
      </c>
      <c r="AF158" s="34">
        <f>G158*(1-0.327634011090573)</f>
        <v>0</v>
      </c>
      <c r="AL158" s="34"/>
    </row>
    <row r="159" spans="1:38" ht="12.75">
      <c r="A159" s="3" t="s">
        <v>486</v>
      </c>
      <c r="B159" s="3"/>
      <c r="C159" s="3" t="s">
        <v>487</v>
      </c>
      <c r="D159" s="3" t="s">
        <v>488</v>
      </c>
      <c r="E159" s="3" t="s">
        <v>111</v>
      </c>
      <c r="F159" s="34">
        <v>15</v>
      </c>
      <c r="G159" s="34"/>
      <c r="H159" s="34">
        <f t="shared" si="38"/>
        <v>0</v>
      </c>
      <c r="I159" s="34">
        <f t="shared" si="39"/>
        <v>0</v>
      </c>
      <c r="J159" s="34">
        <f t="shared" si="40"/>
        <v>0</v>
      </c>
      <c r="K159" s="34">
        <v>0.0011</v>
      </c>
      <c r="L159" s="34">
        <v>0</v>
      </c>
      <c r="N159" s="35" t="s">
        <v>81</v>
      </c>
      <c r="O159" s="34">
        <f t="shared" si="41"/>
        <v>0</v>
      </c>
      <c r="Z159" s="34">
        <f t="shared" si="42"/>
        <v>0</v>
      </c>
      <c r="AA159" s="34">
        <f t="shared" si="43"/>
        <v>0</v>
      </c>
      <c r="AB159" s="34">
        <f t="shared" si="44"/>
        <v>0</v>
      </c>
      <c r="AD159" s="34">
        <v>14</v>
      </c>
      <c r="AE159" s="34">
        <f>G159*0.253526051987411</f>
        <v>0</v>
      </c>
      <c r="AF159" s="34">
        <f>G159*(1-0.253526051987411)</f>
        <v>0</v>
      </c>
      <c r="AL159" s="34"/>
    </row>
    <row r="160" spans="1:38" ht="12.75">
      <c r="A160" s="3" t="s">
        <v>489</v>
      </c>
      <c r="B160" s="3"/>
      <c r="C160" s="3" t="s">
        <v>487</v>
      </c>
      <c r="D160" s="3" t="s">
        <v>490</v>
      </c>
      <c r="E160" s="3" t="s">
        <v>111</v>
      </c>
      <c r="F160" s="34">
        <v>10</v>
      </c>
      <c r="G160" s="34"/>
      <c r="H160" s="34">
        <f t="shared" si="38"/>
        <v>0</v>
      </c>
      <c r="I160" s="34">
        <f t="shared" si="39"/>
        <v>0</v>
      </c>
      <c r="J160" s="34">
        <f t="shared" si="40"/>
        <v>0</v>
      </c>
      <c r="K160" s="34">
        <v>0.0011</v>
      </c>
      <c r="L160" s="34">
        <v>0</v>
      </c>
      <c r="N160" s="35" t="s">
        <v>81</v>
      </c>
      <c r="O160" s="34">
        <f t="shared" si="41"/>
        <v>0</v>
      </c>
      <c r="Z160" s="34">
        <f t="shared" si="42"/>
        <v>0</v>
      </c>
      <c r="AA160" s="34">
        <f t="shared" si="43"/>
        <v>0</v>
      </c>
      <c r="AB160" s="34">
        <f t="shared" si="44"/>
        <v>0</v>
      </c>
      <c r="AD160" s="34">
        <v>14</v>
      </c>
      <c r="AE160" s="34">
        <f>G160*0.253526051987411</f>
        <v>0</v>
      </c>
      <c r="AF160" s="34">
        <f>G160*(1-0.253526051987411)</f>
        <v>0</v>
      </c>
      <c r="AL160" s="34"/>
    </row>
    <row r="161" spans="1:38" ht="12.75">
      <c r="A161" s="3" t="s">
        <v>491</v>
      </c>
      <c r="B161" s="3"/>
      <c r="C161" s="3" t="s">
        <v>492</v>
      </c>
      <c r="D161" s="3" t="s">
        <v>493</v>
      </c>
      <c r="E161" s="3" t="s">
        <v>111</v>
      </c>
      <c r="F161" s="34">
        <v>10</v>
      </c>
      <c r="G161" s="34"/>
      <c r="H161" s="34">
        <f t="shared" si="38"/>
        <v>0</v>
      </c>
      <c r="I161" s="34">
        <f t="shared" si="39"/>
        <v>0</v>
      </c>
      <c r="J161" s="34">
        <f t="shared" si="40"/>
        <v>0</v>
      </c>
      <c r="K161" s="34">
        <v>0.0022</v>
      </c>
      <c r="L161" s="34">
        <v>0</v>
      </c>
      <c r="N161" s="35" t="s">
        <v>81</v>
      </c>
      <c r="O161" s="34">
        <f t="shared" si="41"/>
        <v>0</v>
      </c>
      <c r="Z161" s="34">
        <f t="shared" si="42"/>
        <v>0</v>
      </c>
      <c r="AA161" s="34">
        <f t="shared" si="43"/>
        <v>0</v>
      </c>
      <c r="AB161" s="34">
        <f t="shared" si="44"/>
        <v>0</v>
      </c>
      <c r="AD161" s="34">
        <v>14</v>
      </c>
      <c r="AE161" s="34">
        <f>G161*0.24980651818729</f>
        <v>0</v>
      </c>
      <c r="AF161" s="34">
        <f>G161*(1-0.24980651818729)</f>
        <v>0</v>
      </c>
      <c r="AL161" s="34"/>
    </row>
    <row r="162" spans="1:38" ht="12.75">
      <c r="A162" s="36"/>
      <c r="B162" s="36"/>
      <c r="C162" s="37" t="s">
        <v>494</v>
      </c>
      <c r="D162" s="39" t="s">
        <v>495</v>
      </c>
      <c r="E162" s="39"/>
      <c r="F162" s="39"/>
      <c r="G162" s="39"/>
      <c r="H162" s="33">
        <f>SUM(H163:H179)</f>
        <v>0</v>
      </c>
      <c r="I162" s="33">
        <f>SUM(I163:I179)</f>
        <v>0</v>
      </c>
      <c r="J162" s="33">
        <f>H162+I162</f>
        <v>0</v>
      </c>
      <c r="K162" s="28"/>
      <c r="L162" s="33">
        <v>0</v>
      </c>
      <c r="P162" s="33">
        <f>IF(Q162="PR",J162,SUM(O163:O179))</f>
        <v>0</v>
      </c>
      <c r="Q162" s="28" t="s">
        <v>107</v>
      </c>
      <c r="R162" s="33">
        <f>IF(Q162="HS",H162,0)</f>
        <v>0</v>
      </c>
      <c r="S162" s="33">
        <f>IF(Q162="HS",I162-P162,0)</f>
        <v>0</v>
      </c>
      <c r="T162" s="33">
        <f>IF(Q162="PS",H162,0)</f>
        <v>0</v>
      </c>
      <c r="U162" s="33">
        <f>IF(Q162="PS",I162-P162,0)</f>
        <v>0</v>
      </c>
      <c r="V162" s="33">
        <f>IF(Q162="MP",H162,0)</f>
        <v>0</v>
      </c>
      <c r="W162" s="33">
        <f>IF(Q162="MP",I162-P162,0)</f>
        <v>0</v>
      </c>
      <c r="X162" s="33">
        <f>IF(Q162="OM",H162,0)</f>
        <v>0</v>
      </c>
      <c r="Y162" s="28"/>
      <c r="AI162" s="33">
        <f>SUM(Z163:Z179)</f>
        <v>0</v>
      </c>
      <c r="AJ162" s="33">
        <f>SUM(AA163:AA179)</f>
        <v>0</v>
      </c>
      <c r="AK162" s="33">
        <f>SUM(AB163:AB179)</f>
        <v>0</v>
      </c>
      <c r="AL162" s="43"/>
    </row>
    <row r="163" spans="1:38" ht="12.75">
      <c r="A163" s="3" t="s">
        <v>496</v>
      </c>
      <c r="B163" s="3"/>
      <c r="C163" s="3" t="s">
        <v>497</v>
      </c>
      <c r="D163" s="3" t="s">
        <v>498</v>
      </c>
      <c r="E163" s="3" t="s">
        <v>111</v>
      </c>
      <c r="F163" s="34">
        <v>4</v>
      </c>
      <c r="G163" s="34"/>
      <c r="H163" s="34">
        <f aca="true" t="shared" si="46" ref="H163:H179">ROUND(F163*AE163,2)</f>
        <v>0</v>
      </c>
      <c r="I163" s="34">
        <f aca="true" t="shared" si="47" ref="I163:I179">J163-H163</f>
        <v>0</v>
      </c>
      <c r="J163" s="34">
        <f aca="true" t="shared" si="48" ref="J163:J179">ROUND(F163*G163,2)</f>
        <v>0</v>
      </c>
      <c r="K163" s="34">
        <v>0.0012</v>
      </c>
      <c r="L163" s="34">
        <f aca="true" t="shared" si="49" ref="L163:L179">F163*K163</f>
        <v>0.0048</v>
      </c>
      <c r="N163" s="35" t="s">
        <v>112</v>
      </c>
      <c r="O163" s="34">
        <f aca="true" t="shared" si="50" ref="O163:O179">IF(N163="5",I163,0)</f>
        <v>0</v>
      </c>
      <c r="Z163" s="34">
        <f aca="true" t="shared" si="51" ref="Z163:Z179">IF(AD163=0,J163,0)</f>
        <v>0</v>
      </c>
      <c r="AA163" s="34">
        <f aca="true" t="shared" si="52" ref="AA163:AA179">IF(AD163=14,J163,0)</f>
        <v>0</v>
      </c>
      <c r="AB163" s="34">
        <f aca="true" t="shared" si="53" ref="AB163:AB179">IF(AD163=20,J163,0)</f>
        <v>0</v>
      </c>
      <c r="AD163" s="34">
        <v>14</v>
      </c>
      <c r="AE163" s="34">
        <f aca="true" t="shared" si="54" ref="AE163:AE168">G163*1</f>
        <v>0</v>
      </c>
      <c r="AF163" s="34">
        <f aca="true" t="shared" si="55" ref="AF163:AF168">G163*(1-1)</f>
        <v>0</v>
      </c>
      <c r="AL163" s="34"/>
    </row>
    <row r="164" spans="1:38" ht="12.75">
      <c r="A164" s="3" t="s">
        <v>499</v>
      </c>
      <c r="B164" s="3"/>
      <c r="C164" s="3" t="s">
        <v>500</v>
      </c>
      <c r="D164" s="3" t="s">
        <v>501</v>
      </c>
      <c r="E164" s="3" t="s">
        <v>111</v>
      </c>
      <c r="F164" s="34">
        <v>5</v>
      </c>
      <c r="G164" s="34"/>
      <c r="H164" s="34">
        <f t="shared" si="46"/>
        <v>0</v>
      </c>
      <c r="I164" s="34">
        <f t="shared" si="47"/>
        <v>0</v>
      </c>
      <c r="J164" s="34">
        <f t="shared" si="48"/>
        <v>0</v>
      </c>
      <c r="K164" s="34">
        <v>0.0011</v>
      </c>
      <c r="L164" s="34"/>
      <c r="N164" s="35" t="s">
        <v>112</v>
      </c>
      <c r="O164" s="34">
        <f t="shared" si="50"/>
        <v>0</v>
      </c>
      <c r="Z164" s="34">
        <f t="shared" si="51"/>
        <v>0</v>
      </c>
      <c r="AA164" s="34">
        <f t="shared" si="52"/>
        <v>0</v>
      </c>
      <c r="AB164" s="34">
        <f t="shared" si="53"/>
        <v>0</v>
      </c>
      <c r="AD164" s="34">
        <v>14</v>
      </c>
      <c r="AE164" s="34">
        <f t="shared" si="54"/>
        <v>0</v>
      </c>
      <c r="AF164" s="34">
        <f t="shared" si="55"/>
        <v>0</v>
      </c>
      <c r="AL164" s="34"/>
    </row>
    <row r="165" spans="1:38" ht="12.75">
      <c r="A165" s="3" t="s">
        <v>502</v>
      </c>
      <c r="B165" s="3"/>
      <c r="C165" s="3" t="s">
        <v>503</v>
      </c>
      <c r="D165" s="3" t="s">
        <v>504</v>
      </c>
      <c r="E165" s="3" t="s">
        <v>111</v>
      </c>
      <c r="F165" s="34">
        <v>1</v>
      </c>
      <c r="G165" s="34"/>
      <c r="H165" s="34">
        <f t="shared" si="46"/>
        <v>0</v>
      </c>
      <c r="I165" s="34">
        <f t="shared" si="47"/>
        <v>0</v>
      </c>
      <c r="J165" s="34">
        <f t="shared" si="48"/>
        <v>0</v>
      </c>
      <c r="K165" s="34">
        <v>0.0008500000000000001</v>
      </c>
      <c r="L165" s="34">
        <f t="shared" si="49"/>
        <v>0.0008500000000000001</v>
      </c>
      <c r="N165" s="35" t="s">
        <v>112</v>
      </c>
      <c r="O165" s="34">
        <f t="shared" si="50"/>
        <v>0</v>
      </c>
      <c r="Z165" s="34">
        <f t="shared" si="51"/>
        <v>0</v>
      </c>
      <c r="AA165" s="34">
        <f t="shared" si="52"/>
        <v>0</v>
      </c>
      <c r="AB165" s="34">
        <f t="shared" si="53"/>
        <v>0</v>
      </c>
      <c r="AD165" s="34">
        <v>14</v>
      </c>
      <c r="AE165" s="34">
        <f t="shared" si="54"/>
        <v>0</v>
      </c>
      <c r="AF165" s="34">
        <f t="shared" si="55"/>
        <v>0</v>
      </c>
      <c r="AL165" s="34"/>
    </row>
    <row r="166" spans="1:38" ht="12.75">
      <c r="A166" s="3" t="s">
        <v>505</v>
      </c>
      <c r="B166" s="3"/>
      <c r="C166" s="3" t="s">
        <v>506</v>
      </c>
      <c r="D166" s="3" t="s">
        <v>565</v>
      </c>
      <c r="E166" s="3" t="s">
        <v>125</v>
      </c>
      <c r="F166" s="34">
        <v>4</v>
      </c>
      <c r="G166" s="34"/>
      <c r="H166" s="34">
        <f t="shared" si="46"/>
        <v>0</v>
      </c>
      <c r="I166" s="34">
        <f t="shared" si="47"/>
        <v>0</v>
      </c>
      <c r="J166" s="34">
        <f t="shared" si="48"/>
        <v>0</v>
      </c>
      <c r="K166" s="34">
        <v>0</v>
      </c>
      <c r="L166" s="34">
        <f t="shared" si="49"/>
        <v>0</v>
      </c>
      <c r="N166" s="35" t="s">
        <v>112</v>
      </c>
      <c r="O166" s="34">
        <f t="shared" si="50"/>
        <v>0</v>
      </c>
      <c r="Z166" s="34">
        <f t="shared" si="51"/>
        <v>0</v>
      </c>
      <c r="AA166" s="34">
        <f t="shared" si="52"/>
        <v>0</v>
      </c>
      <c r="AB166" s="34">
        <f t="shared" si="53"/>
        <v>0</v>
      </c>
      <c r="AD166" s="34">
        <v>14</v>
      </c>
      <c r="AE166" s="34">
        <f t="shared" si="54"/>
        <v>0</v>
      </c>
      <c r="AF166" s="34">
        <f t="shared" si="55"/>
        <v>0</v>
      </c>
      <c r="AL166" s="34"/>
    </row>
    <row r="167" spans="1:38" ht="12.75">
      <c r="A167" s="3" t="s">
        <v>507</v>
      </c>
      <c r="B167" s="3"/>
      <c r="C167" s="3" t="s">
        <v>508</v>
      </c>
      <c r="D167" s="3" t="s">
        <v>566</v>
      </c>
      <c r="E167" s="3" t="s">
        <v>125</v>
      </c>
      <c r="F167" s="34">
        <v>4</v>
      </c>
      <c r="G167" s="34"/>
      <c r="H167" s="34">
        <f t="shared" si="46"/>
        <v>0</v>
      </c>
      <c r="I167" s="34">
        <f t="shared" si="47"/>
        <v>0</v>
      </c>
      <c r="J167" s="34">
        <f t="shared" si="48"/>
        <v>0</v>
      </c>
      <c r="K167" s="34">
        <v>0</v>
      </c>
      <c r="L167" s="34">
        <f t="shared" si="49"/>
        <v>0</v>
      </c>
      <c r="N167" s="35" t="s">
        <v>112</v>
      </c>
      <c r="O167" s="34">
        <f t="shared" si="50"/>
        <v>0</v>
      </c>
      <c r="Z167" s="34">
        <f t="shared" si="51"/>
        <v>0</v>
      </c>
      <c r="AA167" s="34">
        <f t="shared" si="52"/>
        <v>0</v>
      </c>
      <c r="AB167" s="34">
        <f t="shared" si="53"/>
        <v>0</v>
      </c>
      <c r="AD167" s="34">
        <v>14</v>
      </c>
      <c r="AE167" s="34">
        <f t="shared" si="54"/>
        <v>0</v>
      </c>
      <c r="AF167" s="34">
        <f t="shared" si="55"/>
        <v>0</v>
      </c>
      <c r="AL167" s="34"/>
    </row>
    <row r="168" spans="1:38" ht="12.75">
      <c r="A168" s="3" t="s">
        <v>509</v>
      </c>
      <c r="B168" s="3"/>
      <c r="C168" s="3" t="s">
        <v>510</v>
      </c>
      <c r="D168" s="3" t="s">
        <v>511</v>
      </c>
      <c r="E168" s="3" t="s">
        <v>125</v>
      </c>
      <c r="F168" s="34">
        <v>4</v>
      </c>
      <c r="G168" s="34"/>
      <c r="H168" s="34">
        <f t="shared" si="46"/>
        <v>0</v>
      </c>
      <c r="I168" s="34">
        <f t="shared" si="47"/>
        <v>0</v>
      </c>
      <c r="J168" s="34">
        <f t="shared" si="48"/>
        <v>0</v>
      </c>
      <c r="K168" s="34">
        <v>0</v>
      </c>
      <c r="L168" s="34">
        <f t="shared" si="49"/>
        <v>0</v>
      </c>
      <c r="N168" s="35" t="s">
        <v>112</v>
      </c>
      <c r="O168" s="34">
        <f t="shared" si="50"/>
        <v>0</v>
      </c>
      <c r="Z168" s="34">
        <f t="shared" si="51"/>
        <v>0</v>
      </c>
      <c r="AA168" s="34">
        <f t="shared" si="52"/>
        <v>0</v>
      </c>
      <c r="AB168" s="34">
        <f t="shared" si="53"/>
        <v>0</v>
      </c>
      <c r="AD168" s="34">
        <v>14</v>
      </c>
      <c r="AE168" s="34">
        <f t="shared" si="54"/>
        <v>0</v>
      </c>
      <c r="AF168" s="34">
        <f t="shared" si="55"/>
        <v>0</v>
      </c>
      <c r="AL168" s="34"/>
    </row>
    <row r="169" spans="1:38" ht="12.75">
      <c r="A169" s="3" t="s">
        <v>512</v>
      </c>
      <c r="B169" s="3"/>
      <c r="C169" s="3" t="s">
        <v>513</v>
      </c>
      <c r="D169" s="3" t="s">
        <v>570</v>
      </c>
      <c r="E169" s="3" t="s">
        <v>460</v>
      </c>
      <c r="F169" s="34">
        <v>4</v>
      </c>
      <c r="G169" s="34"/>
      <c r="H169" s="34">
        <f t="shared" si="46"/>
        <v>0</v>
      </c>
      <c r="I169" s="34">
        <f t="shared" si="47"/>
        <v>0</v>
      </c>
      <c r="J169" s="34">
        <f t="shared" si="48"/>
        <v>0</v>
      </c>
      <c r="K169" s="34">
        <v>0.01772</v>
      </c>
      <c r="L169" s="34"/>
      <c r="N169" s="35" t="s">
        <v>81</v>
      </c>
      <c r="O169" s="34">
        <f t="shared" si="50"/>
        <v>0</v>
      </c>
      <c r="Z169" s="34">
        <f t="shared" si="51"/>
        <v>0</v>
      </c>
      <c r="AA169" s="34">
        <f t="shared" si="52"/>
        <v>0</v>
      </c>
      <c r="AB169" s="34">
        <f t="shared" si="53"/>
        <v>0</v>
      </c>
      <c r="AD169" s="34">
        <v>14</v>
      </c>
      <c r="AE169" s="34">
        <f>G169*0.900197516166563</f>
        <v>0</v>
      </c>
      <c r="AF169" s="34">
        <f>G169*(1-0.900197516166563)</f>
        <v>0</v>
      </c>
      <c r="AL169" s="34"/>
    </row>
    <row r="170" spans="1:38" ht="12.75">
      <c r="A170" s="3" t="s">
        <v>514</v>
      </c>
      <c r="B170" s="3"/>
      <c r="C170" s="3" t="s">
        <v>515</v>
      </c>
      <c r="D170" s="3" t="s">
        <v>571</v>
      </c>
      <c r="E170" s="3" t="s">
        <v>460</v>
      </c>
      <c r="F170" s="34">
        <v>1</v>
      </c>
      <c r="G170" s="34"/>
      <c r="H170" s="34">
        <f t="shared" si="46"/>
        <v>0</v>
      </c>
      <c r="I170" s="34">
        <f t="shared" si="47"/>
        <v>0</v>
      </c>
      <c r="J170" s="34">
        <f t="shared" si="48"/>
        <v>0</v>
      </c>
      <c r="K170" s="34">
        <v>0.018890000000000004</v>
      </c>
      <c r="L170" s="34"/>
      <c r="N170" s="35" t="s">
        <v>81</v>
      </c>
      <c r="O170" s="34">
        <f t="shared" si="50"/>
        <v>0</v>
      </c>
      <c r="Z170" s="34">
        <f t="shared" si="51"/>
        <v>0</v>
      </c>
      <c r="AA170" s="34">
        <f t="shared" si="52"/>
        <v>0</v>
      </c>
      <c r="AB170" s="34">
        <f t="shared" si="53"/>
        <v>0</v>
      </c>
      <c r="AD170" s="34">
        <v>14</v>
      </c>
      <c r="AE170" s="34">
        <f>G170*0.929796446618387</f>
        <v>0</v>
      </c>
      <c r="AF170" s="34">
        <f>G170*(1-0.929796446618387)</f>
        <v>0</v>
      </c>
      <c r="AL170" s="34"/>
    </row>
    <row r="171" spans="1:38" ht="12.75">
      <c r="A171" s="3" t="s">
        <v>516</v>
      </c>
      <c r="B171" s="3"/>
      <c r="C171" s="3" t="s">
        <v>517</v>
      </c>
      <c r="D171" s="3" t="s">
        <v>568</v>
      </c>
      <c r="E171" s="3" t="s">
        <v>460</v>
      </c>
      <c r="F171" s="34">
        <v>4</v>
      </c>
      <c r="G171" s="34"/>
      <c r="H171" s="34">
        <f t="shared" si="46"/>
        <v>0</v>
      </c>
      <c r="I171" s="34">
        <f t="shared" si="47"/>
        <v>0</v>
      </c>
      <c r="J171" s="34">
        <f t="shared" si="48"/>
        <v>0</v>
      </c>
      <c r="K171" s="34">
        <v>0.01403</v>
      </c>
      <c r="L171" s="34"/>
      <c r="N171" s="35" t="s">
        <v>81</v>
      </c>
      <c r="O171" s="34">
        <f t="shared" si="50"/>
        <v>0</v>
      </c>
      <c r="Z171" s="34">
        <f t="shared" si="51"/>
        <v>0</v>
      </c>
      <c r="AA171" s="34">
        <f t="shared" si="52"/>
        <v>0</v>
      </c>
      <c r="AB171" s="34">
        <f t="shared" si="53"/>
        <v>0</v>
      </c>
      <c r="AD171" s="34">
        <v>14</v>
      </c>
      <c r="AE171" s="34">
        <f>G171*0.754804739443885</f>
        <v>0</v>
      </c>
      <c r="AF171" s="34">
        <f>G171*(1-0.754804739443885)</f>
        <v>0</v>
      </c>
      <c r="AL171" s="34"/>
    </row>
    <row r="172" spans="1:38" ht="12.75">
      <c r="A172" s="3" t="s">
        <v>518</v>
      </c>
      <c r="B172" s="3"/>
      <c r="C172" s="3" t="s">
        <v>519</v>
      </c>
      <c r="D172" s="3" t="s">
        <v>569</v>
      </c>
      <c r="E172" s="3" t="s">
        <v>460</v>
      </c>
      <c r="F172" s="34">
        <v>5</v>
      </c>
      <c r="G172" s="34"/>
      <c r="H172" s="34">
        <f t="shared" si="46"/>
        <v>0</v>
      </c>
      <c r="I172" s="34">
        <f t="shared" si="47"/>
        <v>0</v>
      </c>
      <c r="J172" s="34">
        <f t="shared" si="48"/>
        <v>0</v>
      </c>
      <c r="K172" s="34">
        <v>0.00477</v>
      </c>
      <c r="L172" s="34"/>
      <c r="N172" s="35" t="s">
        <v>81</v>
      </c>
      <c r="O172" s="34">
        <f t="shared" si="50"/>
        <v>0</v>
      </c>
      <c r="Z172" s="34">
        <f t="shared" si="51"/>
        <v>0</v>
      </c>
      <c r="AA172" s="34">
        <f t="shared" si="52"/>
        <v>0</v>
      </c>
      <c r="AB172" s="34">
        <f t="shared" si="53"/>
        <v>0</v>
      </c>
      <c r="AD172" s="34">
        <v>14</v>
      </c>
      <c r="AE172" s="34">
        <f>G172*0.90417522828617</f>
        <v>0</v>
      </c>
      <c r="AF172" s="34">
        <f>G172*(1-0.90417522828617)</f>
        <v>0</v>
      </c>
      <c r="AL172" s="34"/>
    </row>
    <row r="173" spans="1:38" ht="12.75">
      <c r="A173" s="3" t="s">
        <v>520</v>
      </c>
      <c r="B173" s="3"/>
      <c r="C173" s="3" t="s">
        <v>521</v>
      </c>
      <c r="D173" s="3" t="s">
        <v>522</v>
      </c>
      <c r="E173" s="3" t="s">
        <v>460</v>
      </c>
      <c r="F173" s="34">
        <v>1</v>
      </c>
      <c r="G173" s="34"/>
      <c r="H173" s="34">
        <f t="shared" si="46"/>
        <v>0</v>
      </c>
      <c r="I173" s="34">
        <f t="shared" si="47"/>
        <v>0</v>
      </c>
      <c r="J173" s="34">
        <f t="shared" si="48"/>
        <v>0</v>
      </c>
      <c r="K173" s="34">
        <v>0.01751</v>
      </c>
      <c r="L173" s="34"/>
      <c r="N173" s="35" t="s">
        <v>81</v>
      </c>
      <c r="O173" s="34">
        <f t="shared" si="50"/>
        <v>0</v>
      </c>
      <c r="Z173" s="34">
        <f t="shared" si="51"/>
        <v>0</v>
      </c>
      <c r="AA173" s="34">
        <f t="shared" si="52"/>
        <v>0</v>
      </c>
      <c r="AB173" s="34">
        <f t="shared" si="53"/>
        <v>0</v>
      </c>
      <c r="AD173" s="34">
        <v>14</v>
      </c>
      <c r="AE173" s="34">
        <f>G173*0.788056451648886</f>
        <v>0</v>
      </c>
      <c r="AF173" s="34">
        <f>G173*(1-0.788056451648886)</f>
        <v>0</v>
      </c>
      <c r="AL173" s="34"/>
    </row>
    <row r="174" spans="1:38" ht="12.75">
      <c r="A174" s="3" t="s">
        <v>523</v>
      </c>
      <c r="B174" s="3"/>
      <c r="C174" s="3" t="s">
        <v>524</v>
      </c>
      <c r="D174" s="3" t="s">
        <v>525</v>
      </c>
      <c r="E174" s="3" t="s">
        <v>460</v>
      </c>
      <c r="F174" s="34">
        <v>2</v>
      </c>
      <c r="G174" s="34"/>
      <c r="H174" s="34">
        <f t="shared" si="46"/>
        <v>0</v>
      </c>
      <c r="I174" s="34">
        <f t="shared" si="47"/>
        <v>0</v>
      </c>
      <c r="J174" s="34">
        <f t="shared" si="48"/>
        <v>0</v>
      </c>
      <c r="K174" s="34">
        <v>0.01444</v>
      </c>
      <c r="L174" s="34"/>
      <c r="N174" s="35" t="s">
        <v>81</v>
      </c>
      <c r="O174" s="34">
        <f t="shared" si="50"/>
        <v>0</v>
      </c>
      <c r="Z174" s="34">
        <f t="shared" si="51"/>
        <v>0</v>
      </c>
      <c r="AA174" s="34">
        <f t="shared" si="52"/>
        <v>0</v>
      </c>
      <c r="AB174" s="34">
        <f t="shared" si="53"/>
        <v>0</v>
      </c>
      <c r="AD174" s="34">
        <v>14</v>
      </c>
      <c r="AE174" s="34">
        <f>G174*0.902080591136669</f>
        <v>0</v>
      </c>
      <c r="AF174" s="34">
        <f>G174*(1-0.902080591136669)</f>
        <v>0</v>
      </c>
      <c r="AL174" s="34"/>
    </row>
    <row r="175" spans="1:38" ht="12.75">
      <c r="A175" s="3" t="s">
        <v>526</v>
      </c>
      <c r="B175" s="3"/>
      <c r="C175" s="3" t="s">
        <v>527</v>
      </c>
      <c r="D175" s="3" t="s">
        <v>528</v>
      </c>
      <c r="E175" s="3" t="s">
        <v>111</v>
      </c>
      <c r="F175" s="34">
        <v>2</v>
      </c>
      <c r="G175" s="34"/>
      <c r="H175" s="34">
        <f t="shared" si="46"/>
        <v>0</v>
      </c>
      <c r="I175" s="34">
        <f t="shared" si="47"/>
        <v>0</v>
      </c>
      <c r="J175" s="34">
        <f t="shared" si="48"/>
        <v>0</v>
      </c>
      <c r="K175" s="34">
        <v>0.00024</v>
      </c>
      <c r="L175" s="34">
        <f t="shared" si="49"/>
        <v>0.00048</v>
      </c>
      <c r="N175" s="35" t="s">
        <v>81</v>
      </c>
      <c r="O175" s="34">
        <f t="shared" si="50"/>
        <v>0</v>
      </c>
      <c r="Z175" s="34">
        <f t="shared" si="51"/>
        <v>0</v>
      </c>
      <c r="AA175" s="34">
        <f t="shared" si="52"/>
        <v>0</v>
      </c>
      <c r="AB175" s="34">
        <f t="shared" si="53"/>
        <v>0</v>
      </c>
      <c r="AD175" s="34">
        <v>14</v>
      </c>
      <c r="AE175" s="34">
        <f>G175*0.345675330208777</f>
        <v>0</v>
      </c>
      <c r="AF175" s="34">
        <f>G175*(1-0.345675330208777)</f>
        <v>0</v>
      </c>
      <c r="AL175" s="34"/>
    </row>
    <row r="176" spans="1:38" ht="12.75">
      <c r="A176" s="3" t="s">
        <v>529</v>
      </c>
      <c r="B176" s="3"/>
      <c r="C176" s="3" t="s">
        <v>530</v>
      </c>
      <c r="D176" s="3" t="s">
        <v>531</v>
      </c>
      <c r="E176" s="3" t="s">
        <v>111</v>
      </c>
      <c r="F176" s="34">
        <v>15</v>
      </c>
      <c r="G176" s="34"/>
      <c r="H176" s="34">
        <f t="shared" si="46"/>
        <v>0</v>
      </c>
      <c r="I176" s="34">
        <f t="shared" si="47"/>
        <v>0</v>
      </c>
      <c r="J176" s="34">
        <f t="shared" si="48"/>
        <v>0</v>
      </c>
      <c r="K176" s="34">
        <v>4E-05</v>
      </c>
      <c r="L176" s="34">
        <f t="shared" si="49"/>
        <v>0.0006000000000000001</v>
      </c>
      <c r="N176" s="35" t="s">
        <v>81</v>
      </c>
      <c r="O176" s="34">
        <f t="shared" si="50"/>
        <v>0</v>
      </c>
      <c r="Z176" s="34">
        <f t="shared" si="51"/>
        <v>0</v>
      </c>
      <c r="AA176" s="34">
        <f t="shared" si="52"/>
        <v>0</v>
      </c>
      <c r="AB176" s="34">
        <f t="shared" si="53"/>
        <v>0</v>
      </c>
      <c r="AD176" s="34">
        <v>14</v>
      </c>
      <c r="AE176" s="34">
        <f>G176*0.0326775367201186</f>
        <v>0</v>
      </c>
      <c r="AF176" s="34">
        <f>G176*(1-0.0326775367201186)</f>
        <v>0</v>
      </c>
      <c r="AL176" s="34"/>
    </row>
    <row r="177" spans="1:38" ht="12.75">
      <c r="A177" s="3" t="s">
        <v>532</v>
      </c>
      <c r="B177" s="3"/>
      <c r="C177" s="3" t="s">
        <v>533</v>
      </c>
      <c r="D177" s="3" t="s">
        <v>534</v>
      </c>
      <c r="E177" s="3" t="s">
        <v>111</v>
      </c>
      <c r="F177" s="34">
        <v>8</v>
      </c>
      <c r="G177" s="34"/>
      <c r="H177" s="34">
        <f t="shared" si="46"/>
        <v>0</v>
      </c>
      <c r="I177" s="34">
        <f t="shared" si="47"/>
        <v>0</v>
      </c>
      <c r="J177" s="34">
        <f t="shared" si="48"/>
        <v>0</v>
      </c>
      <c r="K177" s="34">
        <v>0.00026</v>
      </c>
      <c r="L177" s="34">
        <f t="shared" si="49"/>
        <v>0.00208</v>
      </c>
      <c r="N177" s="35" t="s">
        <v>81</v>
      </c>
      <c r="O177" s="34">
        <f t="shared" si="50"/>
        <v>0</v>
      </c>
      <c r="Z177" s="34">
        <f t="shared" si="51"/>
        <v>0</v>
      </c>
      <c r="AA177" s="34">
        <f t="shared" si="52"/>
        <v>0</v>
      </c>
      <c r="AB177" s="34">
        <f t="shared" si="53"/>
        <v>0</v>
      </c>
      <c r="AD177" s="34">
        <v>14</v>
      </c>
      <c r="AE177" s="34">
        <f>G177*0.843198071832155</f>
        <v>0</v>
      </c>
      <c r="AF177" s="34">
        <f>G177*(1-0.843198071832155)</f>
        <v>0</v>
      </c>
      <c r="AL177" s="34"/>
    </row>
    <row r="178" spans="1:38" ht="12.75">
      <c r="A178" s="3" t="s">
        <v>535</v>
      </c>
      <c r="B178" s="3"/>
      <c r="C178" s="3" t="s">
        <v>536</v>
      </c>
      <c r="D178" s="3" t="s">
        <v>537</v>
      </c>
      <c r="E178" s="3" t="s">
        <v>111</v>
      </c>
      <c r="F178" s="34">
        <v>5</v>
      </c>
      <c r="G178" s="34"/>
      <c r="H178" s="34">
        <f t="shared" si="46"/>
        <v>0</v>
      </c>
      <c r="I178" s="34">
        <f t="shared" si="47"/>
        <v>0</v>
      </c>
      <c r="J178" s="34">
        <f t="shared" si="48"/>
        <v>0</v>
      </c>
      <c r="K178" s="34">
        <v>0.00022000000000000003</v>
      </c>
      <c r="L178" s="34">
        <f t="shared" si="49"/>
        <v>0.0011000000000000003</v>
      </c>
      <c r="N178" s="35" t="s">
        <v>81</v>
      </c>
      <c r="O178" s="34">
        <f t="shared" si="50"/>
        <v>0</v>
      </c>
      <c r="Z178" s="34">
        <f t="shared" si="51"/>
        <v>0</v>
      </c>
      <c r="AA178" s="34">
        <f t="shared" si="52"/>
        <v>0</v>
      </c>
      <c r="AB178" s="34">
        <f t="shared" si="53"/>
        <v>0</v>
      </c>
      <c r="AD178" s="34">
        <v>14</v>
      </c>
      <c r="AE178" s="34">
        <f>G178*0.884772288439483</f>
        <v>0</v>
      </c>
      <c r="AF178" s="34">
        <f>G178*(1-0.884772288439483)</f>
        <v>0</v>
      </c>
      <c r="AL178" s="34"/>
    </row>
    <row r="179" spans="1:38" ht="12.75">
      <c r="A179" s="3" t="s">
        <v>538</v>
      </c>
      <c r="B179" s="3"/>
      <c r="C179" s="3" t="s">
        <v>539</v>
      </c>
      <c r="D179" s="3" t="s">
        <v>567</v>
      </c>
      <c r="E179" s="3" t="s">
        <v>460</v>
      </c>
      <c r="F179" s="34">
        <v>5</v>
      </c>
      <c r="G179" s="34"/>
      <c r="H179" s="34">
        <f t="shared" si="46"/>
        <v>0</v>
      </c>
      <c r="I179" s="34">
        <f t="shared" si="47"/>
        <v>0</v>
      </c>
      <c r="J179" s="34">
        <f t="shared" si="48"/>
        <v>0</v>
      </c>
      <c r="K179" s="34">
        <v>0.018</v>
      </c>
      <c r="L179" s="34"/>
      <c r="N179" s="35" t="s">
        <v>81</v>
      </c>
      <c r="O179" s="34">
        <f t="shared" si="50"/>
        <v>0</v>
      </c>
      <c r="Z179" s="34">
        <f t="shared" si="51"/>
        <v>0</v>
      </c>
      <c r="AA179" s="34">
        <f t="shared" si="52"/>
        <v>0</v>
      </c>
      <c r="AB179" s="34">
        <f t="shared" si="53"/>
        <v>0</v>
      </c>
      <c r="AD179" s="34">
        <v>14</v>
      </c>
      <c r="AE179" s="34">
        <f>G179*0.924095043199195</f>
        <v>0</v>
      </c>
      <c r="AF179" s="34">
        <f>G179*(1-0.924095043199195)</f>
        <v>0</v>
      </c>
      <c r="AL179" s="34"/>
    </row>
    <row r="180" spans="1:38" ht="12.75">
      <c r="A180" s="36"/>
      <c r="B180" s="36"/>
      <c r="C180" s="37" t="s">
        <v>356</v>
      </c>
      <c r="D180" s="39" t="s">
        <v>540</v>
      </c>
      <c r="E180" s="39"/>
      <c r="F180" s="39"/>
      <c r="G180" s="39"/>
      <c r="H180" s="33">
        <f>SUM(H181:H181)</f>
        <v>0</v>
      </c>
      <c r="I180" s="33">
        <f>SUM(I181:I181)</f>
        <v>0</v>
      </c>
      <c r="J180" s="33">
        <f>H180+I180</f>
        <v>0</v>
      </c>
      <c r="K180" s="28"/>
      <c r="L180" s="33">
        <f>SUM(L181:L181)</f>
        <v>0</v>
      </c>
      <c r="P180" s="33">
        <f>IF(Q180="PR",J180,SUM(O181:O181))</f>
        <v>0</v>
      </c>
      <c r="Q180" s="28" t="s">
        <v>80</v>
      </c>
      <c r="R180" s="33">
        <f>IF(Q180="HS",H180,0)</f>
        <v>0</v>
      </c>
      <c r="S180" s="33">
        <f>IF(Q180="HS",I180-P180,0)</f>
        <v>0</v>
      </c>
      <c r="T180" s="33">
        <f>IF(Q180="PS",H180,0)</f>
        <v>0</v>
      </c>
      <c r="U180" s="33">
        <f>IF(Q180="PS",I180-P180,0)</f>
        <v>0</v>
      </c>
      <c r="V180" s="33">
        <f>IF(Q180="MP",H180,0)</f>
        <v>0</v>
      </c>
      <c r="W180" s="33">
        <f>IF(Q180="MP",I180-P180,0)</f>
        <v>0</v>
      </c>
      <c r="X180" s="33">
        <f>IF(Q180="OM",H180,0)</f>
        <v>0</v>
      </c>
      <c r="Y180" s="28"/>
      <c r="AI180" s="33">
        <f>SUM(Z181:Z181)</f>
        <v>0</v>
      </c>
      <c r="AJ180" s="33">
        <f>SUM(AA181:AA181)</f>
        <v>0</v>
      </c>
      <c r="AK180" s="33">
        <f>SUM(AB181:AB181)</f>
        <v>0</v>
      </c>
      <c r="AL180" s="43"/>
    </row>
    <row r="181" spans="1:38" ht="12.75">
      <c r="A181" s="3" t="s">
        <v>541</v>
      </c>
      <c r="B181" s="3"/>
      <c r="C181" s="3" t="s">
        <v>542</v>
      </c>
      <c r="D181" s="3" t="s">
        <v>543</v>
      </c>
      <c r="E181" s="3" t="s">
        <v>84</v>
      </c>
      <c r="F181" s="34">
        <v>1.65</v>
      </c>
      <c r="G181" s="34"/>
      <c r="H181" s="34">
        <f>ROUND(F181*AE181,2)</f>
        <v>0</v>
      </c>
      <c r="I181" s="34">
        <f>J181-H181</f>
        <v>0</v>
      </c>
      <c r="J181" s="34">
        <f>ROUND(F181*G181,2)</f>
        <v>0</v>
      </c>
      <c r="K181" s="34">
        <v>1.8</v>
      </c>
      <c r="L181" s="34">
        <v>0</v>
      </c>
      <c r="N181" s="35" t="s">
        <v>81</v>
      </c>
      <c r="O181" s="34">
        <f>IF(N181="5",I181,0)</f>
        <v>0</v>
      </c>
      <c r="Z181" s="34">
        <f>IF(AD181=0,J181,0)</f>
        <v>0</v>
      </c>
      <c r="AA181" s="34">
        <f>IF(AD181=14,J181,0)</f>
        <v>0</v>
      </c>
      <c r="AB181" s="34">
        <f>IF(AD181=20,J181,0)</f>
        <v>0</v>
      </c>
      <c r="AD181" s="34">
        <v>14</v>
      </c>
      <c r="AE181" s="34">
        <f>G181*0.0165644979109322</f>
        <v>0</v>
      </c>
      <c r="AF181" s="34">
        <f>G181*(1-0.0165644979109322)</f>
        <v>0</v>
      </c>
      <c r="AL181" s="34"/>
    </row>
    <row r="182" spans="1:38" ht="12.75">
      <c r="A182" s="36"/>
      <c r="B182" s="36"/>
      <c r="C182" s="37" t="s">
        <v>544</v>
      </c>
      <c r="D182" s="39" t="s">
        <v>106</v>
      </c>
      <c r="E182" s="39"/>
      <c r="F182" s="39"/>
      <c r="G182" s="39"/>
      <c r="H182" s="33">
        <f>SUM(H183:H183)</f>
        <v>0</v>
      </c>
      <c r="I182" s="33">
        <f>SUM(I183:I183)</f>
        <v>0</v>
      </c>
      <c r="J182" s="33">
        <f>H182+I182</f>
        <v>0</v>
      </c>
      <c r="K182" s="28"/>
      <c r="L182" s="33">
        <f>SUM(L183:L183)</f>
        <v>0</v>
      </c>
      <c r="P182" s="33">
        <f>IF(Q182="PR",J182,SUM(O183:O183))</f>
        <v>0</v>
      </c>
      <c r="Q182" s="28" t="s">
        <v>545</v>
      </c>
      <c r="R182" s="33">
        <f>IF(Q182="HS",H182,0)</f>
        <v>0</v>
      </c>
      <c r="S182" s="33">
        <f>IF(Q182="HS",I182-P182,0)</f>
        <v>0</v>
      </c>
      <c r="T182" s="33">
        <f>IF(Q182="PS",H182,0)</f>
        <v>0</v>
      </c>
      <c r="U182" s="33">
        <f>IF(Q182="PS",I182-P182,0)</f>
        <v>0</v>
      </c>
      <c r="V182" s="33">
        <f>IF(Q182="MP",H182,0)</f>
        <v>0</v>
      </c>
      <c r="W182" s="33">
        <f>IF(Q182="MP",I182-P182,0)</f>
        <v>0</v>
      </c>
      <c r="X182" s="33">
        <f>IF(Q182="OM",H182,0)</f>
        <v>0</v>
      </c>
      <c r="Y182" s="28"/>
      <c r="AI182" s="33">
        <f>SUM(Z183:Z183)</f>
        <v>0</v>
      </c>
      <c r="AJ182" s="33">
        <f>SUM(AA183:AA183)</f>
        <v>0</v>
      </c>
      <c r="AK182" s="33">
        <f>SUM(AB183:AB183)</f>
        <v>0</v>
      </c>
      <c r="AL182" s="43"/>
    </row>
    <row r="183" spans="1:38" ht="12.75">
      <c r="A183" s="3" t="s">
        <v>546</v>
      </c>
      <c r="B183" s="3"/>
      <c r="C183" s="3" t="s">
        <v>547</v>
      </c>
      <c r="D183" s="3" t="s">
        <v>548</v>
      </c>
      <c r="E183" s="3" t="s">
        <v>549</v>
      </c>
      <c r="F183" s="34">
        <v>3.2</v>
      </c>
      <c r="G183" s="34"/>
      <c r="H183" s="34">
        <f>ROUND(F183*AE183,2)</f>
        <v>0</v>
      </c>
      <c r="I183" s="34">
        <f>J183-H183</f>
        <v>0</v>
      </c>
      <c r="J183" s="34">
        <f>ROUND(F183*G183,2)</f>
        <v>0</v>
      </c>
      <c r="K183" s="34">
        <v>0</v>
      </c>
      <c r="L183" s="34">
        <f>F183*K183</f>
        <v>0</v>
      </c>
      <c r="N183" s="35" t="s">
        <v>96</v>
      </c>
      <c r="O183" s="34">
        <f>IF(N183="5",I183,0)</f>
        <v>0</v>
      </c>
      <c r="Z183" s="34">
        <f>IF(AD183=0,J183,0)</f>
        <v>0</v>
      </c>
      <c r="AA183" s="34">
        <f>IF(AD183=14,J183,0)</f>
        <v>0</v>
      </c>
      <c r="AB183" s="34">
        <f>IF(AD183=20,J183,0)</f>
        <v>0</v>
      </c>
      <c r="AD183" s="34">
        <v>14</v>
      </c>
      <c r="AE183" s="34">
        <f>G183*0</f>
        <v>0</v>
      </c>
      <c r="AF183" s="34">
        <f>G183*(1-0)</f>
        <v>0</v>
      </c>
      <c r="AL183" s="34"/>
    </row>
    <row r="184" spans="1:38" ht="12.75">
      <c r="A184" s="36"/>
      <c r="B184" s="36"/>
      <c r="C184" s="37" t="s">
        <v>550</v>
      </c>
      <c r="D184" s="39" t="s">
        <v>202</v>
      </c>
      <c r="E184" s="39"/>
      <c r="F184" s="39"/>
      <c r="G184" s="39"/>
      <c r="H184" s="33">
        <f>SUM(H185:H185)</f>
        <v>0</v>
      </c>
      <c r="I184" s="33">
        <f>SUM(I185:I185)</f>
        <v>0</v>
      </c>
      <c r="J184" s="33">
        <f>H184+I184</f>
        <v>0</v>
      </c>
      <c r="K184" s="28"/>
      <c r="L184" s="33">
        <f>SUM(L185:L185)</f>
        <v>0</v>
      </c>
      <c r="P184" s="33">
        <f>IF(Q184="PR",J184,SUM(O185:O185))</f>
        <v>0</v>
      </c>
      <c r="Q184" s="28" t="s">
        <v>545</v>
      </c>
      <c r="R184" s="33">
        <f>IF(Q184="HS",H184,0)</f>
        <v>0</v>
      </c>
      <c r="S184" s="33">
        <f>IF(Q184="HS",I184-P184,0)</f>
        <v>0</v>
      </c>
      <c r="T184" s="33">
        <f>IF(Q184="PS",H184,0)</f>
        <v>0</v>
      </c>
      <c r="U184" s="33">
        <f>IF(Q184="PS",I184-P184,0)</f>
        <v>0</v>
      </c>
      <c r="V184" s="33">
        <f>IF(Q184="MP",H184,0)</f>
        <v>0</v>
      </c>
      <c r="W184" s="33">
        <f>IF(Q184="MP",I184-P184,0)</f>
        <v>0</v>
      </c>
      <c r="X184" s="33">
        <f>IF(Q184="OM",H184,0)</f>
        <v>0</v>
      </c>
      <c r="Y184" s="28"/>
      <c r="AI184" s="33">
        <f>SUM(Z185:Z185)</f>
        <v>0</v>
      </c>
      <c r="AJ184" s="33">
        <f>SUM(AA185:AA185)</f>
        <v>0</v>
      </c>
      <c r="AK184" s="33">
        <f>SUM(AB185:AB185)</f>
        <v>0</v>
      </c>
      <c r="AL184" s="43"/>
    </row>
    <row r="185" spans="1:38" ht="12.75">
      <c r="A185" s="3" t="s">
        <v>551</v>
      </c>
      <c r="B185" s="3"/>
      <c r="C185" s="3" t="s">
        <v>552</v>
      </c>
      <c r="D185" s="3" t="s">
        <v>553</v>
      </c>
      <c r="E185" s="3" t="s">
        <v>549</v>
      </c>
      <c r="F185" s="34">
        <v>30.5</v>
      </c>
      <c r="G185" s="34"/>
      <c r="H185" s="34">
        <f>ROUND(F185*AE185,2)</f>
        <v>0</v>
      </c>
      <c r="I185" s="34">
        <f>J185-H185</f>
        <v>0</v>
      </c>
      <c r="J185" s="34">
        <f>ROUND(F185*G185,2)</f>
        <v>0</v>
      </c>
      <c r="K185" s="34">
        <v>0</v>
      </c>
      <c r="L185" s="34">
        <f>F185*K185</f>
        <v>0</v>
      </c>
      <c r="N185" s="35" t="s">
        <v>96</v>
      </c>
      <c r="O185" s="34">
        <f>IF(N185="5",I185,0)</f>
        <v>0</v>
      </c>
      <c r="Z185" s="34">
        <f>IF(AD185=0,J185,0)</f>
        <v>0</v>
      </c>
      <c r="AA185" s="34">
        <f>IF(AD185=14,J185,0)</f>
        <v>0</v>
      </c>
      <c r="AB185" s="34">
        <f>IF(AD185=20,J185,0)</f>
        <v>0</v>
      </c>
      <c r="AD185" s="34">
        <v>14</v>
      </c>
      <c r="AE185" s="34">
        <f>G185*0</f>
        <v>0</v>
      </c>
      <c r="AF185" s="34">
        <f>G185*(1-0)</f>
        <v>0</v>
      </c>
      <c r="AL185" s="34"/>
    </row>
    <row r="186" spans="1:38" ht="12.75">
      <c r="A186" s="36"/>
      <c r="B186" s="36"/>
      <c r="C186" s="37" t="s">
        <v>554</v>
      </c>
      <c r="D186" s="39" t="s">
        <v>495</v>
      </c>
      <c r="E186" s="39"/>
      <c r="F186" s="39"/>
      <c r="G186" s="39"/>
      <c r="H186" s="33">
        <f>SUM(H187:H187)</f>
        <v>0</v>
      </c>
      <c r="I186" s="33">
        <f>SUM(I187:I187)</f>
        <v>0</v>
      </c>
      <c r="J186" s="33">
        <f>H186+I186</f>
        <v>0</v>
      </c>
      <c r="K186" s="28"/>
      <c r="L186" s="33">
        <f>SUM(L187:L187)</f>
        <v>0</v>
      </c>
      <c r="P186" s="33">
        <f>IF(Q186="PR",J186,SUM(O187:O187))</f>
        <v>0</v>
      </c>
      <c r="Q186" s="28" t="s">
        <v>545</v>
      </c>
      <c r="R186" s="33">
        <f>IF(Q186="HS",H186,0)</f>
        <v>0</v>
      </c>
      <c r="S186" s="33">
        <f>IF(Q186="HS",I186-P186,0)</f>
        <v>0</v>
      </c>
      <c r="T186" s="33">
        <f>IF(Q186="PS",H186,0)</f>
        <v>0</v>
      </c>
      <c r="U186" s="33">
        <f>IF(Q186="PS",I186-P186,0)</f>
        <v>0</v>
      </c>
      <c r="V186" s="33">
        <f>IF(Q186="MP",H186,0)</f>
        <v>0</v>
      </c>
      <c r="W186" s="33">
        <f>IF(Q186="MP",I186-P186,0)</f>
        <v>0</v>
      </c>
      <c r="X186" s="33">
        <f>IF(Q186="OM",H186,0)</f>
        <v>0</v>
      </c>
      <c r="Y186" s="28"/>
      <c r="AI186" s="33">
        <f>SUM(Z187:Z187)</f>
        <v>0</v>
      </c>
      <c r="AJ186" s="33">
        <f>SUM(AA187:AA187)</f>
        <v>0</v>
      </c>
      <c r="AK186" s="33">
        <f>SUM(AB187:AB187)</f>
        <v>0</v>
      </c>
      <c r="AL186" s="43"/>
    </row>
    <row r="187" spans="1:38" ht="12.75">
      <c r="A187" s="3" t="s">
        <v>555</v>
      </c>
      <c r="B187" s="3"/>
      <c r="C187" s="3" t="s">
        <v>556</v>
      </c>
      <c r="D187" s="3" t="s">
        <v>557</v>
      </c>
      <c r="E187" s="3" t="s">
        <v>549</v>
      </c>
      <c r="F187" s="34">
        <v>0.4</v>
      </c>
      <c r="G187" s="34"/>
      <c r="H187" s="34">
        <f>ROUND(F187*AE187,2)</f>
        <v>0</v>
      </c>
      <c r="I187" s="34">
        <f>J187-H187</f>
        <v>0</v>
      </c>
      <c r="J187" s="34">
        <f>ROUND(F187*G187,2)</f>
        <v>0</v>
      </c>
      <c r="K187" s="34">
        <v>0</v>
      </c>
      <c r="L187" s="34">
        <f>F187*K187</f>
        <v>0</v>
      </c>
      <c r="N187" s="35" t="s">
        <v>96</v>
      </c>
      <c r="O187" s="34">
        <f>IF(N187="5",I187,0)</f>
        <v>0</v>
      </c>
      <c r="Z187" s="34">
        <f>IF(AD187=0,J187,0)</f>
        <v>0</v>
      </c>
      <c r="AA187" s="34">
        <f>IF(AD187=14,J187,0)</f>
        <v>0</v>
      </c>
      <c r="AB187" s="34">
        <f>IF(AD187=20,J187,0)</f>
        <v>0</v>
      </c>
      <c r="AD187" s="34">
        <v>14</v>
      </c>
      <c r="AE187" s="34">
        <f>G187*0</f>
        <v>0</v>
      </c>
      <c r="AF187" s="34">
        <f>G187*(1-0)</f>
        <v>0</v>
      </c>
      <c r="AL187" s="34"/>
    </row>
    <row r="188" spans="1:38" ht="12.75">
      <c r="A188" s="36"/>
      <c r="B188" s="36"/>
      <c r="C188" s="37"/>
      <c r="D188" s="39" t="s">
        <v>38</v>
      </c>
      <c r="E188" s="39"/>
      <c r="F188" s="39"/>
      <c r="G188" s="39"/>
      <c r="H188" s="33">
        <f>SUM(H189:H190)</f>
        <v>0</v>
      </c>
      <c r="I188" s="33">
        <f>SUM(I190:I190)</f>
        <v>0</v>
      </c>
      <c r="J188" s="33">
        <f>H188+I188</f>
        <v>0</v>
      </c>
      <c r="K188" s="28"/>
      <c r="L188" s="33">
        <f>SUM(L190:L190)</f>
        <v>0</v>
      </c>
      <c r="P188" s="33">
        <f>IF(Q188="PR",J188,SUM(O190:O190))</f>
        <v>0</v>
      </c>
      <c r="Q188" s="28" t="s">
        <v>558</v>
      </c>
      <c r="R188" s="33">
        <f>IF(Q188="HS",H188,0)</f>
        <v>0</v>
      </c>
      <c r="S188" s="33">
        <f>IF(Q188="HS",I188-P188,0)</f>
        <v>0</v>
      </c>
      <c r="T188" s="33">
        <f>IF(Q188="PS",H188,0)</f>
        <v>0</v>
      </c>
      <c r="U188" s="33">
        <f>IF(Q188="PS",I188-P188,0)</f>
        <v>0</v>
      </c>
      <c r="V188" s="33">
        <f>IF(Q188="MP",H188,0)</f>
        <v>0</v>
      </c>
      <c r="W188" s="33">
        <f>IF(Q188="MP",I188-P188,0)</f>
        <v>0</v>
      </c>
      <c r="X188" s="33">
        <f>IF(Q188="OM",H188,0)</f>
        <v>0</v>
      </c>
      <c r="Y188" s="28"/>
      <c r="AI188" s="33">
        <f>SUM(Z190:Z190)</f>
        <v>0</v>
      </c>
      <c r="AJ188" s="33">
        <f>SUM(AA190:AA190)</f>
        <v>0</v>
      </c>
      <c r="AK188" s="33">
        <f>SUM(AB190:AB190)</f>
        <v>0</v>
      </c>
      <c r="AL188" s="43"/>
    </row>
    <row r="189" spans="1:38" ht="12.75">
      <c r="A189" s="3" t="s">
        <v>13</v>
      </c>
      <c r="B189" s="3"/>
      <c r="C189" s="3" t="s">
        <v>559</v>
      </c>
      <c r="D189" s="3" t="s">
        <v>560</v>
      </c>
      <c r="E189" s="3" t="s">
        <v>125</v>
      </c>
      <c r="F189" s="34">
        <v>1</v>
      </c>
      <c r="G189" s="34"/>
      <c r="H189" s="34">
        <f>ROUND(F189*AE189,2)</f>
        <v>0</v>
      </c>
      <c r="I189" s="34">
        <f>J189-H189</f>
        <v>0</v>
      </c>
      <c r="J189" s="34">
        <f>ROUND(F189*G189,2)</f>
        <v>0</v>
      </c>
      <c r="K189" s="34">
        <v>0</v>
      </c>
      <c r="L189" s="34">
        <f>F189*K189</f>
        <v>0</v>
      </c>
      <c r="N189" s="35" t="s">
        <v>112</v>
      </c>
      <c r="O189" s="34">
        <f>IF(N189="5",I189,0)</f>
        <v>0</v>
      </c>
      <c r="Z189" s="34">
        <f>IF(AD189=0,J189,0)</f>
        <v>0</v>
      </c>
      <c r="AA189" s="34">
        <f>IF(AD189=14,J189,0)</f>
        <v>0</v>
      </c>
      <c r="AB189" s="34">
        <f>IF(AD189=20,J189,0)</f>
        <v>0</v>
      </c>
      <c r="AD189" s="34">
        <v>14</v>
      </c>
      <c r="AE189" s="34">
        <f>G189*1</f>
        <v>0</v>
      </c>
      <c r="AF189" s="34">
        <f>G189*(1-1)</f>
        <v>0</v>
      </c>
      <c r="AL189" s="34"/>
    </row>
    <row r="190" spans="1:38" ht="12.75">
      <c r="A190" s="41" t="s">
        <v>562</v>
      </c>
      <c r="B190" s="41"/>
      <c r="C190" s="41" t="s">
        <v>563</v>
      </c>
      <c r="D190" s="41" t="s">
        <v>564</v>
      </c>
      <c r="E190" s="41" t="s">
        <v>125</v>
      </c>
      <c r="F190" s="42">
        <v>1</v>
      </c>
      <c r="G190" s="42"/>
      <c r="H190" s="42">
        <f>ROUND(F190*AE190,2)</f>
        <v>0</v>
      </c>
      <c r="I190" s="42">
        <f>J190-H190</f>
        <v>0</v>
      </c>
      <c r="J190" s="42">
        <f>ROUND(F190*G190,2)</f>
        <v>0</v>
      </c>
      <c r="K190" s="42">
        <v>0</v>
      </c>
      <c r="L190" s="42">
        <f>F190*K190</f>
        <v>0</v>
      </c>
      <c r="N190" s="35" t="s">
        <v>112</v>
      </c>
      <c r="O190" s="34">
        <f>IF(N190="5",I190,0)</f>
        <v>0</v>
      </c>
      <c r="Z190" s="34">
        <f>IF(AD190=0,J190,0)</f>
        <v>0</v>
      </c>
      <c r="AA190" s="34">
        <f>IF(AD190=14,J190,0)</f>
        <v>0</v>
      </c>
      <c r="AB190" s="34">
        <f>IF(AD190=20,J190,0)</f>
        <v>0</v>
      </c>
      <c r="AD190" s="34">
        <v>14</v>
      </c>
      <c r="AE190" s="34">
        <f>G190*1</f>
        <v>0</v>
      </c>
      <c r="AF190" s="34">
        <f>G190*(1-1)</f>
        <v>0</v>
      </c>
      <c r="AL190" s="34"/>
    </row>
    <row r="191" spans="1:28" ht="12.75">
      <c r="A191" s="40"/>
      <c r="B191" s="40"/>
      <c r="C191" s="40"/>
      <c r="D191" s="40"/>
      <c r="E191" s="40"/>
      <c r="F191" s="40"/>
      <c r="G191" s="40"/>
      <c r="H191" s="71" t="s">
        <v>561</v>
      </c>
      <c r="I191" s="71"/>
      <c r="J191" s="38">
        <f>J12+J17+J21+J53+J162+J180+J182+J184+J186+J188</f>
        <v>0</v>
      </c>
      <c r="K191" s="40"/>
      <c r="L191" s="40"/>
      <c r="Z191" s="38">
        <f>SUM(Z13:Z190)</f>
        <v>0</v>
      </c>
      <c r="AA191" s="38">
        <f>SUM(AA13:AA190)</f>
        <v>0</v>
      </c>
      <c r="AB191" s="38">
        <f>SUM(AB13:AB190)</f>
        <v>0</v>
      </c>
    </row>
  </sheetData>
  <sheetProtection selectLockedCells="1" selectUnlockedCells="1"/>
  <mergeCells count="29">
    <mergeCell ref="J8:L9"/>
    <mergeCell ref="H10:J10"/>
    <mergeCell ref="K10:L10"/>
    <mergeCell ref="A8:C9"/>
    <mergeCell ref="D8:D9"/>
    <mergeCell ref="E8:F9"/>
    <mergeCell ref="G8:H9"/>
    <mergeCell ref="H191:I191"/>
    <mergeCell ref="D12:G12"/>
    <mergeCell ref="I8:I9"/>
    <mergeCell ref="I6:I7"/>
    <mergeCell ref="J6:L7"/>
    <mergeCell ref="A4:C5"/>
    <mergeCell ref="D4:D5"/>
    <mergeCell ref="E4:F5"/>
    <mergeCell ref="A6:C7"/>
    <mergeCell ref="D6:D7"/>
    <mergeCell ref="E6:F7"/>
    <mergeCell ref="G6:H7"/>
    <mergeCell ref="G4:H5"/>
    <mergeCell ref="I4:I5"/>
    <mergeCell ref="J4:L5"/>
    <mergeCell ref="A1:L1"/>
    <mergeCell ref="A2:C3"/>
    <mergeCell ref="D2:D3"/>
    <mergeCell ref="E2:F3"/>
    <mergeCell ref="G2:H3"/>
    <mergeCell ref="I2:I3"/>
    <mergeCell ref="J2:L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2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created xsi:type="dcterms:W3CDTF">2017-09-15T07:55:23Z</dcterms:created>
  <dcterms:modified xsi:type="dcterms:W3CDTF">2017-09-15T07:55:23Z</dcterms:modified>
  <cp:category/>
  <cp:version/>
  <cp:contentType/>
  <cp:contentStatus/>
</cp:coreProperties>
</file>