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vel Verzich\Desktop\"/>
    </mc:Choice>
  </mc:AlternateContent>
  <bookViews>
    <workbookView xWindow="0" yWindow="0" windowWidth="20490" windowHeight="7065" tabRatio="500"/>
  </bookViews>
  <sheets>
    <sheet name="Stavební rozpoč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3" i="1" l="1"/>
  <c r="H13" i="1" s="1"/>
  <c r="AE14" i="1"/>
  <c r="H14" i="1" s="1"/>
  <c r="AE15" i="1"/>
  <c r="H15" i="1" s="1"/>
  <c r="AE16" i="1"/>
  <c r="H16" i="1" s="1"/>
  <c r="AE17" i="1"/>
  <c r="H17" i="1" s="1"/>
  <c r="AE18" i="1"/>
  <c r="H18" i="1" s="1"/>
  <c r="AE19" i="1"/>
  <c r="H19" i="1" s="1"/>
  <c r="AE28" i="1"/>
  <c r="H28" i="1" s="1"/>
  <c r="R29" i="1"/>
  <c r="AE35" i="1"/>
  <c r="H35" i="1" s="1"/>
  <c r="AE36" i="1"/>
  <c r="H36" i="1" s="1"/>
  <c r="AE37" i="1"/>
  <c r="H37" i="1" s="1"/>
  <c r="R42" i="1"/>
  <c r="J13" i="1"/>
  <c r="AB13" i="1" s="1"/>
  <c r="J14" i="1"/>
  <c r="AB14" i="1" s="1"/>
  <c r="J15" i="1"/>
  <c r="AB15" i="1" s="1"/>
  <c r="J16" i="1"/>
  <c r="J17" i="1"/>
  <c r="J18" i="1"/>
  <c r="AB18" i="1" s="1"/>
  <c r="J19" i="1"/>
  <c r="J20" i="1"/>
  <c r="I20" i="1" s="1"/>
  <c r="J21" i="1"/>
  <c r="I21" i="1" s="1"/>
  <c r="J22" i="1"/>
  <c r="I22" i="1" s="1"/>
  <c r="J23" i="1"/>
  <c r="I23" i="1" s="1"/>
  <c r="J24" i="1"/>
  <c r="I24" i="1" s="1"/>
  <c r="J25" i="1"/>
  <c r="I25" i="1" s="1"/>
  <c r="J26" i="1"/>
  <c r="I26" i="1" s="1"/>
  <c r="J27" i="1"/>
  <c r="I27" i="1" s="1"/>
  <c r="J28" i="1"/>
  <c r="AB28" i="1" s="1"/>
  <c r="O13" i="1"/>
  <c r="O14" i="1"/>
  <c r="O15" i="1"/>
  <c r="O16" i="1"/>
  <c r="O17" i="1"/>
  <c r="O18" i="1"/>
  <c r="O19" i="1"/>
  <c r="O27" i="1"/>
  <c r="O28" i="1"/>
  <c r="S29" i="1"/>
  <c r="J35" i="1"/>
  <c r="AB35" i="1" s="1"/>
  <c r="J36" i="1"/>
  <c r="J37" i="1"/>
  <c r="AB37" i="1" s="1"/>
  <c r="O35" i="1"/>
  <c r="O36" i="1"/>
  <c r="O37" i="1"/>
  <c r="S42" i="1"/>
  <c r="T12" i="1"/>
  <c r="AE30" i="1"/>
  <c r="H30" i="1" s="1"/>
  <c r="AE31" i="1"/>
  <c r="H31" i="1" s="1"/>
  <c r="AE32" i="1"/>
  <c r="H32" i="1" s="1"/>
  <c r="AE33" i="1"/>
  <c r="H33" i="1" s="1"/>
  <c r="T34" i="1"/>
  <c r="T42" i="1"/>
  <c r="V12" i="1"/>
  <c r="V29" i="1"/>
  <c r="V34" i="1"/>
  <c r="V42" i="1"/>
  <c r="W12" i="1"/>
  <c r="W29" i="1"/>
  <c r="W34" i="1"/>
  <c r="W42" i="1"/>
  <c r="X12" i="1"/>
  <c r="X29" i="1"/>
  <c r="X34" i="1"/>
  <c r="X42" i="1"/>
  <c r="O30" i="1"/>
  <c r="O31" i="1"/>
  <c r="O32" i="1"/>
  <c r="O33" i="1"/>
  <c r="AE43" i="1"/>
  <c r="H43" i="1" s="1"/>
  <c r="H42" i="1" s="1"/>
  <c r="J43" i="1"/>
  <c r="AB43" i="1" s="1"/>
  <c r="AK42" i="1" s="1"/>
  <c r="Z13" i="1"/>
  <c r="Z14" i="1"/>
  <c r="Z15" i="1"/>
  <c r="Z16" i="1"/>
  <c r="Z17" i="1"/>
  <c r="Z18" i="1"/>
  <c r="Z19" i="1"/>
  <c r="Z27" i="1"/>
  <c r="Z28" i="1"/>
  <c r="Z30" i="1"/>
  <c r="Z31" i="1"/>
  <c r="Z32" i="1"/>
  <c r="Z33" i="1"/>
  <c r="Z35" i="1"/>
  <c r="Z36" i="1"/>
  <c r="Z37" i="1"/>
  <c r="Z43" i="1"/>
  <c r="AI42" i="1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U12" i="1"/>
  <c r="AA13" i="1"/>
  <c r="AA14" i="1"/>
  <c r="AA15" i="1"/>
  <c r="AA16" i="1"/>
  <c r="AA17" i="1"/>
  <c r="AA18" i="1"/>
  <c r="AA19" i="1"/>
  <c r="AA27" i="1"/>
  <c r="AA28" i="1"/>
  <c r="AF13" i="1"/>
  <c r="AF14" i="1"/>
  <c r="AF15" i="1"/>
  <c r="AF16" i="1"/>
  <c r="AF17" i="1"/>
  <c r="AF18" i="1"/>
  <c r="AF19" i="1"/>
  <c r="AE27" i="1"/>
  <c r="AF27" i="1"/>
  <c r="AF28" i="1"/>
  <c r="J30" i="1"/>
  <c r="J31" i="1"/>
  <c r="AB31" i="1" s="1"/>
  <c r="J32" i="1"/>
  <c r="AB32" i="1" s="1"/>
  <c r="J33" i="1"/>
  <c r="AB33" i="1" s="1"/>
  <c r="L30" i="1"/>
  <c r="L31" i="1"/>
  <c r="L32" i="1"/>
  <c r="L33" i="1"/>
  <c r="AA30" i="1"/>
  <c r="AA31" i="1"/>
  <c r="AA32" i="1"/>
  <c r="AA33" i="1"/>
  <c r="AF30" i="1"/>
  <c r="AF31" i="1"/>
  <c r="AF32" i="1"/>
  <c r="AF33" i="1"/>
  <c r="L35" i="1"/>
  <c r="L36" i="1"/>
  <c r="L37" i="1"/>
  <c r="U34" i="1"/>
  <c r="AA35" i="1"/>
  <c r="AA36" i="1"/>
  <c r="AA37" i="1"/>
  <c r="AF35" i="1"/>
  <c r="AF36" i="1"/>
  <c r="AF37" i="1"/>
  <c r="H39" i="1"/>
  <c r="I39" i="1" s="1"/>
  <c r="H40" i="1"/>
  <c r="H41" i="1"/>
  <c r="J39" i="1"/>
  <c r="J40" i="1"/>
  <c r="J41" i="1"/>
  <c r="L39" i="1"/>
  <c r="L40" i="1"/>
  <c r="L41" i="1"/>
  <c r="L43" i="1"/>
  <c r="L42" i="1" s="1"/>
  <c r="U42" i="1"/>
  <c r="AA43" i="1"/>
  <c r="AJ42" i="1" s="1"/>
  <c r="AF43" i="1"/>
  <c r="I15" i="1" l="1"/>
  <c r="L34" i="1"/>
  <c r="I30" i="1"/>
  <c r="I16" i="1"/>
  <c r="I28" i="1"/>
  <c r="I37" i="1"/>
  <c r="I13" i="1"/>
  <c r="I41" i="1"/>
  <c r="P34" i="1"/>
  <c r="I18" i="1"/>
  <c r="H38" i="1"/>
  <c r="L29" i="1"/>
  <c r="L12" i="1"/>
  <c r="AI34" i="1"/>
  <c r="I31" i="1"/>
  <c r="L38" i="1"/>
  <c r="I35" i="1"/>
  <c r="I14" i="1"/>
  <c r="AI29" i="1"/>
  <c r="AJ34" i="1"/>
  <c r="I33" i="1"/>
  <c r="I32" i="1"/>
  <c r="H34" i="1"/>
  <c r="I40" i="1"/>
  <c r="I43" i="1"/>
  <c r="O43" i="1" s="1"/>
  <c r="I36" i="1"/>
  <c r="I17" i="1"/>
  <c r="AB36" i="1"/>
  <c r="AK34" i="1" s="1"/>
  <c r="P29" i="1"/>
  <c r="AJ29" i="1"/>
  <c r="H29" i="1"/>
  <c r="AB30" i="1"/>
  <c r="AK29" i="1" s="1"/>
  <c r="AB27" i="1"/>
  <c r="I19" i="1"/>
  <c r="AB19" i="1"/>
  <c r="AJ12" i="1"/>
  <c r="AB16" i="1"/>
  <c r="P12" i="1"/>
  <c r="Z44" i="1"/>
  <c r="AI12" i="1"/>
  <c r="H12" i="1"/>
  <c r="R12" i="1" s="1"/>
  <c r="AB17" i="1"/>
  <c r="AA44" i="1"/>
  <c r="I42" i="1" l="1"/>
  <c r="J42" i="1" s="1"/>
  <c r="P42" i="1" s="1"/>
  <c r="I38" i="1"/>
  <c r="J38" i="1" s="1"/>
  <c r="I34" i="1"/>
  <c r="S34" i="1" s="1"/>
  <c r="I12" i="1"/>
  <c r="J12" i="1" s="1"/>
  <c r="R34" i="1"/>
  <c r="I29" i="1"/>
  <c r="U29" i="1" s="1"/>
  <c r="T29" i="1"/>
  <c r="AB44" i="1"/>
  <c r="AK12" i="1"/>
  <c r="S12" i="1" l="1"/>
  <c r="J29" i="1"/>
  <c r="J34" i="1"/>
  <c r="J44" i="1" l="1"/>
</calcChain>
</file>

<file path=xl/sharedStrings.xml><?xml version="1.0" encoding="utf-8"?>
<sst xmlns="http://schemas.openxmlformats.org/spreadsheetml/2006/main" count="188" uniqueCount="139">
  <si>
    <t>Stavební rozpočet</t>
  </si>
  <si>
    <t>Název stavby:</t>
  </si>
  <si>
    <t>Oprava fasády , zateplení</t>
  </si>
  <si>
    <t>Doba výstavby:</t>
  </si>
  <si>
    <t>Objednatel:</t>
  </si>
  <si>
    <t>P. Verzich</t>
  </si>
  <si>
    <t>Druh stavby:</t>
  </si>
  <si>
    <t>RD</t>
  </si>
  <si>
    <t>Začátek výstavby:</t>
  </si>
  <si>
    <t xml:space="preserve"> </t>
  </si>
  <si>
    <t>Projektant:</t>
  </si>
  <si>
    <t>Lokalita:</t>
  </si>
  <si>
    <t>Přestanov</t>
  </si>
  <si>
    <t>Konec výstavby:</t>
  </si>
  <si>
    <t>Zhotovitel:</t>
  </si>
  <si>
    <t>JKSO:</t>
  </si>
  <si>
    <t>Zpracováno dne:</t>
  </si>
  <si>
    <t>Zpracoval: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</si>
  <si>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</si>
  <si>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</si>
  <si>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</si>
  <si>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</si>
  <si>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</si>
  <si>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</si>
  <si>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</si>
  <si>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</si>
  <si>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</si>
  <si>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</si>
  <si>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</si>
  <si>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</si>
  <si>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</si>
  <si>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</si>
  <si>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</si>
  <si>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</si>
  <si>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</si>
  <si>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</si>
  <si>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</si>
  <si>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</si>
  <si>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</si>
  <si>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</si>
  <si>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HS</t>
  </si>
  <si>
    <t>1</t>
  </si>
  <si>
    <t>m</t>
  </si>
  <si>
    <t>62</t>
  </si>
  <si>
    <t>Úprava povrchů vnější</t>
  </si>
  <si>
    <t>2</t>
  </si>
  <si>
    <t>622904112R00</t>
  </si>
  <si>
    <t>Očištění fasád  tlakovou vodou ,dočištění ručně</t>
  </si>
  <si>
    <t>m2</t>
  </si>
  <si>
    <t>3</t>
  </si>
  <si>
    <t>622422111R00</t>
  </si>
  <si>
    <t>Vnější omítka stěn a štítů vápenná nebo vápenocementová hladká složitosti II , do tl. 4 cm</t>
  </si>
  <si>
    <t>4</t>
  </si>
  <si>
    <t>622409991R00</t>
  </si>
  <si>
    <t>Začištění omítek kolem oken,dveří apod.</t>
  </si>
  <si>
    <t>5</t>
  </si>
  <si>
    <t>622471116R00</t>
  </si>
  <si>
    <t>Oprava vnějších omítek říms vápen. hladk. II, do 30 %</t>
  </si>
  <si>
    <t>6</t>
  </si>
  <si>
    <t>622323041R00</t>
  </si>
  <si>
    <t>Nátěr základní penetrační  SilikonGrund pro silikonové tenkovrstvé omítky</t>
  </si>
  <si>
    <t>7</t>
  </si>
  <si>
    <t>622432112R00</t>
  </si>
  <si>
    <t>8</t>
  </si>
  <si>
    <t>621471925R00</t>
  </si>
  <si>
    <t>Příplatek za omítku na podhledech</t>
  </si>
  <si>
    <t>9</t>
  </si>
  <si>
    <t>622711226</t>
  </si>
  <si>
    <t>10</t>
  </si>
  <si>
    <t>622751326</t>
  </si>
  <si>
    <t>KZS lišta zakládací soklová Al tl 1 mm šířky 143 mm</t>
  </si>
  <si>
    <t>11</t>
  </si>
  <si>
    <t>622752135</t>
  </si>
  <si>
    <t>KZS lišta rohová soklová PVC s tkaninou a okapničkou</t>
  </si>
  <si>
    <t>12</t>
  </si>
  <si>
    <t>622752221</t>
  </si>
  <si>
    <t xml:space="preserve">KZS lišta rohová stěnová Al s tkaninou 10/10 mm, </t>
  </si>
  <si>
    <t>13</t>
  </si>
  <si>
    <t>622754111</t>
  </si>
  <si>
    <t>KZS lišta začišťovací s tkaninou u oken, dveří, výloh</t>
  </si>
  <si>
    <t>14</t>
  </si>
  <si>
    <t>622755111</t>
  </si>
  <si>
    <t>Dorovnání okenních špalet – EPS tl.1-4 cm</t>
  </si>
  <si>
    <t>15</t>
  </si>
  <si>
    <t>622756111</t>
  </si>
  <si>
    <t>Potažení vnějších stěn sklotex. pletivem, vypnutí včetně stěrkové a lepící hmoty –  garáž + roleta</t>
  </si>
  <si>
    <t>16</t>
  </si>
  <si>
    <t>621491241R00</t>
  </si>
  <si>
    <t>Příprava podkladu pro parapety</t>
  </si>
  <si>
    <t>17</t>
  </si>
  <si>
    <t>620991121R00</t>
  </si>
  <si>
    <t>Zakrývání výplní vnějších otvorů z lešení</t>
  </si>
  <si>
    <t>PS</t>
  </si>
  <si>
    <t>764</t>
  </si>
  <si>
    <t>Konstrukce klempířské</t>
  </si>
  <si>
    <t>19</t>
  </si>
  <si>
    <t>764510491R00</t>
  </si>
  <si>
    <t>Montáž oplechování parapetů Ti Zn</t>
  </si>
  <si>
    <t>20</t>
  </si>
  <si>
    <t>764511650R00</t>
  </si>
  <si>
    <t>Oplechování parapetů TiZn RHEINZINK, rš. 250 mm</t>
  </si>
  <si>
    <t>21</t>
  </si>
  <si>
    <t>764454803R00</t>
  </si>
  <si>
    <t>Demontáž odpadních trub kruhových,D 100 mm</t>
  </si>
  <si>
    <t>22</t>
  </si>
  <si>
    <t>764554491R00</t>
  </si>
  <si>
    <t>Montáž trub Ti Zn odpadních kruhových,vč.objímek</t>
  </si>
  <si>
    <t>94</t>
  </si>
  <si>
    <t>Lešení a stavební výtahy</t>
  </si>
  <si>
    <t>26</t>
  </si>
  <si>
    <t>941941032R00</t>
  </si>
  <si>
    <t>Montáž lešení leh.řad.s podlahami,š.do 1 m, H 30 m</t>
  </si>
  <si>
    <t>27</t>
  </si>
  <si>
    <t>941941111R00</t>
  </si>
  <si>
    <t>Pronájem lešení za den</t>
  </si>
  <si>
    <t>28</t>
  </si>
  <si>
    <t>941941832R00</t>
  </si>
  <si>
    <t>Demontáž lešení leh.řad.s podlahami,š.1 m, H 30 m</t>
  </si>
  <si>
    <t>S</t>
  </si>
  <si>
    <t>Přesuny sutí</t>
  </si>
  <si>
    <t>30</t>
  </si>
  <si>
    <t>979981101R00</t>
  </si>
  <si>
    <t xml:space="preserve">Odvoz a likvidace odpadu </t>
  </si>
  <si>
    <t>t</t>
  </si>
  <si>
    <t>31</t>
  </si>
  <si>
    <t>979990107R00</t>
  </si>
  <si>
    <t>Poplatek za skládku suti - směs suti,dřeva,desek apod.</t>
  </si>
  <si>
    <t>32</t>
  </si>
  <si>
    <t>979082111R00</t>
  </si>
  <si>
    <t>Staveništní doprava suti do 10 m</t>
  </si>
  <si>
    <t>H99</t>
  </si>
  <si>
    <t>Ostatní přesuny hmot</t>
  </si>
  <si>
    <t>PR</t>
  </si>
  <si>
    <t>33</t>
  </si>
  <si>
    <t>999281111R00</t>
  </si>
  <si>
    <t>Přesun hmot pro opravy a údržbu do výšky 25 m</t>
  </si>
  <si>
    <t>Celkem:</t>
  </si>
  <si>
    <t>Vnější omítka silikonová tenkovrstvá probarvená  zatřená (škrábaná) tl 1,5 mm</t>
  </si>
  <si>
    <t>KZS stěn budov pod omítku deskami z polystyrénu EPS tl 140 mm s hmoždinkami s  trnem,vč.výstužné sítě vtlačené do tmelu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</si>
</sst>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0;\-#,##0.000"/>
  </numFmts>
  <fonts count="28" x14ac:knownFonts="1">
    <font>
      <sz val="10"/>
      <name val="Arial"/>
      <charset val="238"/>
    </font>
    <font>
      <b/>
      <sz val="24"/>
      <color indexed="8"/>
      <name val="Arial"/>
      <charset val="238"/>
    </font>
    <font>
      <sz val="18"/>
      <color indexed="8"/>
      <name val="Arial"/>
      <charset val="238"/>
    </font>
    <font>
      <i/>
      <sz val="10"/>
      <color indexed="23"/>
      <name val="Arial"/>
      <charset val="238"/>
    </font>
    <font>
      <sz val="10"/>
      <color indexed="16"/>
      <name val="Arial"/>
      <charset val="238"/>
    </font>
    <font>
      <b/>
      <sz val="10"/>
      <color indexed="9"/>
      <name val="Arial"/>
      <charset val="238"/>
    </font>
    <font>
      <b/>
      <sz val="10"/>
      <color indexed="8"/>
      <name val="Arial"/>
      <charset val="238"/>
    </font>
    <font>
      <sz val="10"/>
      <color indexed="9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49"/>
      <name val="Calibri"/>
      <family val="2"/>
      <charset val="238"/>
    </font>
    <font>
      <b/>
      <sz val="13"/>
      <color indexed="49"/>
      <name val="Calibri"/>
      <family val="2"/>
      <charset val="238"/>
    </font>
    <font>
      <b/>
      <sz val="11"/>
      <color indexed="4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49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4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charset val="238"/>
    </font>
    <font>
      <sz val="10"/>
      <name val="Arial"/>
      <charset val="1"/>
    </font>
    <font>
      <b/>
      <sz val="10"/>
      <name val="Arial"/>
      <charset val="238"/>
    </font>
    <font>
      <sz val="10"/>
      <name val="Arial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" borderId="7" applyNumberFormat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0" borderId="1" applyNumberFormat="0" applyAlignment="0" applyProtection="0"/>
    <xf numFmtId="0" fontId="21" fillId="0" borderId="0" applyNumberFormat="0" applyFill="0" applyBorder="0" applyAlignment="0" applyProtection="0"/>
    <xf numFmtId="0" fontId="22" fillId="9" borderId="1" applyNumberFormat="0" applyAlignment="0" applyProtection="0"/>
    <xf numFmtId="0" fontId="23" fillId="9" borderId="9" applyNumberFormat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27" fillId="0" borderId="0"/>
  </cellStyleXfs>
  <cellXfs count="54">
    <xf numFmtId="0" fontId="0" fillId="0" borderId="0" xfId="0"/>
    <xf numFmtId="0" fontId="24" fillId="0" borderId="0" xfId="0" applyFont="1" applyAlignment="1">
      <alignment vertical="center"/>
    </xf>
    <xf numFmtId="0" fontId="24" fillId="0" borderId="14" xfId="0" applyNumberFormat="1" applyFont="1" applyFill="1" applyBorder="1" applyAlignment="1" applyProtection="1">
      <alignment vertical="center"/>
    </xf>
    <xf numFmtId="49" fontId="24" fillId="0" borderId="19" xfId="0" applyNumberFormat="1" applyFont="1" applyFill="1" applyBorder="1" applyAlignment="1" applyProtection="1">
      <alignment horizontal="left" vertical="center"/>
    </xf>
    <xf numFmtId="49" fontId="24" fillId="0" borderId="20" xfId="0" applyNumberFormat="1" applyFont="1" applyFill="1" applyBorder="1" applyAlignment="1" applyProtection="1">
      <alignment horizontal="left" vertical="center"/>
    </xf>
    <xf numFmtId="49" fontId="6" fillId="0" borderId="21" xfId="0" applyNumberFormat="1" applyFont="1" applyFill="1" applyBorder="1" applyAlignment="1" applyProtection="1">
      <alignment horizontal="center" vertical="center"/>
    </xf>
    <xf numFmtId="0" fontId="24" fillId="0" borderId="23" xfId="0" applyNumberFormat="1" applyFont="1" applyFill="1" applyBorder="1" applyAlignment="1" applyProtection="1">
      <alignment vertical="center"/>
    </xf>
    <xf numFmtId="49" fontId="6" fillId="0" borderId="24" xfId="0" applyNumberFormat="1" applyFont="1" applyFill="1" applyBorder="1" applyAlignment="1" applyProtection="1">
      <alignment horizontal="left" vertical="center"/>
    </xf>
    <xf numFmtId="49" fontId="6" fillId="0" borderId="25" xfId="0" applyNumberFormat="1" applyFont="1" applyFill="1" applyBorder="1" applyAlignment="1" applyProtection="1">
      <alignment horizontal="left" vertical="center"/>
    </xf>
    <xf numFmtId="49" fontId="6" fillId="0" borderId="25" xfId="0" applyNumberFormat="1" applyFont="1" applyFill="1" applyBorder="1" applyAlignment="1" applyProtection="1">
      <alignment horizontal="center" vertical="center"/>
    </xf>
    <xf numFmtId="49" fontId="6" fillId="0" borderId="26" xfId="0" applyNumberFormat="1" applyFont="1" applyFill="1" applyBorder="1" applyAlignment="1" applyProtection="1">
      <alignment horizontal="right" vertical="center"/>
    </xf>
    <xf numFmtId="49" fontId="6" fillId="0" borderId="27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/>
    </xf>
    <xf numFmtId="49" fontId="6" fillId="12" borderId="0" xfId="0" applyNumberFormat="1" applyFont="1" applyFill="1" applyBorder="1" applyAlignment="1" applyProtection="1">
      <alignment horizontal="right" vertical="center"/>
    </xf>
    <xf numFmtId="4" fontId="6" fillId="12" borderId="0" xfId="0" applyNumberFormat="1" applyFont="1" applyFill="1" applyBorder="1" applyAlignment="1" applyProtection="1">
      <alignment horizontal="right" vertical="center"/>
    </xf>
    <xf numFmtId="4" fontId="24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49" fontId="24" fillId="12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horizontal="right" vertical="center"/>
    </xf>
    <xf numFmtId="164" fontId="25" fillId="0" borderId="0" xfId="0" applyNumberFormat="1" applyFont="1" applyAlignment="1" applyProtection="1">
      <alignment horizontal="right" vertical="center"/>
    </xf>
    <xf numFmtId="165" fontId="25" fillId="0" borderId="0" xfId="0" applyNumberFormat="1" applyFont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left" vertical="center" wrapText="1"/>
    </xf>
    <xf numFmtId="49" fontId="0" fillId="12" borderId="0" xfId="52" applyNumberFormat="1" applyFont="1" applyFill="1" applyBorder="1" applyAlignment="1" applyProtection="1">
      <alignment horizontal="left" vertical="center"/>
    </xf>
    <xf numFmtId="4" fontId="26" fillId="12" borderId="0" xfId="52" applyNumberFormat="1" applyFont="1" applyFill="1" applyBorder="1" applyAlignment="1" applyProtection="1">
      <alignment horizontal="right" vertical="center"/>
    </xf>
    <xf numFmtId="49" fontId="26" fillId="12" borderId="0" xfId="52" applyNumberFormat="1" applyFont="1" applyFill="1" applyBorder="1" applyAlignment="1" applyProtection="1">
      <alignment horizontal="right" vertical="center"/>
    </xf>
    <xf numFmtId="49" fontId="0" fillId="0" borderId="0" xfId="52" applyNumberFormat="1" applyFont="1" applyFill="1" applyBorder="1" applyAlignment="1" applyProtection="1">
      <alignment horizontal="left" vertical="center"/>
    </xf>
    <xf numFmtId="4" fontId="0" fillId="0" borderId="0" xfId="52" applyNumberFormat="1" applyFont="1" applyFill="1" applyBorder="1" applyAlignment="1" applyProtection="1">
      <alignment horizontal="right" vertical="center"/>
    </xf>
    <xf numFmtId="4" fontId="24" fillId="0" borderId="10" xfId="0" applyNumberFormat="1" applyFont="1" applyFill="1" applyBorder="1" applyAlignment="1" applyProtection="1">
      <alignment horizontal="right" vertical="center"/>
    </xf>
    <xf numFmtId="0" fontId="24" fillId="0" borderId="12" xfId="0" applyNumberFormat="1" applyFont="1" applyFill="1" applyBorder="1" applyAlignment="1" applyProtection="1">
      <alignment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left" vertical="center"/>
    </xf>
    <xf numFmtId="49" fontId="6" fillId="12" borderId="0" xfId="0" applyNumberFormat="1" applyFont="1" applyFill="1" applyBorder="1" applyAlignment="1" applyProtection="1">
      <alignment horizontal="left" vertical="center"/>
    </xf>
    <xf numFmtId="49" fontId="26" fillId="12" borderId="0" xfId="52" applyNumberFormat="1" applyFont="1" applyFill="1" applyBorder="1" applyAlignment="1" applyProtection="1">
      <alignment horizontal="left" vertical="center"/>
    </xf>
    <xf numFmtId="49" fontId="24" fillId="0" borderId="10" xfId="0" applyNumberFormat="1" applyFont="1" applyFill="1" applyBorder="1" applyAlignment="1" applyProtection="1">
      <alignment horizontal="left" vertical="center"/>
    </xf>
    <xf numFmtId="49" fontId="24" fillId="0" borderId="15" xfId="0" applyNumberFormat="1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left" vertical="center"/>
    </xf>
    <xf numFmtId="49" fontId="6" fillId="0" borderId="12" xfId="0" applyNumberFormat="1" applyFont="1" applyFill="1" applyBorder="1" applyAlignment="1" applyProtection="1">
      <alignment horizontal="left" vertical="center"/>
    </xf>
    <xf numFmtId="49" fontId="24" fillId="0" borderId="12" xfId="0" applyNumberFormat="1" applyFont="1" applyFill="1" applyBorder="1" applyAlignment="1" applyProtection="1">
      <alignment horizontal="left" vertical="center"/>
    </xf>
    <xf numFmtId="49" fontId="24" fillId="0" borderId="13" xfId="0" applyNumberFormat="1" applyFont="1" applyFill="1" applyBorder="1" applyAlignment="1" applyProtection="1">
      <alignment horizontal="left" vertical="center"/>
    </xf>
    <xf numFmtId="49" fontId="24" fillId="0" borderId="14" xfId="0" applyNumberFormat="1" applyFont="1" applyFill="1" applyBorder="1" applyAlignment="1" applyProtection="1">
      <alignment horizontal="left" vertical="center"/>
    </xf>
    <xf numFmtId="49" fontId="24" fillId="0" borderId="18" xfId="0" applyNumberFormat="1" applyFont="1" applyFill="1" applyBorder="1" applyAlignment="1" applyProtection="1">
      <alignment horizontal="left" vertical="center"/>
    </xf>
    <xf numFmtId="49" fontId="24" fillId="0" borderId="17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49" fontId="24" fillId="0" borderId="16" xfId="0" applyNumberFormat="1" applyFont="1" applyFill="1" applyBorder="1" applyAlignment="1" applyProtection="1">
      <alignment horizontal="left" vertical="center"/>
    </xf>
    <xf numFmtId="14" fontId="24" fillId="0" borderId="17" xfId="0" applyNumberFormat="1" applyFont="1" applyFill="1" applyBorder="1" applyAlignment="1" applyProtection="1">
      <alignment horizontal="left" vertical="center"/>
    </xf>
    <xf numFmtId="49" fontId="6" fillId="0" borderId="22" xfId="0" applyNumberFormat="1" applyFont="1" applyFill="1" applyBorder="1" applyAlignment="1" applyProtection="1">
      <alignment horizontal="center" vertical="center"/>
    </xf>
    <xf numFmtId="49" fontId="6" fillId="12" borderId="0" xfId="0" applyNumberFormat="1" applyFont="1" applyFill="1" applyBorder="1" applyAlignment="1" applyProtection="1">
      <alignment horizontal="left" vertical="center"/>
    </xf>
    <xf numFmtId="49" fontId="26" fillId="12" borderId="0" xfId="52" applyNumberFormat="1" applyFont="1" applyFill="1" applyBorder="1" applyAlignment="1" applyProtection="1">
      <alignment horizontal="left" vertical="center"/>
    </xf>
  </cellXfs>
  <cellStyles count="53"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40 % – Zvýraznění1" xfId="18"/>
    <cellStyle name="40 % – Zvýraznění2" xfId="19"/>
    <cellStyle name="40 % – Zvýraznění3" xfId="20"/>
    <cellStyle name="40 % – Zvýraznění4" xfId="21"/>
    <cellStyle name="40 % – Zvýraznění5" xfId="22"/>
    <cellStyle name="40 % – Zvýraznění6" xfId="23"/>
    <cellStyle name="60 % – Zvýraznění1" xfId="24"/>
    <cellStyle name="60 % – Zvýraznění2" xfId="25"/>
    <cellStyle name="60 % – Zvýraznění3" xfId="26"/>
    <cellStyle name="60 % – Zvýraznění4" xfId="27"/>
    <cellStyle name="60 % – Zvýraznění5" xfId="28"/>
    <cellStyle name="60 % – Zvýraznění6" xfId="29"/>
    <cellStyle name="Accent" xfId="8"/>
    <cellStyle name="Accent 1" xfId="9"/>
    <cellStyle name="Accent 2" xfId="10"/>
    <cellStyle name="Accent 3" xfId="11"/>
    <cellStyle name="Celkem" xfId="30"/>
    <cellStyle name="Error" xfId="7"/>
    <cellStyle name="Footnote" xfId="3"/>
    <cellStyle name="Heading" xfId="1"/>
    <cellStyle name="Chybně" xfId="5"/>
    <cellStyle name="Kontrolní buňka" xfId="31"/>
    <cellStyle name="Nadpis 1" xfId="32" builtinId="16" customBuiltin="1"/>
    <cellStyle name="Nadpis 2" xfId="33" builtinId="17" customBuiltin="1"/>
    <cellStyle name="Nadpis 3" xfId="34"/>
    <cellStyle name="Nadpis 4" xfId="35"/>
    <cellStyle name="Název" xfId="37"/>
    <cellStyle name="Neutrální" xfId="36" builtinId="28" customBuiltin="1"/>
    <cellStyle name="Normální" xfId="0" builtinId="0"/>
    <cellStyle name="normální_rozpočet - Marcela" xfId="52"/>
    <cellStyle name="Poznámka" xfId="38" builtinId="10" customBuiltin="1"/>
    <cellStyle name="Propojená buňka" xfId="39"/>
    <cellStyle name="Správně" xfId="40" builtinId="26" customBuiltin="1"/>
    <cellStyle name="Status" xfId="4"/>
    <cellStyle name="Text" xfId="2"/>
    <cellStyle name="Text upozornění" xfId="41"/>
    <cellStyle name="Vstup" xfId="42"/>
    <cellStyle name="Výpočet" xfId="44"/>
    <cellStyle name="Výstup" xfId="45"/>
    <cellStyle name="Vysvětlující text" xfId="43"/>
    <cellStyle name="Warning" xfId="6"/>
    <cellStyle name="Zvýraznění 1" xfId="46"/>
    <cellStyle name="Zvýraznění 2" xfId="47"/>
    <cellStyle name="Zvýraznění 3" xfId="48"/>
    <cellStyle name="Zvýraznění 4" xfId="49"/>
    <cellStyle name="Zvýraznění 5" xfId="50"/>
    <cellStyle name="Zvýraznění 6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workbookViewId="0">
      <selection activeCell="C31" sqref="C31"/>
    </sheetView>
  </sheetViews>
  <sheetFormatPr defaultColWidth="11.42578125" defaultRowHeight="12.75" x14ac:dyDescent="0.2"/>
  <cols>
    <col min="1" max="2" width="3.7109375" style="1" customWidth="1"/>
    <col min="3" max="3" width="13.28515625" style="1" customWidth="1"/>
    <col min="4" max="4" width="47.140625" style="1" customWidth="1"/>
    <col min="5" max="5" width="4.28515625" style="1" customWidth="1"/>
    <col min="6" max="6" width="12.140625" style="1" customWidth="1"/>
    <col min="7" max="7" width="12" style="1" customWidth="1"/>
    <col min="8" max="10" width="14.28515625" style="1" customWidth="1"/>
    <col min="11" max="12" width="11.7109375" style="1" customWidth="1"/>
    <col min="13" max="13" width="11.42578125" customWidth="1"/>
    <col min="14" max="37" width="12.140625" style="1" hidden="1" customWidth="1"/>
  </cols>
  <sheetData>
    <row r="1" spans="1:37" ht="21.9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37" x14ac:dyDescent="0.2">
      <c r="A2" s="41" t="s">
        <v>1</v>
      </c>
      <c r="B2" s="41"/>
      <c r="C2" s="41"/>
      <c r="D2" s="42" t="s">
        <v>2</v>
      </c>
      <c r="E2" s="43" t="s">
        <v>3</v>
      </c>
      <c r="F2" s="43"/>
      <c r="G2" s="43"/>
      <c r="H2" s="43"/>
      <c r="I2" s="43" t="s">
        <v>4</v>
      </c>
      <c r="J2" s="44" t="s">
        <v>5</v>
      </c>
      <c r="K2" s="44"/>
      <c r="L2" s="44"/>
      <c r="M2" s="2"/>
    </row>
    <row r="3" spans="1:37" x14ac:dyDescent="0.2">
      <c r="A3" s="41"/>
      <c r="B3" s="41"/>
      <c r="C3" s="41"/>
      <c r="D3" s="42"/>
      <c r="E3" s="43"/>
      <c r="F3" s="43"/>
      <c r="G3" s="43"/>
      <c r="H3" s="43"/>
      <c r="I3" s="43"/>
      <c r="J3" s="43"/>
      <c r="K3" s="44"/>
      <c r="L3" s="44"/>
      <c r="M3" s="2"/>
    </row>
    <row r="4" spans="1:37" x14ac:dyDescent="0.2">
      <c r="A4" s="45" t="s">
        <v>6</v>
      </c>
      <c r="B4" s="45"/>
      <c r="C4" s="45"/>
      <c r="D4" s="39" t="s">
        <v>7</v>
      </c>
      <c r="E4" s="39" t="s">
        <v>8</v>
      </c>
      <c r="F4" s="39"/>
      <c r="G4" s="39" t="s">
        <v>9</v>
      </c>
      <c r="H4" s="39"/>
      <c r="I4" s="39" t="s">
        <v>10</v>
      </c>
      <c r="J4" s="38"/>
      <c r="K4" s="38"/>
      <c r="L4" s="38"/>
      <c r="M4" s="2"/>
    </row>
    <row r="5" spans="1:37" x14ac:dyDescent="0.2">
      <c r="A5" s="45"/>
      <c r="B5" s="45"/>
      <c r="C5" s="45"/>
      <c r="D5" s="39"/>
      <c r="E5" s="39"/>
      <c r="F5" s="39"/>
      <c r="G5" s="39"/>
      <c r="H5" s="39"/>
      <c r="I5" s="39"/>
      <c r="J5" s="39"/>
      <c r="K5" s="38"/>
      <c r="L5" s="38"/>
      <c r="M5" s="2"/>
    </row>
    <row r="6" spans="1:37" x14ac:dyDescent="0.2">
      <c r="A6" s="45" t="s">
        <v>11</v>
      </c>
      <c r="B6" s="45"/>
      <c r="C6" s="45"/>
      <c r="D6" s="39" t="s">
        <v>12</v>
      </c>
      <c r="E6" s="39" t="s">
        <v>13</v>
      </c>
      <c r="F6" s="39"/>
      <c r="G6" s="48"/>
      <c r="H6" s="48"/>
      <c r="I6" s="39" t="s">
        <v>14</v>
      </c>
      <c r="J6" s="38"/>
      <c r="K6" s="38"/>
      <c r="L6" s="38"/>
      <c r="M6" s="2"/>
    </row>
    <row r="7" spans="1:37" x14ac:dyDescent="0.2">
      <c r="A7" s="45"/>
      <c r="B7" s="45"/>
      <c r="C7" s="45"/>
      <c r="D7" s="39"/>
      <c r="E7" s="39"/>
      <c r="F7" s="39"/>
      <c r="G7" s="48"/>
      <c r="H7" s="48"/>
      <c r="I7" s="39"/>
      <c r="J7" s="39"/>
      <c r="K7" s="38"/>
      <c r="L7" s="38"/>
      <c r="M7" s="2"/>
    </row>
    <row r="8" spans="1:37" x14ac:dyDescent="0.2">
      <c r="A8" s="49" t="s">
        <v>15</v>
      </c>
      <c r="B8" s="49"/>
      <c r="C8" s="49"/>
      <c r="D8" s="47"/>
      <c r="E8" s="47" t="s">
        <v>16</v>
      </c>
      <c r="F8" s="47"/>
      <c r="G8" s="50"/>
      <c r="H8" s="50"/>
      <c r="I8" s="47" t="s">
        <v>17</v>
      </c>
      <c r="J8" s="46"/>
      <c r="K8" s="46"/>
      <c r="L8" s="46"/>
      <c r="M8" s="2"/>
    </row>
    <row r="9" spans="1:37" x14ac:dyDescent="0.2">
      <c r="A9" s="49"/>
      <c r="B9" s="49"/>
      <c r="C9" s="49"/>
      <c r="D9" s="47"/>
      <c r="E9" s="47"/>
      <c r="F9" s="47"/>
      <c r="G9" s="50"/>
      <c r="H9" s="50"/>
      <c r="I9" s="47"/>
      <c r="J9" s="47"/>
      <c r="K9" s="46"/>
      <c r="L9" s="46"/>
      <c r="M9" s="2"/>
    </row>
    <row r="10" spans="1:37" x14ac:dyDescent="0.2">
      <c r="A10" s="3" t="s">
        <v>9</v>
      </c>
      <c r="B10" s="4" t="s">
        <v>9</v>
      </c>
      <c r="C10" s="4" t="s">
        <v>9</v>
      </c>
      <c r="D10" s="4" t="s">
        <v>9</v>
      </c>
      <c r="E10" s="4" t="s">
        <v>9</v>
      </c>
      <c r="F10" s="4" t="s">
        <v>9</v>
      </c>
      <c r="G10" s="5" t="s">
        <v>18</v>
      </c>
      <c r="H10" s="51" t="s">
        <v>19</v>
      </c>
      <c r="I10" s="51"/>
      <c r="J10" s="51"/>
      <c r="K10" s="51" t="s">
        <v>20</v>
      </c>
      <c r="L10" s="51"/>
      <c r="M10" s="6"/>
    </row>
    <row r="11" spans="1:37" x14ac:dyDescent="0.2">
      <c r="A11" s="7" t="s">
        <v>21</v>
      </c>
      <c r="B11" s="8" t="s">
        <v>22</v>
      </c>
      <c r="C11" s="8" t="s">
        <v>23</v>
      </c>
      <c r="D11" s="8" t="s">
        <v>24</v>
      </c>
      <c r="E11" s="8" t="s">
        <v>25</v>
      </c>
      <c r="F11" s="9" t="s">
        <v>26</v>
      </c>
      <c r="G11" s="10" t="s">
        <v>27</v>
      </c>
      <c r="H11" s="11" t="s">
        <v>28</v>
      </c>
      <c r="I11" s="12" t="s">
        <v>29</v>
      </c>
      <c r="J11" s="13" t="s">
        <v>30</v>
      </c>
      <c r="K11" s="11" t="s">
        <v>18</v>
      </c>
      <c r="L11" s="13" t="s">
        <v>30</v>
      </c>
      <c r="M11" s="6"/>
      <c r="P11" s="14" t="s">
        <v>31</v>
      </c>
      <c r="Q11" s="14" t="s">
        <v>32</v>
      </c>
      <c r="R11" s="14" t="s">
        <v>33</v>
      </c>
      <c r="S11" s="14" t="s">
        <v>34</v>
      </c>
      <c r="T11" s="14" t="s">
        <v>35</v>
      </c>
      <c r="U11" s="14" t="s">
        <v>36</v>
      </c>
      <c r="V11" s="14" t="s">
        <v>37</v>
      </c>
      <c r="W11" s="14" t="s">
        <v>38</v>
      </c>
      <c r="X11" s="14" t="s">
        <v>39</v>
      </c>
    </row>
    <row r="12" spans="1:37" x14ac:dyDescent="0.2">
      <c r="A12" s="18"/>
      <c r="B12" s="18"/>
      <c r="C12" s="35" t="s">
        <v>43</v>
      </c>
      <c r="D12" s="52" t="s">
        <v>44</v>
      </c>
      <c r="E12" s="52"/>
      <c r="F12" s="52"/>
      <c r="G12" s="52"/>
      <c r="H12" s="15">
        <f>SUM(H13:H28)</f>
        <v>0</v>
      </c>
      <c r="I12" s="15">
        <f>SUM(I13:I28)</f>
        <v>0</v>
      </c>
      <c r="J12" s="15">
        <f>H12+I12</f>
        <v>0</v>
      </c>
      <c r="K12" s="14"/>
      <c r="L12" s="15">
        <f>SUM(L13:L28)</f>
        <v>547.96335179999994</v>
      </c>
      <c r="P12" s="15">
        <f>IF(Q12="PR",J12,SUM(O13:O28))</f>
        <v>0</v>
      </c>
      <c r="Q12" s="14" t="s">
        <v>40</v>
      </c>
      <c r="R12" s="15">
        <f>IF(Q12="HS",H12,0)</f>
        <v>0</v>
      </c>
      <c r="S12" s="15">
        <f>IF(Q12="HS",I12-P12,0)</f>
        <v>0</v>
      </c>
      <c r="T12" s="15">
        <f>IF(Q12="PS",H12,0)</f>
        <v>0</v>
      </c>
      <c r="U12" s="15">
        <f>IF(Q12="PS",I12-P12,0)</f>
        <v>0</v>
      </c>
      <c r="V12" s="15">
        <f>IF(Q12="MP",H12,0)</f>
        <v>0</v>
      </c>
      <c r="W12" s="15">
        <f>IF(Q12="MP",I12-P12,0)</f>
        <v>0</v>
      </c>
      <c r="X12" s="15">
        <f>IF(Q12="OM",H12,0)</f>
        <v>0</v>
      </c>
      <c r="Y12" s="14"/>
      <c r="AI12" s="15">
        <f>SUM(Z13:Z28)</f>
        <v>0</v>
      </c>
      <c r="AJ12" s="15">
        <f>SUM(AA13:AA28)</f>
        <v>0</v>
      </c>
      <c r="AK12" s="15">
        <f>SUM(AB13:AB28)</f>
        <v>0</v>
      </c>
    </row>
    <row r="13" spans="1:37" x14ac:dyDescent="0.2">
      <c r="A13" s="34" t="s">
        <v>45</v>
      </c>
      <c r="B13" s="34"/>
      <c r="C13" s="34" t="s">
        <v>46</v>
      </c>
      <c r="D13" s="34" t="s">
        <v>47</v>
      </c>
      <c r="E13" s="34" t="s">
        <v>48</v>
      </c>
      <c r="F13" s="16">
        <v>30</v>
      </c>
      <c r="G13" s="16"/>
      <c r="H13" s="16">
        <f t="shared" ref="H13:H19" si="0">ROUND(F13*AE13,2)</f>
        <v>0</v>
      </c>
      <c r="I13" s="16">
        <f t="shared" ref="I13:I28" si="1">J13-H13</f>
        <v>0</v>
      </c>
      <c r="J13" s="16">
        <f t="shared" ref="J13:J28" si="2">ROUND(F13*G13,2)</f>
        <v>0</v>
      </c>
      <c r="K13" s="16">
        <v>2.0000000000000002E-5</v>
      </c>
      <c r="L13" s="16">
        <f t="shared" ref="L13:L28" si="3">F13*K13</f>
        <v>6.0000000000000006E-4</v>
      </c>
      <c r="N13" s="17" t="s">
        <v>41</v>
      </c>
      <c r="O13" s="16">
        <f t="shared" ref="O13:O19" si="4">IF(N13="5",I13,0)</f>
        <v>0</v>
      </c>
      <c r="Z13" s="16">
        <f t="shared" ref="Z13:Z19" si="5">IF(AD13=0,J13,0)</f>
        <v>0</v>
      </c>
      <c r="AA13" s="16">
        <f t="shared" ref="AA13:AA19" si="6">IF(AD13=15,J13,0)</f>
        <v>0</v>
      </c>
      <c r="AB13" s="16">
        <f t="shared" ref="AB13:AB19" si="7">IF(AD13=21,J13,0)</f>
        <v>0</v>
      </c>
      <c r="AD13" s="16">
        <v>21</v>
      </c>
      <c r="AE13" s="16">
        <f>G13*0.0842682622787335</f>
        <v>0</v>
      </c>
      <c r="AF13" s="16">
        <f>G13*(1-0.0842682622787335)</f>
        <v>0</v>
      </c>
    </row>
    <row r="14" spans="1:37" ht="25.5" x14ac:dyDescent="0.2">
      <c r="A14" s="34" t="s">
        <v>49</v>
      </c>
      <c r="B14" s="34"/>
      <c r="C14" s="34" t="s">
        <v>50</v>
      </c>
      <c r="D14" s="19" t="s">
        <v>51</v>
      </c>
      <c r="E14" s="34" t="s">
        <v>48</v>
      </c>
      <c r="F14" s="16">
        <v>27</v>
      </c>
      <c r="G14" s="16"/>
      <c r="H14" s="16">
        <f t="shared" si="0"/>
        <v>0</v>
      </c>
      <c r="I14" s="16">
        <f t="shared" si="1"/>
        <v>0</v>
      </c>
      <c r="J14" s="16">
        <f t="shared" si="2"/>
        <v>0</v>
      </c>
      <c r="K14" s="16">
        <v>2.001E-2</v>
      </c>
      <c r="L14" s="16">
        <f t="shared" si="3"/>
        <v>0.54027000000000003</v>
      </c>
      <c r="N14" s="17" t="s">
        <v>41</v>
      </c>
      <c r="O14" s="16">
        <f t="shared" si="4"/>
        <v>0</v>
      </c>
      <c r="Z14" s="16">
        <f t="shared" si="5"/>
        <v>0</v>
      </c>
      <c r="AA14" s="16">
        <f t="shared" si="6"/>
        <v>0</v>
      </c>
      <c r="AB14" s="16">
        <f t="shared" si="7"/>
        <v>0</v>
      </c>
      <c r="AD14" s="16">
        <v>21</v>
      </c>
      <c r="AE14" s="16">
        <f>G14*0.321800281293952</f>
        <v>0</v>
      </c>
      <c r="AF14" s="16">
        <f>G14*(1-0.321800281293952)</f>
        <v>0</v>
      </c>
    </row>
    <row r="15" spans="1:37" x14ac:dyDescent="0.2">
      <c r="A15" s="34" t="s">
        <v>52</v>
      </c>
      <c r="B15" s="34"/>
      <c r="C15" s="34" t="s">
        <v>53</v>
      </c>
      <c r="D15" s="34" t="s">
        <v>54</v>
      </c>
      <c r="E15" s="34" t="s">
        <v>42</v>
      </c>
      <c r="F15" s="16">
        <v>25.3</v>
      </c>
      <c r="G15" s="16"/>
      <c r="H15" s="16">
        <f t="shared" si="0"/>
        <v>0</v>
      </c>
      <c r="I15" s="16">
        <f t="shared" si="1"/>
        <v>0</v>
      </c>
      <c r="J15" s="16">
        <f t="shared" si="2"/>
        <v>0</v>
      </c>
      <c r="K15" s="16">
        <v>4.3099999999999996E-3</v>
      </c>
      <c r="L15" s="16">
        <f t="shared" si="3"/>
        <v>0.10904299999999999</v>
      </c>
      <c r="N15" s="17" t="s">
        <v>41</v>
      </c>
      <c r="O15" s="16">
        <f t="shared" si="4"/>
        <v>0</v>
      </c>
      <c r="Z15" s="16">
        <f t="shared" si="5"/>
        <v>0</v>
      </c>
      <c r="AA15" s="16">
        <f t="shared" si="6"/>
        <v>0</v>
      </c>
      <c r="AB15" s="16">
        <f t="shared" si="7"/>
        <v>0</v>
      </c>
      <c r="AD15" s="16">
        <v>21</v>
      </c>
      <c r="AE15" s="16">
        <f>G15*0.0712062256809339</f>
        <v>0</v>
      </c>
      <c r="AF15" s="16">
        <f>G15*(1-0.0712062256809339)</f>
        <v>0</v>
      </c>
    </row>
    <row r="16" spans="1:37" x14ac:dyDescent="0.2">
      <c r="A16" s="34" t="s">
        <v>55</v>
      </c>
      <c r="B16" s="34"/>
      <c r="C16" s="34" t="s">
        <v>56</v>
      </c>
      <c r="D16" s="34" t="s">
        <v>57</v>
      </c>
      <c r="E16" s="34" t="s">
        <v>42</v>
      </c>
      <c r="F16" s="16">
        <v>7.56</v>
      </c>
      <c r="G16" s="16"/>
      <c r="H16" s="16">
        <f t="shared" si="0"/>
        <v>0</v>
      </c>
      <c r="I16" s="16">
        <f t="shared" si="1"/>
        <v>0</v>
      </c>
      <c r="J16" s="16">
        <f t="shared" si="2"/>
        <v>0</v>
      </c>
      <c r="K16" s="16">
        <v>5.9800000000000001E-3</v>
      </c>
      <c r="L16" s="16">
        <f t="shared" si="3"/>
        <v>4.52088E-2</v>
      </c>
      <c r="N16" s="17" t="s">
        <v>41</v>
      </c>
      <c r="O16" s="16">
        <f t="shared" si="4"/>
        <v>0</v>
      </c>
      <c r="Z16" s="16">
        <f t="shared" si="5"/>
        <v>0</v>
      </c>
      <c r="AA16" s="16">
        <f t="shared" si="6"/>
        <v>0</v>
      </c>
      <c r="AB16" s="16">
        <f t="shared" si="7"/>
        <v>0</v>
      </c>
      <c r="AD16" s="16">
        <v>21</v>
      </c>
      <c r="AE16" s="16">
        <f>G16*0.127661290322581</f>
        <v>0</v>
      </c>
      <c r="AF16" s="16">
        <f>G16*(1-0.127661290322581)</f>
        <v>0</v>
      </c>
    </row>
    <row r="17" spans="1:37" ht="25.5" x14ac:dyDescent="0.2">
      <c r="A17" s="34" t="s">
        <v>58</v>
      </c>
      <c r="B17" s="34"/>
      <c r="C17" s="34" t="s">
        <v>59</v>
      </c>
      <c r="D17" s="19" t="s">
        <v>60</v>
      </c>
      <c r="E17" s="34" t="s">
        <v>48</v>
      </c>
      <c r="F17" s="16">
        <v>115</v>
      </c>
      <c r="G17" s="16"/>
      <c r="H17" s="16">
        <f t="shared" si="0"/>
        <v>0</v>
      </c>
      <c r="I17" s="16">
        <f t="shared" si="1"/>
        <v>0</v>
      </c>
      <c r="J17" s="16">
        <f t="shared" si="2"/>
        <v>0</v>
      </c>
      <c r="K17" s="16">
        <v>3.5E-4</v>
      </c>
      <c r="L17" s="16">
        <f t="shared" si="3"/>
        <v>4.0250000000000001E-2</v>
      </c>
      <c r="N17" s="17" t="s">
        <v>41</v>
      </c>
      <c r="O17" s="16">
        <f t="shared" si="4"/>
        <v>0</v>
      </c>
      <c r="Z17" s="16">
        <f t="shared" si="5"/>
        <v>0</v>
      </c>
      <c r="AA17" s="16">
        <f t="shared" si="6"/>
        <v>0</v>
      </c>
      <c r="AB17" s="16">
        <f t="shared" si="7"/>
        <v>0</v>
      </c>
      <c r="AD17" s="16">
        <v>21</v>
      </c>
      <c r="AE17" s="16">
        <f>G17*0.49679012345679</f>
        <v>0</v>
      </c>
      <c r="AF17" s="16">
        <f>G17*(1-0.49679012345679)</f>
        <v>0</v>
      </c>
    </row>
    <row r="18" spans="1:37" ht="25.5" x14ac:dyDescent="0.2">
      <c r="A18" s="34" t="s">
        <v>61</v>
      </c>
      <c r="B18" s="34"/>
      <c r="C18" s="34" t="s">
        <v>62</v>
      </c>
      <c r="D18" s="19" t="s">
        <v>137</v>
      </c>
      <c r="E18" s="34" t="s">
        <v>48</v>
      </c>
      <c r="F18" s="16">
        <v>115</v>
      </c>
      <c r="G18" s="16"/>
      <c r="H18" s="16">
        <f t="shared" si="0"/>
        <v>0</v>
      </c>
      <c r="I18" s="16">
        <f t="shared" si="1"/>
        <v>0</v>
      </c>
      <c r="J18" s="16">
        <f t="shared" si="2"/>
        <v>0</v>
      </c>
      <c r="K18" s="16">
        <v>6.1799999999999997E-3</v>
      </c>
      <c r="L18" s="16">
        <f t="shared" si="3"/>
        <v>0.7107</v>
      </c>
      <c r="N18" s="17" t="s">
        <v>41</v>
      </c>
      <c r="O18" s="16">
        <f t="shared" si="4"/>
        <v>0</v>
      </c>
      <c r="Z18" s="16">
        <f t="shared" si="5"/>
        <v>0</v>
      </c>
      <c r="AA18" s="16">
        <f t="shared" si="6"/>
        <v>0</v>
      </c>
      <c r="AB18" s="16">
        <f t="shared" si="7"/>
        <v>0</v>
      </c>
      <c r="AD18" s="16">
        <v>21</v>
      </c>
      <c r="AE18" s="16">
        <f>G18*0.686550133912299</f>
        <v>0</v>
      </c>
      <c r="AF18" s="16">
        <f>G18*(1-0.686550133912299)</f>
        <v>0</v>
      </c>
    </row>
    <row r="19" spans="1:37" x14ac:dyDescent="0.2">
      <c r="A19" s="34" t="s">
        <v>63</v>
      </c>
      <c r="B19" s="34"/>
      <c r="C19" s="34" t="s">
        <v>64</v>
      </c>
      <c r="D19" s="34" t="s">
        <v>65</v>
      </c>
      <c r="E19" s="34" t="s">
        <v>48</v>
      </c>
      <c r="F19" s="16">
        <v>4</v>
      </c>
      <c r="G19" s="16"/>
      <c r="H19" s="16">
        <f t="shared" si="0"/>
        <v>0</v>
      </c>
      <c r="I19" s="16">
        <f t="shared" si="1"/>
        <v>0</v>
      </c>
      <c r="J19" s="16">
        <f t="shared" si="2"/>
        <v>0</v>
      </c>
      <c r="K19" s="16">
        <v>8.0000000000000007E-5</v>
      </c>
      <c r="L19" s="16">
        <f t="shared" si="3"/>
        <v>3.2000000000000003E-4</v>
      </c>
      <c r="N19" s="17" t="s">
        <v>41</v>
      </c>
      <c r="O19" s="16">
        <f t="shared" si="4"/>
        <v>0</v>
      </c>
      <c r="Z19" s="16">
        <f t="shared" si="5"/>
        <v>0</v>
      </c>
      <c r="AA19" s="16">
        <f t="shared" si="6"/>
        <v>0</v>
      </c>
      <c r="AB19" s="16">
        <f t="shared" si="7"/>
        <v>0</v>
      </c>
      <c r="AD19" s="16">
        <v>21</v>
      </c>
      <c r="AE19" s="16">
        <f>G19*0.126052631578947</f>
        <v>0</v>
      </c>
      <c r="AF19" s="16">
        <f>G19*(1-0.126052631578947)</f>
        <v>0</v>
      </c>
    </row>
    <row r="20" spans="1:37" ht="38.25" x14ac:dyDescent="0.2">
      <c r="A20" s="34" t="s">
        <v>66</v>
      </c>
      <c r="B20" s="34"/>
      <c r="C20" s="20" t="s">
        <v>67</v>
      </c>
      <c r="D20" s="19" t="s">
        <v>138</v>
      </c>
      <c r="E20" s="34" t="s">
        <v>48</v>
      </c>
      <c r="F20" s="21">
        <v>100</v>
      </c>
      <c r="G20" s="22"/>
      <c r="H20" s="16"/>
      <c r="I20" s="16">
        <f t="shared" si="1"/>
        <v>0</v>
      </c>
      <c r="J20" s="16">
        <f t="shared" si="2"/>
        <v>0</v>
      </c>
      <c r="K20" s="16">
        <v>1.0000800000000001</v>
      </c>
      <c r="L20" s="16">
        <f t="shared" si="3"/>
        <v>100.00800000000001</v>
      </c>
      <c r="N20" s="17"/>
      <c r="O20" s="16"/>
      <c r="Z20" s="16"/>
      <c r="AA20" s="16"/>
      <c r="AB20" s="16"/>
      <c r="AD20" s="16"/>
      <c r="AE20" s="16"/>
      <c r="AF20" s="16"/>
    </row>
    <row r="21" spans="1:37" x14ac:dyDescent="0.2">
      <c r="A21" s="34" t="s">
        <v>68</v>
      </c>
      <c r="B21" s="34"/>
      <c r="C21" s="20" t="s">
        <v>69</v>
      </c>
      <c r="D21" s="19" t="s">
        <v>70</v>
      </c>
      <c r="E21" s="34" t="s">
        <v>42</v>
      </c>
      <c r="F21" s="23">
        <v>14</v>
      </c>
      <c r="G21" s="22"/>
      <c r="H21" s="16"/>
      <c r="I21" s="16">
        <f t="shared" si="1"/>
        <v>0</v>
      </c>
      <c r="J21" s="16">
        <f t="shared" si="2"/>
        <v>0</v>
      </c>
      <c r="K21" s="16">
        <v>2.0000800000000001</v>
      </c>
      <c r="L21" s="16">
        <f t="shared" si="3"/>
        <v>28.00112</v>
      </c>
      <c r="N21" s="17"/>
      <c r="O21" s="16"/>
      <c r="Z21" s="16"/>
      <c r="AA21" s="16"/>
      <c r="AB21" s="16"/>
      <c r="AD21" s="16"/>
      <c r="AE21" s="16"/>
      <c r="AF21" s="16"/>
    </row>
    <row r="22" spans="1:37" ht="25.5" x14ac:dyDescent="0.2">
      <c r="A22" s="34" t="s">
        <v>71</v>
      </c>
      <c r="B22" s="34"/>
      <c r="C22" s="20" t="s">
        <v>72</v>
      </c>
      <c r="D22" s="19" t="s">
        <v>73</v>
      </c>
      <c r="E22" s="34" t="s">
        <v>42</v>
      </c>
      <c r="F22" s="23">
        <v>14</v>
      </c>
      <c r="G22" s="22"/>
      <c r="H22" s="16"/>
      <c r="I22" s="16">
        <f t="shared" si="1"/>
        <v>0</v>
      </c>
      <c r="J22" s="16">
        <f t="shared" si="2"/>
        <v>0</v>
      </c>
      <c r="K22" s="16">
        <v>3.0000800000000001</v>
      </c>
      <c r="L22" s="16">
        <f t="shared" si="3"/>
        <v>42.00112</v>
      </c>
      <c r="N22" s="17"/>
      <c r="O22" s="16"/>
      <c r="Z22" s="16"/>
      <c r="AA22" s="16"/>
      <c r="AB22" s="16"/>
      <c r="AD22" s="16"/>
      <c r="AE22" s="16"/>
      <c r="AF22" s="16"/>
    </row>
    <row r="23" spans="1:37" x14ac:dyDescent="0.2">
      <c r="A23" s="34" t="s">
        <v>74</v>
      </c>
      <c r="B23" s="34"/>
      <c r="C23" s="20" t="s">
        <v>75</v>
      </c>
      <c r="D23" s="19" t="s">
        <v>76</v>
      </c>
      <c r="E23" s="34" t="s">
        <v>42</v>
      </c>
      <c r="F23" s="23">
        <v>23.5</v>
      </c>
      <c r="G23" s="22"/>
      <c r="H23" s="16"/>
      <c r="I23" s="16">
        <f t="shared" si="1"/>
        <v>0</v>
      </c>
      <c r="J23" s="16">
        <f t="shared" si="2"/>
        <v>0</v>
      </c>
      <c r="K23" s="16">
        <v>4.0000799999999996</v>
      </c>
      <c r="L23" s="16">
        <f t="shared" si="3"/>
        <v>94.001879999999986</v>
      </c>
      <c r="N23" s="17"/>
      <c r="O23" s="16"/>
      <c r="Z23" s="16"/>
      <c r="AA23" s="16"/>
      <c r="AB23" s="16"/>
      <c r="AD23" s="16"/>
      <c r="AE23" s="16"/>
      <c r="AF23" s="16"/>
    </row>
    <row r="24" spans="1:37" x14ac:dyDescent="0.2">
      <c r="A24" s="34" t="s">
        <v>77</v>
      </c>
      <c r="B24" s="34"/>
      <c r="C24" s="20" t="s">
        <v>78</v>
      </c>
      <c r="D24" s="19" t="s">
        <v>79</v>
      </c>
      <c r="E24" s="34" t="s">
        <v>42</v>
      </c>
      <c r="F24" s="23">
        <v>23.5</v>
      </c>
      <c r="G24" s="22"/>
      <c r="H24" s="16"/>
      <c r="I24" s="16">
        <f t="shared" si="1"/>
        <v>0</v>
      </c>
      <c r="J24" s="16">
        <f t="shared" si="2"/>
        <v>0</v>
      </c>
      <c r="K24" s="16">
        <v>5.0000799999999996</v>
      </c>
      <c r="L24" s="16">
        <f t="shared" si="3"/>
        <v>117.50187999999999</v>
      </c>
      <c r="N24" s="17"/>
      <c r="O24" s="16"/>
      <c r="Z24" s="16"/>
      <c r="AA24" s="16"/>
      <c r="AB24" s="16"/>
      <c r="AD24" s="16"/>
      <c r="AE24" s="16"/>
      <c r="AF24" s="16"/>
    </row>
    <row r="25" spans="1:37" x14ac:dyDescent="0.2">
      <c r="A25" s="34" t="s">
        <v>80</v>
      </c>
      <c r="B25" s="34"/>
      <c r="C25" s="20" t="s">
        <v>81</v>
      </c>
      <c r="D25" s="19" t="s">
        <v>82</v>
      </c>
      <c r="E25" s="34" t="s">
        <v>42</v>
      </c>
      <c r="F25" s="23">
        <v>10</v>
      </c>
      <c r="G25" s="22"/>
      <c r="H25" s="16"/>
      <c r="I25" s="16">
        <f t="shared" si="1"/>
        <v>0</v>
      </c>
      <c r="J25" s="16">
        <f t="shared" si="2"/>
        <v>0</v>
      </c>
      <c r="K25" s="16">
        <v>6.0000799999999996</v>
      </c>
      <c r="L25" s="16">
        <f t="shared" si="3"/>
        <v>60.000799999999998</v>
      </c>
      <c r="N25" s="17"/>
      <c r="O25" s="16"/>
      <c r="Z25" s="16"/>
      <c r="AA25" s="16"/>
      <c r="AB25" s="16"/>
      <c r="AD25" s="16"/>
      <c r="AE25" s="16"/>
      <c r="AF25" s="16"/>
    </row>
    <row r="26" spans="1:37" ht="28.5" customHeight="1" x14ac:dyDescent="0.2">
      <c r="A26" s="34" t="s">
        <v>83</v>
      </c>
      <c r="B26" s="34"/>
      <c r="C26" s="20" t="s">
        <v>84</v>
      </c>
      <c r="D26" s="24" t="s">
        <v>85</v>
      </c>
      <c r="E26" s="34" t="s">
        <v>48</v>
      </c>
      <c r="F26" s="23">
        <v>15</v>
      </c>
      <c r="G26" s="22"/>
      <c r="H26" s="16"/>
      <c r="I26" s="16">
        <f t="shared" si="1"/>
        <v>0</v>
      </c>
      <c r="J26" s="16">
        <f t="shared" si="2"/>
        <v>0</v>
      </c>
      <c r="K26" s="16">
        <v>7.0000799999999996</v>
      </c>
      <c r="L26" s="16">
        <f t="shared" si="3"/>
        <v>105.0012</v>
      </c>
      <c r="N26" s="17"/>
      <c r="O26" s="16"/>
      <c r="Z26" s="16"/>
      <c r="AA26" s="16"/>
      <c r="AB26" s="16"/>
      <c r="AD26" s="16"/>
      <c r="AE26" s="16"/>
      <c r="AF26" s="16"/>
    </row>
    <row r="27" spans="1:37" x14ac:dyDescent="0.2">
      <c r="A27" s="34" t="s">
        <v>86</v>
      </c>
      <c r="B27" s="34"/>
      <c r="C27" s="34" t="s">
        <v>87</v>
      </c>
      <c r="D27" s="34" t="s">
        <v>88</v>
      </c>
      <c r="E27" s="34" t="s">
        <v>42</v>
      </c>
      <c r="F27" s="16">
        <v>6</v>
      </c>
      <c r="G27" s="16"/>
      <c r="H27" s="16"/>
      <c r="I27" s="16">
        <f t="shared" si="1"/>
        <v>0</v>
      </c>
      <c r="J27" s="16">
        <f t="shared" si="2"/>
        <v>0</v>
      </c>
      <c r="K27" s="16">
        <v>6.9999999999999994E-5</v>
      </c>
      <c r="L27" s="16">
        <f t="shared" si="3"/>
        <v>4.1999999999999996E-4</v>
      </c>
      <c r="N27" s="17" t="s">
        <v>41</v>
      </c>
      <c r="O27" s="16">
        <f t="shared" ref="O27:O28" si="8">IF(N27="5",I27,0)</f>
        <v>0</v>
      </c>
      <c r="Z27" s="16">
        <f t="shared" ref="Z27:Z28" si="9">IF(AD27=0,J27,0)</f>
        <v>0</v>
      </c>
      <c r="AA27" s="16">
        <f t="shared" ref="AA27:AA28" si="10">IF(AD27=15,J27,0)</f>
        <v>0</v>
      </c>
      <c r="AB27" s="16">
        <f t="shared" ref="AB27:AB28" si="11">IF(AD27=21,J27,0)</f>
        <v>0</v>
      </c>
      <c r="AD27" s="16">
        <v>21</v>
      </c>
      <c r="AE27" s="16">
        <f>G27*0.773549000951475</f>
        <v>0</v>
      </c>
      <c r="AF27" s="16">
        <f>G27*(1-0.773549000951475)</f>
        <v>0</v>
      </c>
    </row>
    <row r="28" spans="1:37" x14ac:dyDescent="0.2">
      <c r="A28" s="34" t="s">
        <v>89</v>
      </c>
      <c r="B28" s="34"/>
      <c r="C28" s="34" t="s">
        <v>90</v>
      </c>
      <c r="D28" s="34" t="s">
        <v>91</v>
      </c>
      <c r="E28" s="34" t="s">
        <v>48</v>
      </c>
      <c r="F28" s="16">
        <v>13.5</v>
      </c>
      <c r="G28" s="16"/>
      <c r="H28" s="16">
        <f>ROUND(F28*AE28,2)</f>
        <v>0</v>
      </c>
      <c r="I28" s="16">
        <f t="shared" si="1"/>
        <v>0</v>
      </c>
      <c r="J28" s="16">
        <f t="shared" si="2"/>
        <v>0</v>
      </c>
      <c r="K28" s="16">
        <v>4.0000000000000003E-5</v>
      </c>
      <c r="L28" s="16">
        <f t="shared" si="3"/>
        <v>5.4000000000000001E-4</v>
      </c>
      <c r="N28" s="17" t="s">
        <v>41</v>
      </c>
      <c r="O28" s="16">
        <f t="shared" si="8"/>
        <v>0</v>
      </c>
      <c r="Z28" s="16">
        <f t="shared" si="9"/>
        <v>0</v>
      </c>
      <c r="AA28" s="16">
        <f t="shared" si="10"/>
        <v>0</v>
      </c>
      <c r="AB28" s="16">
        <f t="shared" si="11"/>
        <v>0</v>
      </c>
      <c r="AD28" s="16">
        <v>21</v>
      </c>
      <c r="AE28" s="16">
        <f>G28*0.399003224860745</f>
        <v>0</v>
      </c>
      <c r="AF28" s="16">
        <f>G28*(1-0.399003224860745)</f>
        <v>0</v>
      </c>
    </row>
    <row r="29" spans="1:37" x14ac:dyDescent="0.2">
      <c r="A29" s="18"/>
      <c r="B29" s="18"/>
      <c r="C29" s="35" t="s">
        <v>93</v>
      </c>
      <c r="D29" s="52" t="s">
        <v>94</v>
      </c>
      <c r="E29" s="52"/>
      <c r="F29" s="52"/>
      <c r="G29" s="52"/>
      <c r="H29" s="15">
        <f>SUM(H30:H33)</f>
        <v>0</v>
      </c>
      <c r="I29" s="15">
        <f>SUM(I30:I33)</f>
        <v>0</v>
      </c>
      <c r="J29" s="15">
        <f>H29+I29</f>
        <v>0</v>
      </c>
      <c r="K29" s="14"/>
      <c r="L29" s="15">
        <f>SUM(L30:L33)</f>
        <v>4.7894999999999993E-2</v>
      </c>
      <c r="P29" s="15">
        <f>IF(Q29="PR",J29,SUM(O30:O33))</f>
        <v>0</v>
      </c>
      <c r="Q29" s="14" t="s">
        <v>92</v>
      </c>
      <c r="R29" s="15">
        <f>IF(Q29="HS",H29,0)</f>
        <v>0</v>
      </c>
      <c r="S29" s="15">
        <f>IF(Q29="HS",I29-P29,0)</f>
        <v>0</v>
      </c>
      <c r="T29" s="15">
        <f>IF(Q29="PS",H29,0)</f>
        <v>0</v>
      </c>
      <c r="U29" s="15">
        <f>IF(Q29="PS",I29-P29,0)</f>
        <v>0</v>
      </c>
      <c r="V29" s="15">
        <f>IF(Q29="MP",H29,0)</f>
        <v>0</v>
      </c>
      <c r="W29" s="15">
        <f>IF(Q29="MP",I29-P29,0)</f>
        <v>0</v>
      </c>
      <c r="X29" s="15">
        <f>IF(Q29="OM",H29,0)</f>
        <v>0</v>
      </c>
      <c r="Y29" s="14"/>
      <c r="AI29" s="15">
        <f>SUM(Z30:Z33)</f>
        <v>0</v>
      </c>
      <c r="AJ29" s="15">
        <f>SUM(AA30:AA33)</f>
        <v>0</v>
      </c>
      <c r="AK29" s="15">
        <f>SUM(AB30:AB33)</f>
        <v>0</v>
      </c>
    </row>
    <row r="30" spans="1:37" x14ac:dyDescent="0.2">
      <c r="A30" s="34" t="s">
        <v>95</v>
      </c>
      <c r="B30" s="34"/>
      <c r="C30" s="34" t="s">
        <v>96</v>
      </c>
      <c r="D30" s="34" t="s">
        <v>97</v>
      </c>
      <c r="E30" s="34" t="s">
        <v>42</v>
      </c>
      <c r="F30" s="16">
        <v>6.5</v>
      </c>
      <c r="G30" s="16"/>
      <c r="H30" s="16">
        <f t="shared" ref="H30:H33" si="12">ROUND(F30*AE30,2)</f>
        <v>0</v>
      </c>
      <c r="I30" s="16">
        <f t="shared" ref="I30:I33" si="13">J30-H30</f>
        <v>0</v>
      </c>
      <c r="J30" s="16">
        <f t="shared" ref="J30:J33" si="14">ROUND(F30*G30,2)</f>
        <v>0</v>
      </c>
      <c r="K30" s="16">
        <v>9.3000000000000005E-4</v>
      </c>
      <c r="L30" s="16">
        <f t="shared" ref="L30:L33" si="15">F30*K30</f>
        <v>6.045E-3</v>
      </c>
      <c r="N30" s="17" t="s">
        <v>41</v>
      </c>
      <c r="O30" s="16">
        <f t="shared" ref="O30:O33" si="16">IF(N30="5",I30,0)</f>
        <v>0</v>
      </c>
      <c r="Z30" s="16">
        <f t="shared" ref="Z30:Z33" si="17">IF(AD30=0,J30,0)</f>
        <v>0</v>
      </c>
      <c r="AA30" s="16">
        <f t="shared" ref="AA30:AA33" si="18">IF(AD30=15,J30,0)</f>
        <v>0</v>
      </c>
      <c r="AB30" s="16">
        <f t="shared" ref="AB30:AB33" si="19">IF(AD30=21,J30,0)</f>
        <v>0</v>
      </c>
      <c r="AD30" s="16">
        <v>21</v>
      </c>
      <c r="AE30" s="16">
        <f>G30*0.0850151057401813</f>
        <v>0</v>
      </c>
      <c r="AF30" s="16">
        <f>G30*(1-0.0850151057401813)</f>
        <v>0</v>
      </c>
    </row>
    <row r="31" spans="1:37" x14ac:dyDescent="0.2">
      <c r="A31" s="34" t="s">
        <v>98</v>
      </c>
      <c r="B31" s="34"/>
      <c r="C31" s="34" t="s">
        <v>99</v>
      </c>
      <c r="D31" s="34" t="s">
        <v>100</v>
      </c>
      <c r="E31" s="34" t="s">
        <v>42</v>
      </c>
      <c r="F31" s="16">
        <v>6.5</v>
      </c>
      <c r="G31" s="16"/>
      <c r="H31" s="16">
        <f t="shared" si="12"/>
        <v>0</v>
      </c>
      <c r="I31" s="16">
        <f t="shared" si="13"/>
        <v>0</v>
      </c>
      <c r="J31" s="16">
        <f t="shared" si="14"/>
        <v>0</v>
      </c>
      <c r="K31" s="16">
        <v>2.5400000000000002E-3</v>
      </c>
      <c r="L31" s="16">
        <f t="shared" si="15"/>
        <v>1.651E-2</v>
      </c>
      <c r="N31" s="17" t="s">
        <v>41</v>
      </c>
      <c r="O31" s="16">
        <f t="shared" si="16"/>
        <v>0</v>
      </c>
      <c r="Z31" s="16">
        <f t="shared" si="17"/>
        <v>0</v>
      </c>
      <c r="AA31" s="16">
        <f t="shared" si="18"/>
        <v>0</v>
      </c>
      <c r="AB31" s="16">
        <f t="shared" si="19"/>
        <v>0</v>
      </c>
      <c r="AD31" s="16">
        <v>21</v>
      </c>
      <c r="AE31" s="16">
        <f>G31*0.404406989999856</f>
        <v>0</v>
      </c>
      <c r="AF31" s="16">
        <f>G31*(1-0.404406989999856)</f>
        <v>0</v>
      </c>
    </row>
    <row r="32" spans="1:37" x14ac:dyDescent="0.2">
      <c r="A32" s="34" t="s">
        <v>101</v>
      </c>
      <c r="B32" s="34"/>
      <c r="C32" s="34" t="s">
        <v>102</v>
      </c>
      <c r="D32" s="34" t="s">
        <v>103</v>
      </c>
      <c r="E32" s="34" t="s">
        <v>42</v>
      </c>
      <c r="F32" s="16">
        <v>7</v>
      </c>
      <c r="G32" s="16"/>
      <c r="H32" s="16">
        <f t="shared" si="12"/>
        <v>0</v>
      </c>
      <c r="I32" s="16">
        <f t="shared" si="13"/>
        <v>0</v>
      </c>
      <c r="J32" s="16">
        <f t="shared" si="14"/>
        <v>0</v>
      </c>
      <c r="K32" s="16">
        <v>3.5599999999999998E-3</v>
      </c>
      <c r="L32" s="16">
        <f t="shared" si="15"/>
        <v>2.4919999999999998E-2</v>
      </c>
      <c r="N32" s="17" t="s">
        <v>41</v>
      </c>
      <c r="O32" s="16">
        <f t="shared" si="16"/>
        <v>0</v>
      </c>
      <c r="Z32" s="16">
        <f t="shared" si="17"/>
        <v>0</v>
      </c>
      <c r="AA32" s="16">
        <f t="shared" si="18"/>
        <v>0</v>
      </c>
      <c r="AB32" s="16">
        <f t="shared" si="19"/>
        <v>0</v>
      </c>
      <c r="AD32" s="16">
        <v>21</v>
      </c>
      <c r="AE32" s="16">
        <f>G32*0</f>
        <v>0</v>
      </c>
      <c r="AF32" s="16">
        <f>G32*(1-0)</f>
        <v>0</v>
      </c>
    </row>
    <row r="33" spans="1:37" x14ac:dyDescent="0.2">
      <c r="A33" s="34" t="s">
        <v>104</v>
      </c>
      <c r="B33" s="34"/>
      <c r="C33" s="34" t="s">
        <v>105</v>
      </c>
      <c r="D33" s="34" t="s">
        <v>106</v>
      </c>
      <c r="E33" s="34" t="s">
        <v>42</v>
      </c>
      <c r="F33" s="16">
        <v>7</v>
      </c>
      <c r="G33" s="16"/>
      <c r="H33" s="16">
        <f t="shared" si="12"/>
        <v>0</v>
      </c>
      <c r="I33" s="16">
        <f t="shared" si="13"/>
        <v>0</v>
      </c>
      <c r="J33" s="16">
        <f t="shared" si="14"/>
        <v>0</v>
      </c>
      <c r="K33" s="16">
        <v>6.0000000000000002E-5</v>
      </c>
      <c r="L33" s="16">
        <f t="shared" si="15"/>
        <v>4.2000000000000002E-4</v>
      </c>
      <c r="N33" s="17" t="s">
        <v>41</v>
      </c>
      <c r="O33" s="16">
        <f t="shared" si="16"/>
        <v>0</v>
      </c>
      <c r="Z33" s="16">
        <f t="shared" si="17"/>
        <v>0</v>
      </c>
      <c r="AA33" s="16">
        <f t="shared" si="18"/>
        <v>0</v>
      </c>
      <c r="AB33" s="16">
        <f t="shared" si="19"/>
        <v>0</v>
      </c>
      <c r="AD33" s="16">
        <v>21</v>
      </c>
      <c r="AE33" s="16">
        <f>G33*0.187857142857143</f>
        <v>0</v>
      </c>
      <c r="AF33" s="16">
        <f>G33*(1-0.187857142857143)</f>
        <v>0</v>
      </c>
    </row>
    <row r="34" spans="1:37" x14ac:dyDescent="0.2">
      <c r="A34" s="18"/>
      <c r="B34" s="18"/>
      <c r="C34" s="35" t="s">
        <v>107</v>
      </c>
      <c r="D34" s="52" t="s">
        <v>108</v>
      </c>
      <c r="E34" s="52"/>
      <c r="F34" s="52"/>
      <c r="G34" s="52"/>
      <c r="H34" s="15">
        <f>SUM(H35:H37)</f>
        <v>0</v>
      </c>
      <c r="I34" s="15">
        <f>SUM(I35:I37)</f>
        <v>0</v>
      </c>
      <c r="J34" s="15">
        <f>H34+I34</f>
        <v>0</v>
      </c>
      <c r="K34" s="14"/>
      <c r="L34" s="15">
        <f>SUM(L35:L37)</f>
        <v>1.8380000000000001</v>
      </c>
      <c r="P34" s="15">
        <f>IF(Q34="PR",J34,SUM(O35:O37))</f>
        <v>0</v>
      </c>
      <c r="Q34" s="14" t="s">
        <v>40</v>
      </c>
      <c r="R34" s="15">
        <f>IF(Q34="HS",H34,0)</f>
        <v>0</v>
      </c>
      <c r="S34" s="15">
        <f>IF(Q34="HS",I34-P34,0)</f>
        <v>0</v>
      </c>
      <c r="T34" s="15">
        <f>IF(Q34="PS",H34,0)</f>
        <v>0</v>
      </c>
      <c r="U34" s="15">
        <f>IF(Q34="PS",I34-P34,0)</f>
        <v>0</v>
      </c>
      <c r="V34" s="15">
        <f>IF(Q34="MP",H34,0)</f>
        <v>0</v>
      </c>
      <c r="W34" s="15">
        <f>IF(Q34="MP",I34-P34,0)</f>
        <v>0</v>
      </c>
      <c r="X34" s="15">
        <f>IF(Q34="OM",H34,0)</f>
        <v>0</v>
      </c>
      <c r="Y34" s="14"/>
      <c r="AI34" s="15">
        <f>SUM(Z35:Z37)</f>
        <v>0</v>
      </c>
      <c r="AJ34" s="15">
        <f>SUM(AA35:AA37)</f>
        <v>0</v>
      </c>
      <c r="AK34" s="15">
        <f>SUM(AB35:AB37)</f>
        <v>0</v>
      </c>
    </row>
    <row r="35" spans="1:37" x14ac:dyDescent="0.2">
      <c r="A35" s="34" t="s">
        <v>109</v>
      </c>
      <c r="B35" s="34"/>
      <c r="C35" s="34" t="s">
        <v>110</v>
      </c>
      <c r="D35" s="34" t="s">
        <v>111</v>
      </c>
      <c r="E35" s="34" t="s">
        <v>48</v>
      </c>
      <c r="F35" s="16">
        <v>100</v>
      </c>
      <c r="G35" s="16"/>
      <c r="H35" s="16">
        <f t="shared" ref="H35:H37" si="20">ROUND(F35*AE35,2)</f>
        <v>0</v>
      </c>
      <c r="I35" s="16">
        <f t="shared" ref="I35:I37" si="21">J35-H35</f>
        <v>0</v>
      </c>
      <c r="J35" s="16">
        <f t="shared" ref="J35:J37" si="22">ROUND(F35*G35,2)</f>
        <v>0</v>
      </c>
      <c r="K35" s="16">
        <v>1.8380000000000001E-2</v>
      </c>
      <c r="L35" s="16">
        <f t="shared" ref="L35:L37" si="23">F35*K35</f>
        <v>1.8380000000000001</v>
      </c>
      <c r="N35" s="17" t="s">
        <v>41</v>
      </c>
      <c r="O35" s="16">
        <f t="shared" ref="O35:O37" si="24">IF(N35="5",I35,0)</f>
        <v>0</v>
      </c>
      <c r="Z35" s="16">
        <f t="shared" ref="Z35:Z37" si="25">IF(AD35=0,J35,0)</f>
        <v>0</v>
      </c>
      <c r="AA35" s="16">
        <f t="shared" ref="AA35:AA37" si="26">IF(AD35=15,J35,0)</f>
        <v>0</v>
      </c>
      <c r="AB35" s="16">
        <f t="shared" ref="AB35:AB37" si="27">IF(AD35=21,J35,0)</f>
        <v>0</v>
      </c>
      <c r="AD35" s="16">
        <v>21</v>
      </c>
      <c r="AE35" s="16">
        <f>G35*0.000220215811495265</f>
        <v>0</v>
      </c>
      <c r="AF35" s="16">
        <f>G35*(1-0.000220215811495265)</f>
        <v>0</v>
      </c>
    </row>
    <row r="36" spans="1:37" x14ac:dyDescent="0.2">
      <c r="A36" s="34" t="s">
        <v>112</v>
      </c>
      <c r="B36" s="34"/>
      <c r="C36" s="34" t="s">
        <v>113</v>
      </c>
      <c r="D36" s="34" t="s">
        <v>114</v>
      </c>
      <c r="E36" s="34" t="s">
        <v>48</v>
      </c>
      <c r="F36" s="16">
        <v>0</v>
      </c>
      <c r="G36" s="16"/>
      <c r="H36" s="16">
        <f t="shared" si="20"/>
        <v>0</v>
      </c>
      <c r="I36" s="16">
        <f t="shared" si="21"/>
        <v>0</v>
      </c>
      <c r="J36" s="16">
        <f t="shared" si="22"/>
        <v>0</v>
      </c>
      <c r="K36" s="16">
        <v>0</v>
      </c>
      <c r="L36" s="16">
        <f t="shared" si="23"/>
        <v>0</v>
      </c>
      <c r="N36" s="17" t="s">
        <v>41</v>
      </c>
      <c r="O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D36" s="16">
        <v>21</v>
      </c>
      <c r="AE36" s="16">
        <f t="shared" ref="AE36:AE37" si="28">G36*0</f>
        <v>0</v>
      </c>
      <c r="AF36" s="16">
        <f t="shared" ref="AF36:AF37" si="29">G36*(1-0)</f>
        <v>0</v>
      </c>
    </row>
    <row r="37" spans="1:37" x14ac:dyDescent="0.2">
      <c r="A37" s="34" t="s">
        <v>115</v>
      </c>
      <c r="B37" s="34"/>
      <c r="C37" s="34" t="s">
        <v>116</v>
      </c>
      <c r="D37" s="34" t="s">
        <v>117</v>
      </c>
      <c r="E37" s="34" t="s">
        <v>48</v>
      </c>
      <c r="F37" s="16">
        <v>100</v>
      </c>
      <c r="G37" s="16"/>
      <c r="H37" s="16">
        <f t="shared" si="20"/>
        <v>0</v>
      </c>
      <c r="I37" s="16">
        <f t="shared" si="21"/>
        <v>0</v>
      </c>
      <c r="J37" s="16">
        <f t="shared" si="22"/>
        <v>0</v>
      </c>
      <c r="K37" s="16">
        <v>0</v>
      </c>
      <c r="L37" s="16">
        <f t="shared" si="23"/>
        <v>0</v>
      </c>
      <c r="N37" s="17" t="s">
        <v>41</v>
      </c>
      <c r="O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D37" s="16">
        <v>21</v>
      </c>
      <c r="AE37" s="16">
        <f t="shared" si="28"/>
        <v>0</v>
      </c>
      <c r="AF37" s="16">
        <f t="shared" si="29"/>
        <v>0</v>
      </c>
    </row>
    <row r="38" spans="1:37" x14ac:dyDescent="0.2">
      <c r="A38" s="25"/>
      <c r="B38" s="25"/>
      <c r="C38" s="36" t="s">
        <v>118</v>
      </c>
      <c r="D38" s="53" t="s">
        <v>119</v>
      </c>
      <c r="E38" s="53"/>
      <c r="F38" s="53"/>
      <c r="G38" s="53"/>
      <c r="H38" s="26">
        <f>SUM(H39:H41)</f>
        <v>0</v>
      </c>
      <c r="I38" s="26">
        <f>SUM(I39:I41)</f>
        <v>0</v>
      </c>
      <c r="J38" s="26">
        <f>H38+I38</f>
        <v>0</v>
      </c>
      <c r="K38" s="27"/>
      <c r="L38" s="26">
        <f>SUM(L39:L41)</f>
        <v>0</v>
      </c>
      <c r="N38" s="17"/>
      <c r="O38" s="16"/>
      <c r="Z38" s="16"/>
      <c r="AA38" s="16"/>
      <c r="AB38" s="16"/>
      <c r="AD38" s="16"/>
      <c r="AE38" s="16"/>
      <c r="AF38" s="16"/>
    </row>
    <row r="39" spans="1:37" x14ac:dyDescent="0.2">
      <c r="A39" s="28" t="s">
        <v>120</v>
      </c>
      <c r="B39" s="28"/>
      <c r="C39" s="28" t="s">
        <v>121</v>
      </c>
      <c r="D39" s="28" t="s">
        <v>122</v>
      </c>
      <c r="E39" s="28" t="s">
        <v>123</v>
      </c>
      <c r="F39" s="29">
        <v>0.95</v>
      </c>
      <c r="G39" s="29"/>
      <c r="H39" s="29">
        <f t="shared" ref="H39:H41" si="30">ROUND(F39*AE39,2)</f>
        <v>0</v>
      </c>
      <c r="I39" s="29">
        <f t="shared" ref="I39:I41" si="31">J39-H39</f>
        <v>0</v>
      </c>
      <c r="J39" s="29">
        <f t="shared" ref="J39:J41" si="32">ROUND(F39*G39,2)</f>
        <v>0</v>
      </c>
      <c r="K39" s="29">
        <v>0</v>
      </c>
      <c r="L39" s="29">
        <f t="shared" ref="L39:L41" si="33">F39*K39</f>
        <v>0</v>
      </c>
      <c r="N39" s="17"/>
      <c r="O39" s="16"/>
      <c r="Z39" s="16"/>
      <c r="AA39" s="16"/>
      <c r="AB39" s="16"/>
      <c r="AD39" s="16"/>
      <c r="AE39" s="16"/>
      <c r="AF39" s="16"/>
    </row>
    <row r="40" spans="1:37" x14ac:dyDescent="0.2">
      <c r="A40" s="28" t="s">
        <v>124</v>
      </c>
      <c r="B40" s="28"/>
      <c r="C40" s="28" t="s">
        <v>125</v>
      </c>
      <c r="D40" s="28" t="s">
        <v>126</v>
      </c>
      <c r="E40" s="28" t="s">
        <v>123</v>
      </c>
      <c r="F40" s="29">
        <v>0.95</v>
      </c>
      <c r="G40" s="29"/>
      <c r="H40" s="29">
        <f t="shared" si="30"/>
        <v>0</v>
      </c>
      <c r="I40" s="29">
        <f t="shared" si="31"/>
        <v>0</v>
      </c>
      <c r="J40" s="29">
        <f t="shared" si="32"/>
        <v>0</v>
      </c>
      <c r="K40" s="29">
        <v>0</v>
      </c>
      <c r="L40" s="29">
        <f t="shared" si="33"/>
        <v>0</v>
      </c>
      <c r="N40" s="17"/>
      <c r="O40" s="16"/>
      <c r="Z40" s="16"/>
      <c r="AA40" s="16"/>
      <c r="AB40" s="16"/>
      <c r="AD40" s="16"/>
      <c r="AE40" s="16"/>
      <c r="AF40" s="16"/>
    </row>
    <row r="41" spans="1:37" x14ac:dyDescent="0.2">
      <c r="A41" s="28" t="s">
        <v>127</v>
      </c>
      <c r="B41" s="28"/>
      <c r="C41" s="28" t="s">
        <v>128</v>
      </c>
      <c r="D41" s="28" t="s">
        <v>129</v>
      </c>
      <c r="E41" s="28" t="s">
        <v>123</v>
      </c>
      <c r="F41" s="29">
        <v>0.95</v>
      </c>
      <c r="G41" s="29"/>
      <c r="H41" s="29">
        <f t="shared" si="30"/>
        <v>0</v>
      </c>
      <c r="I41" s="29">
        <f t="shared" si="31"/>
        <v>0</v>
      </c>
      <c r="J41" s="29">
        <f t="shared" si="32"/>
        <v>0</v>
      </c>
      <c r="K41" s="29">
        <v>0</v>
      </c>
      <c r="L41" s="29">
        <f t="shared" si="33"/>
        <v>0</v>
      </c>
      <c r="N41" s="17"/>
      <c r="O41" s="16"/>
      <c r="Z41" s="16"/>
      <c r="AA41" s="16"/>
      <c r="AB41" s="16"/>
      <c r="AD41" s="16"/>
      <c r="AE41" s="16"/>
      <c r="AF41" s="16"/>
    </row>
    <row r="42" spans="1:37" x14ac:dyDescent="0.2">
      <c r="A42" s="18"/>
      <c r="B42" s="18"/>
      <c r="C42" s="35" t="s">
        <v>130</v>
      </c>
      <c r="D42" s="52" t="s">
        <v>131</v>
      </c>
      <c r="E42" s="52"/>
      <c r="F42" s="52"/>
      <c r="G42" s="52"/>
      <c r="H42" s="15">
        <f>SUM(H43:H43)</f>
        <v>0</v>
      </c>
      <c r="I42" s="15">
        <f>SUM(I43:I43)</f>
        <v>0</v>
      </c>
      <c r="J42" s="15">
        <f>H42+I42</f>
        <v>0</v>
      </c>
      <c r="K42" s="14"/>
      <c r="L42" s="15">
        <f>SUM(L43:L43)</f>
        <v>0</v>
      </c>
      <c r="P42" s="15">
        <f>IF(Q42="PR",J42,SUM(O43:O43))</f>
        <v>0</v>
      </c>
      <c r="Q42" s="14" t="s">
        <v>132</v>
      </c>
      <c r="R42" s="15">
        <f>IF(Q42="HS",H42,0)</f>
        <v>0</v>
      </c>
      <c r="S42" s="15">
        <f>IF(Q42="HS",I42-P42,0)</f>
        <v>0</v>
      </c>
      <c r="T42" s="15">
        <f>IF(Q42="PS",H42,0)</f>
        <v>0</v>
      </c>
      <c r="U42" s="15">
        <f>IF(Q42="PS",I42-P42,0)</f>
        <v>0</v>
      </c>
      <c r="V42" s="15">
        <f>IF(Q42="MP",H42,0)</f>
        <v>0</v>
      </c>
      <c r="W42" s="15">
        <f>IF(Q42="MP",I42-P42,0)</f>
        <v>0</v>
      </c>
      <c r="X42" s="15">
        <f>IF(Q42="OM",H42,0)</f>
        <v>0</v>
      </c>
      <c r="Y42" s="14"/>
      <c r="AI42" s="15">
        <f>SUM(Z43:Z43)</f>
        <v>0</v>
      </c>
      <c r="AJ42" s="15">
        <f>SUM(AA43:AA43)</f>
        <v>0</v>
      </c>
      <c r="AK42" s="15">
        <f>SUM(AB43:AB43)</f>
        <v>0</v>
      </c>
    </row>
    <row r="43" spans="1:37" x14ac:dyDescent="0.2">
      <c r="A43" s="37" t="s">
        <v>133</v>
      </c>
      <c r="B43" s="37"/>
      <c r="C43" s="37" t="s">
        <v>134</v>
      </c>
      <c r="D43" s="37" t="s">
        <v>135</v>
      </c>
      <c r="E43" s="37" t="s">
        <v>123</v>
      </c>
      <c r="F43" s="30">
        <v>2.52</v>
      </c>
      <c r="G43" s="30"/>
      <c r="H43" s="30">
        <f>ROUND(F43*AE43,2)</f>
        <v>0</v>
      </c>
      <c r="I43" s="30">
        <f>J43-H43</f>
        <v>0</v>
      </c>
      <c r="J43" s="30">
        <f>ROUND(F43*G43,2)</f>
        <v>0</v>
      </c>
      <c r="K43" s="30">
        <v>0</v>
      </c>
      <c r="L43" s="30">
        <f>F43*K43</f>
        <v>0</v>
      </c>
      <c r="N43" s="17" t="s">
        <v>55</v>
      </c>
      <c r="O43" s="16">
        <f>IF(N43="5",I43,0)</f>
        <v>0</v>
      </c>
      <c r="Z43" s="16">
        <f>IF(AD43=0,J43,0)</f>
        <v>0</v>
      </c>
      <c r="AA43" s="16">
        <f>IF(AD43=15,J43,0)</f>
        <v>0</v>
      </c>
      <c r="AB43" s="16">
        <f>IF(AD43=21,J43,0)</f>
        <v>0</v>
      </c>
      <c r="AD43" s="16">
        <v>21</v>
      </c>
      <c r="AE43" s="16">
        <f>G43*0</f>
        <v>0</v>
      </c>
      <c r="AF43" s="16">
        <f>G43*(1-0)</f>
        <v>0</v>
      </c>
    </row>
    <row r="44" spans="1:37" x14ac:dyDescent="0.2">
      <c r="A44" s="31"/>
      <c r="B44" s="31"/>
      <c r="C44" s="31"/>
      <c r="D44" s="31"/>
      <c r="E44" s="31"/>
      <c r="F44" s="31"/>
      <c r="G44" s="31"/>
      <c r="H44" s="42" t="s">
        <v>136</v>
      </c>
      <c r="I44" s="42"/>
      <c r="J44" s="32" t="e">
        <f>#REF!+J12+#REF!+J29+#REF!+J34+#REF!+J38+J42</f>
        <v>#REF!</v>
      </c>
      <c r="K44" s="31"/>
      <c r="L44" s="31"/>
      <c r="Z44" s="33">
        <f>SUM(Z12:Z43)</f>
        <v>0</v>
      </c>
      <c r="AA44" s="33">
        <f>SUM(AA12:AA43)</f>
        <v>0</v>
      </c>
      <c r="AB44" s="33">
        <f>SUM(AB12:AB43)</f>
        <v>0</v>
      </c>
    </row>
  </sheetData>
  <sheetProtection selectLockedCells="1" selectUnlockedCells="1"/>
  <mergeCells count="33">
    <mergeCell ref="H44:I44"/>
    <mergeCell ref="H10:J10"/>
    <mergeCell ref="K10:L10"/>
    <mergeCell ref="D12:G12"/>
    <mergeCell ref="D29:G29"/>
    <mergeCell ref="D34:G34"/>
    <mergeCell ref="D38:G38"/>
    <mergeCell ref="D42:G42"/>
    <mergeCell ref="J8:L9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</mergeCells>
  <printOptions horizontalCentered="1"/>
  <pageMargins left="0.59027777777777779" right="0.39374999999999999" top="0.98402777777777772" bottom="0.98402777777777772" header="0.51180555555555551" footer="0.51180555555555551"/>
  <pageSetup paperSize="9" scale="8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Stavební rozpočet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Verzich</dc:creator>
  <cp:keywords/>
  <dc:description/>
  <cp:lastModifiedBy>Pavel Verzich</cp:lastModifiedBy>
  <cp:revision/>
  <dcterms:created xsi:type="dcterms:W3CDTF">2019-02-23T09:13:48Z</dcterms:created>
  <dcterms:modified xsi:type="dcterms:W3CDTF">2019-02-23T09:49:02Z</dcterms:modified>
  <cp:category/>
  <cp:contentStatus/>
</cp:coreProperties>
</file>