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" windowWidth="19140" windowHeight="7176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<sst xmlns="http://schemas.openxmlformats.org/spreadsheetml/2006/main" count="2171" uniqueCount="786">
  <si>
    <t>Č</t>
  </si>
  <si>
    <t>Objekt</t>
  </si>
  <si>
    <t>Kód</t>
  </si>
  <si>
    <t>Zkrácený popis / Varianta</t>
  </si>
  <si>
    <t>M.j.</t>
  </si>
  <si>
    <t>Množství</t>
  </si>
  <si>
    <t>Jednot.</t>
  </si>
  <si>
    <t>Náklady (Kč)</t>
  </si>
  <si>
    <t>Hmotnost (t)</t>
  </si>
  <si>
    <t>Cenová</t>
  </si>
  <si>
    <t xml:space="preserve"> </t>
  </si>
  <si>
    <t>Rozměry</t>
  </si>
  <si>
    <t>cena (Kč)</t>
  </si>
  <si>
    <t>Dodávka</t>
  </si>
  <si>
    <t>Montáž</t>
  </si>
  <si>
    <t>Celkem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</si>
  <si>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</si>
  <si>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</si>
  <si>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</si>
  <si>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</si>
  <si>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</si>
  <si>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</si>
  <si>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</si>
  <si>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</si>
  <si>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</si>
  <si>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</si>
  <si>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12</t>
  </si>
  <si>
    <t>Odkopávky a prokopávky</t>
  </si>
  <si>
    <t>1</t>
  </si>
  <si>
    <t>121101100R00</t>
  </si>
  <si>
    <t>Sejmutí ornice, pl. do 400 m2, přemístění do 50 m</t>
  </si>
  <si>
    <t>m3</t>
  </si>
  <si>
    <t>RTS I / 2018</t>
  </si>
  <si>
    <t>12_</t>
  </si>
  <si>
    <t>1_</t>
  </si>
  <si>
    <t>_</t>
  </si>
  <si>
    <t>13</t>
  </si>
  <si>
    <t>Hloubené vykopávky</t>
  </si>
  <si>
    <t>2</t>
  </si>
  <si>
    <t>132103301R00</t>
  </si>
  <si>
    <t>Hloubení rýh pro drény, hloubky do 1,1 m, v hor.2</t>
  </si>
  <si>
    <t>m</t>
  </si>
  <si>
    <t>13_</t>
  </si>
  <si>
    <t>3</t>
  </si>
  <si>
    <t>132201110R00</t>
  </si>
  <si>
    <t>Hloubení rýh š.do 60 cm v hor.3 do 50 m3, STROJNĚ</t>
  </si>
  <si>
    <t>4</t>
  </si>
  <si>
    <t>132201119R00</t>
  </si>
  <si>
    <t>Přípl.za lepivost,hloubení rýh 60 cm,hor.3,STROJNĚ</t>
  </si>
  <si>
    <t>5</t>
  </si>
  <si>
    <t>oplocení</t>
  </si>
  <si>
    <t>6</t>
  </si>
  <si>
    <t>16</t>
  </si>
  <si>
    <t>Přemístění výkopku</t>
  </si>
  <si>
    <t>7</t>
  </si>
  <si>
    <t>162701105R00</t>
  </si>
  <si>
    <t>Vodorovné přemístění výkopku z hor.1-4 do 10000 m</t>
  </si>
  <si>
    <t>16_</t>
  </si>
  <si>
    <t>8</t>
  </si>
  <si>
    <t>162701109R00</t>
  </si>
  <si>
    <t>Příplatek k vod. přemístění hor.1-4 za další 1 km</t>
  </si>
  <si>
    <t>17</t>
  </si>
  <si>
    <t>Konstrukce ze zemin</t>
  </si>
  <si>
    <t>9</t>
  </si>
  <si>
    <t>171201201R00</t>
  </si>
  <si>
    <t>Uložení sypaniny na skládku</t>
  </si>
  <si>
    <t>17_</t>
  </si>
  <si>
    <t>10</t>
  </si>
  <si>
    <t>162702199R00</t>
  </si>
  <si>
    <t>Poplatek za skládku zeminy</t>
  </si>
  <si>
    <t>18</t>
  </si>
  <si>
    <t>Povrchové úpravy terénu</t>
  </si>
  <si>
    <t>11</t>
  </si>
  <si>
    <t>181101102R00</t>
  </si>
  <si>
    <t>Úprava pláně v zářezech v hor. 1-4, se zhutněním</t>
  </si>
  <si>
    <t>m2</t>
  </si>
  <si>
    <t>18_</t>
  </si>
  <si>
    <t>21</t>
  </si>
  <si>
    <t>Úprava podloží a základové spáry</t>
  </si>
  <si>
    <t>212750010RAB</t>
  </si>
  <si>
    <t>Trativody z drenážních trubek</t>
  </si>
  <si>
    <t>21_</t>
  </si>
  <si>
    <t>2_</t>
  </si>
  <si>
    <t>lože štěrkopís.,obsyp kamenivem,světlost trub 10cm</t>
  </si>
  <si>
    <t>27</t>
  </si>
  <si>
    <t>Základy</t>
  </si>
  <si>
    <t>271570010RAC</t>
  </si>
  <si>
    <t>Polštář hutněný pod základy</t>
  </si>
  <si>
    <t>27_</t>
  </si>
  <si>
    <t>ze štěrkopísku tloušťky 20 cm</t>
  </si>
  <si>
    <t>14</t>
  </si>
  <si>
    <t>274313511R00</t>
  </si>
  <si>
    <t>Beton základových pasů prostý C 12/15</t>
  </si>
  <si>
    <t>15</t>
  </si>
  <si>
    <t>274272150RT3</t>
  </si>
  <si>
    <t>Zdivo základové z bednicích tvárnic, tl. 40 cm</t>
  </si>
  <si>
    <t>výplň tvárnic betonem C 16/20</t>
  </si>
  <si>
    <t>274272160RT3</t>
  </si>
  <si>
    <t>Zdivo základové z bednicích tvárnic, tl. 50 cm</t>
  </si>
  <si>
    <t>273321211R00</t>
  </si>
  <si>
    <t>Železobeton základových desek C 12/15</t>
  </si>
  <si>
    <t>273351215R00</t>
  </si>
  <si>
    <t>Bednění stěn základových desek - zřízení</t>
  </si>
  <si>
    <t>19</t>
  </si>
  <si>
    <t>273351216R00</t>
  </si>
  <si>
    <t>Bednění stěn základových desek - odstranění</t>
  </si>
  <si>
    <t>20</t>
  </si>
  <si>
    <t>273361921RT9</t>
  </si>
  <si>
    <t>Výztuž základových desek ze svařovaných sítí</t>
  </si>
  <si>
    <t>t</t>
  </si>
  <si>
    <t>průměr drátu  8,0, oka 150/150 mm KY80</t>
  </si>
  <si>
    <t>274272150RT2</t>
  </si>
  <si>
    <t>výplň tvárnic betonem C 12/15</t>
  </si>
  <si>
    <t>22</t>
  </si>
  <si>
    <t>274272160RT2</t>
  </si>
  <si>
    <t>23</t>
  </si>
  <si>
    <t>274361215R00</t>
  </si>
  <si>
    <t>Výztuž základ. pásů do 12mm, ocel BSt 500S</t>
  </si>
  <si>
    <t>24</t>
  </si>
  <si>
    <t>28</t>
  </si>
  <si>
    <t>Zpevňování hornin a konstrukcí</t>
  </si>
  <si>
    <t>25</t>
  </si>
  <si>
    <t>289970111R00</t>
  </si>
  <si>
    <t>Vrstva geotextilie Geofiltex 300g/m2</t>
  </si>
  <si>
    <t>28_</t>
  </si>
  <si>
    <t>31</t>
  </si>
  <si>
    <t>Zdi podpěrné a volné</t>
  </si>
  <si>
    <t>26</t>
  </si>
  <si>
    <t>311237422R00</t>
  </si>
  <si>
    <t>Zdivo z HELUZ broušených P 10, tl.20 cm, lepidlo</t>
  </si>
  <si>
    <t>31_</t>
  </si>
  <si>
    <t>3_</t>
  </si>
  <si>
    <t>311237445R00</t>
  </si>
  <si>
    <t>Zdivo z HELUZ broušených P15, tl. 30 cm, lepidlo</t>
  </si>
  <si>
    <t>311237441R00</t>
  </si>
  <si>
    <t>Zdivo z HELUZ FAMILY brouš.P10, tl. 30 cm, lepidlo</t>
  </si>
  <si>
    <t>29</t>
  </si>
  <si>
    <t>317167121R00</t>
  </si>
  <si>
    <t>Překlad Heluz plochý 11,5/7,1/100 cm</t>
  </si>
  <si>
    <t>kus</t>
  </si>
  <si>
    <t>30</t>
  </si>
  <si>
    <t>317167122R00</t>
  </si>
  <si>
    <t>Překlad Heluz plochý 11,5/7,1/125 cm</t>
  </si>
  <si>
    <t>317167125R00</t>
  </si>
  <si>
    <t>Překlad Heluz plochý 11,5/7,1/200 cm</t>
  </si>
  <si>
    <t>32</t>
  </si>
  <si>
    <t>317161102RA0</t>
  </si>
  <si>
    <t>Sestava překladů pro tl. 200, bez izol. dl.1250 mm</t>
  </si>
  <si>
    <t>33</t>
  </si>
  <si>
    <t>317161402RA0</t>
  </si>
  <si>
    <t>Sestava překladů pro tl. 300, bez izol. dl.1250 mm</t>
  </si>
  <si>
    <t>34</t>
  </si>
  <si>
    <t>317161403RA0</t>
  </si>
  <si>
    <t>Sestava překladů pro tl. 300, bez izol. dl.1500 mm</t>
  </si>
  <si>
    <t>35</t>
  </si>
  <si>
    <t>317161406RA0</t>
  </si>
  <si>
    <t>Sestava překladů pro tl. 300, bez izol. dl.2250 mm</t>
  </si>
  <si>
    <t>36</t>
  </si>
  <si>
    <t>37</t>
  </si>
  <si>
    <t>317161409RA0</t>
  </si>
  <si>
    <t>Sestava překladů pro tl. 300, bez izol. dl.3000 mm</t>
  </si>
  <si>
    <t>38</t>
  </si>
  <si>
    <t>317161410RA0</t>
  </si>
  <si>
    <t>Sestava překladů pro tl. 300, bez izol. dl.3250 mm</t>
  </si>
  <si>
    <t>39</t>
  </si>
  <si>
    <t>314246031R00</t>
  </si>
  <si>
    <t>Kotevní prvek komínu Schiedel do krovu</t>
  </si>
  <si>
    <t>40</t>
  </si>
  <si>
    <t>314200217RAA</t>
  </si>
  <si>
    <t>Komín UNI ADVANCED,v=8,33 m,1průd. bez šachty,DN 20</t>
  </si>
  <si>
    <t>soubor</t>
  </si>
  <si>
    <t>nadstřešní část FINAL + soupr. komínové hlavy</t>
  </si>
  <si>
    <t>41</t>
  </si>
  <si>
    <t>317998111R00</t>
  </si>
  <si>
    <t>Izolace mezi překlady polystyren tl. 50 mm</t>
  </si>
  <si>
    <t>42</t>
  </si>
  <si>
    <t>311237123R00</t>
  </si>
  <si>
    <t>Zdivo z cihel HELUZ P 10 na MVC 5 tl. 20 cm</t>
  </si>
  <si>
    <t>atika</t>
  </si>
  <si>
    <t>Sloupy a pilíře, stožáry a rámové stojky</t>
  </si>
  <si>
    <t>43</t>
  </si>
  <si>
    <t>331320022RAA</t>
  </si>
  <si>
    <t>Sloupy ŽB z C 12/15 4hran., 35 x 35 cm</t>
  </si>
  <si>
    <t>33_</t>
  </si>
  <si>
    <t>bednění a odbednění, výztuž 90 kg/m3</t>
  </si>
  <si>
    <t>Stěny a příčky</t>
  </si>
  <si>
    <t>44</t>
  </si>
  <si>
    <t>342247532R00</t>
  </si>
  <si>
    <t>Příčky z cihel HELUZ broušených, lepidlo, tl. 11,5</t>
  </si>
  <si>
    <t>34_</t>
  </si>
  <si>
    <t>45</t>
  </si>
  <si>
    <t>342264051RT2</t>
  </si>
  <si>
    <t>Podhled sádrokartonový na zavěšenou ocel. konstr.</t>
  </si>
  <si>
    <t>desky protipožární tl. 12,5 mm, bez izolace</t>
  </si>
  <si>
    <t>46</t>
  </si>
  <si>
    <t>342264051RT4</t>
  </si>
  <si>
    <t>desky požár. impreg. tl. 12,5 mm, bez izolace</t>
  </si>
  <si>
    <t>47</t>
  </si>
  <si>
    <t>342264092R00</t>
  </si>
  <si>
    <t>Příplatek k podhledu sádrok. za tl.desek GKF 15 mm</t>
  </si>
  <si>
    <t>48</t>
  </si>
  <si>
    <t>342264098RT2</t>
  </si>
  <si>
    <t>Příplatek k podhledu sádrokart. za plochu do 10 m2</t>
  </si>
  <si>
    <t>pro plochy 2 - 5 m2</t>
  </si>
  <si>
    <t>49</t>
  </si>
  <si>
    <t>342264098RT3</t>
  </si>
  <si>
    <t>pro plochy 5 - 10 m2</t>
  </si>
  <si>
    <t>50</t>
  </si>
  <si>
    <t>342265122RT6</t>
  </si>
  <si>
    <t>Úprava podkroví sádrokarton. na ocel. rošt, šikmá</t>
  </si>
  <si>
    <t>51</t>
  </si>
  <si>
    <t>342265122RT8</t>
  </si>
  <si>
    <t>52</t>
  </si>
  <si>
    <t>53</t>
  </si>
  <si>
    <t>342267111RT2</t>
  </si>
  <si>
    <t>Obklad odvětrání sádrokartonem dvoustranný do 0,5/0,5m</t>
  </si>
  <si>
    <t>desky protipožární tl. 12,5 mm</t>
  </si>
  <si>
    <t>Stropy a stropní konstrukce (pro pozemní stavby)</t>
  </si>
  <si>
    <t>54</t>
  </si>
  <si>
    <t>417321315R00</t>
  </si>
  <si>
    <t>Ztužující pásy a věnce z betonu železového C 20/25</t>
  </si>
  <si>
    <t>41_</t>
  </si>
  <si>
    <t>4_</t>
  </si>
  <si>
    <t>V01-V12</t>
  </si>
  <si>
    <t>55</t>
  </si>
  <si>
    <t>417351115R00</t>
  </si>
  <si>
    <t>Bednění ztužujících pásů a věnců - zřízení</t>
  </si>
  <si>
    <t>56</t>
  </si>
  <si>
    <t>417351116R00</t>
  </si>
  <si>
    <t>Bednění ztužujících pásů a věnců - odstranění</t>
  </si>
  <si>
    <t>57</t>
  </si>
  <si>
    <t>417361821R00</t>
  </si>
  <si>
    <t>Výztuž ztužujících pásů a věnců z oceli 10505(R)</t>
  </si>
  <si>
    <t>58</t>
  </si>
  <si>
    <t>VP1-VP4</t>
  </si>
  <si>
    <t>59</t>
  </si>
  <si>
    <t>60</t>
  </si>
  <si>
    <t>61</t>
  </si>
  <si>
    <t>62</t>
  </si>
  <si>
    <t>4111199VD</t>
  </si>
  <si>
    <t>Stropsystém GOLDBECK</t>
  </si>
  <si>
    <t>kpl</t>
  </si>
  <si>
    <t>Dodávka+montáž</t>
  </si>
  <si>
    <t>63</t>
  </si>
  <si>
    <t>413941125RU2</t>
  </si>
  <si>
    <t>Osazení válcovaných nosníků ve stropech č.24 a výš</t>
  </si>
  <si>
    <t>včetně dodávky profilu U č. 24</t>
  </si>
  <si>
    <t>64</t>
  </si>
  <si>
    <t>413941125R00</t>
  </si>
  <si>
    <t>65</t>
  </si>
  <si>
    <t>13487130</t>
  </si>
  <si>
    <t>Tyč průřezu HEB 260, hrubé, jakost oceli S235</t>
  </si>
  <si>
    <t>66</t>
  </si>
  <si>
    <t>411200021RAA</t>
  </si>
  <si>
    <t>Dobetonování panelového stropu</t>
  </si>
  <si>
    <t>tloušťka 20 cm, bednění, výztuž</t>
  </si>
  <si>
    <t>430</t>
  </si>
  <si>
    <t>Konstrukce monolitické</t>
  </si>
  <si>
    <t>67</t>
  </si>
  <si>
    <t>4303299VD</t>
  </si>
  <si>
    <t>Vnitřní samonosné schodiště obložené dřevem</t>
  </si>
  <si>
    <t>430_</t>
  </si>
  <si>
    <t>Dodávka+montáž - cena orientační!!</t>
  </si>
  <si>
    <t>Zpevněné plochy</t>
  </si>
  <si>
    <t>68</t>
  </si>
  <si>
    <t>596215020R00</t>
  </si>
  <si>
    <t>Kladení zámkové dlažby tl. 6 cm do drtě tl. 3 cm</t>
  </si>
  <si>
    <t>59_</t>
  </si>
  <si>
    <t>5_</t>
  </si>
  <si>
    <t>závětří+chodník</t>
  </si>
  <si>
    <t>69</t>
  </si>
  <si>
    <t>59245308</t>
  </si>
  <si>
    <t>Dlažba BEST KLASIKO přírodní  20x10x6</t>
  </si>
  <si>
    <t>70</t>
  </si>
  <si>
    <t>564851111RT2</t>
  </si>
  <si>
    <t>Podklad ze štěrkodrti po zhutnění tloušťky 15 cm</t>
  </si>
  <si>
    <t>štěrkodrť frakce 8-16 mm</t>
  </si>
  <si>
    <t>71</t>
  </si>
  <si>
    <t>596215040R00</t>
  </si>
  <si>
    <t>Kladení zámkové dlažby tl. 8 cm do drtě tl. 4 cm</t>
  </si>
  <si>
    <t>stání+příjezd</t>
  </si>
  <si>
    <t>72</t>
  </si>
  <si>
    <t>592452655</t>
  </si>
  <si>
    <t>Dlažba BEST KLASIKO přírodní 20x10x8</t>
  </si>
  <si>
    <t>73</t>
  </si>
  <si>
    <t>564831111RT2</t>
  </si>
  <si>
    <t>Podklad ze štěrkodrti po zhutnění tloušťky 10 cm</t>
  </si>
  <si>
    <t>74</t>
  </si>
  <si>
    <t>564861111RT2</t>
  </si>
  <si>
    <t>Podklad ze štěrkodrti po zhutnění tloušťky 20 cm</t>
  </si>
  <si>
    <t>štěrkodrť frakce 16-32 mm</t>
  </si>
  <si>
    <t>75</t>
  </si>
  <si>
    <t>564231111R00</t>
  </si>
  <si>
    <t>Podklad ze štěrkopísku po zhutnění tloušťky 10 cm</t>
  </si>
  <si>
    <t>Úprava povrchů vnitřní</t>
  </si>
  <si>
    <t>76</t>
  </si>
  <si>
    <t>611420016RAA</t>
  </si>
  <si>
    <t>Omítka stropů vnitřní vápenocemetová štuková</t>
  </si>
  <si>
    <t>61_</t>
  </si>
  <si>
    <t>6_</t>
  </si>
  <si>
    <t>montáž a demontáž pomocného lešení-garáž</t>
  </si>
  <si>
    <t>77</t>
  </si>
  <si>
    <t>612421626R00</t>
  </si>
  <si>
    <t>Omítka vnitřní zdiva, MVC, hladká</t>
  </si>
  <si>
    <t>pod obklady</t>
  </si>
  <si>
    <t>78</t>
  </si>
  <si>
    <t>612421739R00</t>
  </si>
  <si>
    <t>Omítka vnitřní zdiva, MVC, na pletivu, štuková</t>
  </si>
  <si>
    <t>věnce</t>
  </si>
  <si>
    <t>79</t>
  </si>
  <si>
    <t>612421637R00</t>
  </si>
  <si>
    <t>Omítka vnitřní zdiva, MVC, štuková</t>
  </si>
  <si>
    <t>80</t>
  </si>
  <si>
    <t>garáž-zateplení</t>
  </si>
  <si>
    <t>81</t>
  </si>
  <si>
    <t>612425931R00</t>
  </si>
  <si>
    <t>Omítka vápenná vnitřního ostění - štuková</t>
  </si>
  <si>
    <t>Úprava povrchů vnější</t>
  </si>
  <si>
    <t>82</t>
  </si>
  <si>
    <t>625990000R00</t>
  </si>
  <si>
    <t>Obklad vnějších konstrukcí polystyrenem tl. 50 mm</t>
  </si>
  <si>
    <t>62_</t>
  </si>
  <si>
    <t>83</t>
  </si>
  <si>
    <t>622311521RU1</t>
  </si>
  <si>
    <t>Zateplovací systém Etics, sokl, XPS tl. 80 mm</t>
  </si>
  <si>
    <t>s mozaikovou omítkou 5,5 kg/m2</t>
  </si>
  <si>
    <t>84</t>
  </si>
  <si>
    <t>622311735RT6</t>
  </si>
  <si>
    <t>Zatepl.syst. Etics, fasáda, miner.desky KV 160 mm</t>
  </si>
  <si>
    <t>s omítkou SilikatTop K2, lepidlo ProContact</t>
  </si>
  <si>
    <t>85</t>
  </si>
  <si>
    <t>623421141R00</t>
  </si>
  <si>
    <t>Omítka vnější sloupů, s pl.rovnými, štuková sl.1-2</t>
  </si>
  <si>
    <t>86</t>
  </si>
  <si>
    <t>622311016R00</t>
  </si>
  <si>
    <t>Soklová lišta hliník KZS Etics tl. 160 mm</t>
  </si>
  <si>
    <t>87</t>
  </si>
  <si>
    <t>622311730RT6</t>
  </si>
  <si>
    <t>Zatepl.syst. Etics, fasáda, miner.desky KV 60 mm</t>
  </si>
  <si>
    <t>88</t>
  </si>
  <si>
    <t>622311750RT6</t>
  </si>
  <si>
    <t>Etics, povrchová úprava ostění KZS s min.vlnou KV</t>
  </si>
  <si>
    <t>89</t>
  </si>
  <si>
    <t>622421143R00</t>
  </si>
  <si>
    <t>Omítka vnější stěn, MVC, štuková, složitost 1-2</t>
  </si>
  <si>
    <t>90</t>
  </si>
  <si>
    <t>622473187RT2</t>
  </si>
  <si>
    <t>Příplatek za okenní lištu (APU) - montáž</t>
  </si>
  <si>
    <t>včetně dodávky lišty</t>
  </si>
  <si>
    <t>91</t>
  </si>
  <si>
    <t>622481292R00</t>
  </si>
  <si>
    <t>Montáž výztužné lišty okenní a podparapetní</t>
  </si>
  <si>
    <t>92</t>
  </si>
  <si>
    <t>283502835</t>
  </si>
  <si>
    <t>LPE LIKOV parapetní lišta s tkaninou</t>
  </si>
  <si>
    <t>93</t>
  </si>
  <si>
    <t>620991121R00</t>
  </si>
  <si>
    <t>Zakrývání výplní vnějších otvorů z lešení</t>
  </si>
  <si>
    <t>94</t>
  </si>
  <si>
    <t>621481211RT8</t>
  </si>
  <si>
    <t>Montáž výztužné sítě (perlinky) do stěrky-podhledy</t>
  </si>
  <si>
    <t>včetně výztužné sítě a stěrkového tmelu -závětří</t>
  </si>
  <si>
    <t>95</t>
  </si>
  <si>
    <t>601011141RT3</t>
  </si>
  <si>
    <t>Štuk na stropech Cemix 033 ručně</t>
  </si>
  <si>
    <t>tloušťka vrstvy 4 mm-závětří</t>
  </si>
  <si>
    <t>96</t>
  </si>
  <si>
    <t>601011184R00</t>
  </si>
  <si>
    <t>Omítka stropů tenkovrstvá silikátová barevná</t>
  </si>
  <si>
    <t>závětří</t>
  </si>
  <si>
    <t>97</t>
  </si>
  <si>
    <t>601011191R00</t>
  </si>
  <si>
    <t>Podklad.nátěr stropů pod tenkovr.omítky Cemix PASN</t>
  </si>
  <si>
    <t>98</t>
  </si>
  <si>
    <t>622471318RS4</t>
  </si>
  <si>
    <t>Nátěr nebo nástřik stěn vnějších, složitost 3 - 4</t>
  </si>
  <si>
    <t>hmota  silikát-atika</t>
  </si>
  <si>
    <t>Podlahy a podlahové konstrukce</t>
  </si>
  <si>
    <t>99</t>
  </si>
  <si>
    <t>632441015R00</t>
  </si>
  <si>
    <t>Potěr anhydritový, plocha do 100 m2, tl.50 mm</t>
  </si>
  <si>
    <t>63_</t>
  </si>
  <si>
    <t>P2</t>
  </si>
  <si>
    <t>100</t>
  </si>
  <si>
    <t>631310031RA0</t>
  </si>
  <si>
    <t>Mazanina z betonu C 16/20, tloušťka 8 cm</t>
  </si>
  <si>
    <t>P1</t>
  </si>
  <si>
    <t>101</t>
  </si>
  <si>
    <t>631319171R00</t>
  </si>
  <si>
    <t>Příplatek za stržení povrchu mazaniny tl. 8 cm</t>
  </si>
  <si>
    <t>102</t>
  </si>
  <si>
    <t>631361921RT5</t>
  </si>
  <si>
    <t>Výztuž mazanin svařovanou sítí</t>
  </si>
  <si>
    <t>průměr drátu  6,0, oka 150/150 mm KH20</t>
  </si>
  <si>
    <t>103</t>
  </si>
  <si>
    <t>632442111R00</t>
  </si>
  <si>
    <t>Potěr Poriment P-300, plocha do 100 m2, tl. 40 mm</t>
  </si>
  <si>
    <t>S3</t>
  </si>
  <si>
    <t>104</t>
  </si>
  <si>
    <t>632441016R00</t>
  </si>
  <si>
    <t>Potěr anhydritový, plocha do 100 m2, tl.55 mm</t>
  </si>
  <si>
    <t>P3,P4</t>
  </si>
  <si>
    <t>Výplně otvorů</t>
  </si>
  <si>
    <t>105</t>
  </si>
  <si>
    <t>642941111RT3</t>
  </si>
  <si>
    <t>Pouzdro pro posuvné dveře jednostranné, do zdiva</t>
  </si>
  <si>
    <t>64_</t>
  </si>
  <si>
    <t>jednostranné pouzdro 800/1970 mm</t>
  </si>
  <si>
    <t>106</t>
  </si>
  <si>
    <t>642941121RT3</t>
  </si>
  <si>
    <t>Pouzdro pro posuvné dveře protilehlé, do zdiva</t>
  </si>
  <si>
    <t>protilehlé pouzdro 1600/1970 mm</t>
  </si>
  <si>
    <t>107</t>
  </si>
  <si>
    <t>642952110RT2</t>
  </si>
  <si>
    <t>Osazení zárubní dveřních dřevěných, pl. do 2,5 m2</t>
  </si>
  <si>
    <t>včetně dodávky zárubně Sapeli  197 x 60/7 - 19 buk</t>
  </si>
  <si>
    <t>108</t>
  </si>
  <si>
    <t>642952110RT3</t>
  </si>
  <si>
    <t>včetně dodávky zárubně Sapeli  197 x 70/7 - 19 buk</t>
  </si>
  <si>
    <t>109</t>
  </si>
  <si>
    <t>642952110RT4</t>
  </si>
  <si>
    <t>včetně dodávky zárubně Sapeli  197 x 80/7 - 19 buk</t>
  </si>
  <si>
    <t>110</t>
  </si>
  <si>
    <t>642952220RT3</t>
  </si>
  <si>
    <t>Osazení zárubní dveřních dřevěných, pl. do 4 m2</t>
  </si>
  <si>
    <t>včetně dodávky zárubně Sapeli 197 x 160/7 - 19 buk</t>
  </si>
  <si>
    <t>111</t>
  </si>
  <si>
    <t>642952110RU4</t>
  </si>
  <si>
    <t>včetně dodávky zárubně Sapeli 197 x 80/20 - 35 buk</t>
  </si>
  <si>
    <t>112</t>
  </si>
  <si>
    <t>648991113RT4</t>
  </si>
  <si>
    <t>Osazení parapet.desek plast. a lamin. š.nad 20cm</t>
  </si>
  <si>
    <t>včetně dodávky plastové parapetní desky š. 350 mm</t>
  </si>
  <si>
    <t>Potrubí z trub</t>
  </si>
  <si>
    <t>113</t>
  </si>
  <si>
    <t>831350012RAB</t>
  </si>
  <si>
    <t>Kanalizace dešťová z trub PVC hrdlových D 160 mm</t>
  </si>
  <si>
    <t>83_</t>
  </si>
  <si>
    <t>8_</t>
  </si>
  <si>
    <t>hloubka 1,5 m, vč.zemních prací</t>
  </si>
  <si>
    <t>114</t>
  </si>
  <si>
    <t>Kanalizace splašková z trub PVC hrdlových D 160 mm</t>
  </si>
  <si>
    <t>115</t>
  </si>
  <si>
    <t>831230110RAB</t>
  </si>
  <si>
    <t>Vodovod z trub polyetylénových D 32</t>
  </si>
  <si>
    <t>hloubka 1,2 m</t>
  </si>
  <si>
    <t>116</t>
  </si>
  <si>
    <t>899000002RA0</t>
  </si>
  <si>
    <t>Jímka dešťová plastová kruhová 12 m3</t>
  </si>
  <si>
    <t>m3 OP</t>
  </si>
  <si>
    <t>Dodávka+montáž vč.zemních prací - cena předběžná</t>
  </si>
  <si>
    <t>Hodinové zúčtovací sazby (HZS)</t>
  </si>
  <si>
    <t>117</t>
  </si>
  <si>
    <t>900      RT1</t>
  </si>
  <si>
    <t>HZS-ostatní práce na stavbě v rozpočtu nespecifikované</t>
  </si>
  <si>
    <t>h</t>
  </si>
  <si>
    <t>90_</t>
  </si>
  <si>
    <t>9_</t>
  </si>
  <si>
    <t>Lešení a stavební výtahy</t>
  </si>
  <si>
    <t>118</t>
  </si>
  <si>
    <t>941940031RAB</t>
  </si>
  <si>
    <t>Lešení lehké fasádní, š. 1 m, výška do 10 m</t>
  </si>
  <si>
    <t>94_</t>
  </si>
  <si>
    <t>montáž, demontáž, doprava, pronájem 2 měsíce</t>
  </si>
  <si>
    <t>119</t>
  </si>
  <si>
    <t>941955001R00</t>
  </si>
  <si>
    <t>Lešení lehké pomocné, výška podlahy do 1,2 m</t>
  </si>
  <si>
    <t>Různé dokončovací konstrukce a práce na pozemních stavbách</t>
  </si>
  <si>
    <t>120</t>
  </si>
  <si>
    <t>953941411R00</t>
  </si>
  <si>
    <t>Osazení železných ventilací o ploše do 0,10 m2</t>
  </si>
  <si>
    <t>95_</t>
  </si>
  <si>
    <t>121</t>
  </si>
  <si>
    <t>42972760</t>
  </si>
  <si>
    <t>Mřížka kruhová KMM pr.100.30, do zdi</t>
  </si>
  <si>
    <t>122</t>
  </si>
  <si>
    <t>953941312R00</t>
  </si>
  <si>
    <t>Osazení hasicího přístroje na stěnu</t>
  </si>
  <si>
    <t>123</t>
  </si>
  <si>
    <t>44984124</t>
  </si>
  <si>
    <t>Přístroj hasicí práškový</t>
  </si>
  <si>
    <t>Oplocení</t>
  </si>
  <si>
    <t>124</t>
  </si>
  <si>
    <t>900100002RAA</t>
  </si>
  <si>
    <t>Oplocení z poplastovaného pletiva, ocelové sloupky</t>
  </si>
  <si>
    <t>100 m</t>
  </si>
  <si>
    <t>93_</t>
  </si>
  <si>
    <t>výška 2 m</t>
  </si>
  <si>
    <t>125</t>
  </si>
  <si>
    <t>348922221R00</t>
  </si>
  <si>
    <t>Zdivo plot.tl.200mm z tvar.1str.štíp.přír.KB-BLOK</t>
  </si>
  <si>
    <t>126</t>
  </si>
  <si>
    <t>348924111R00</t>
  </si>
  <si>
    <t>Stříška plot.zeď tl.200mm z tvar.štíp.přír,KB-BLOK</t>
  </si>
  <si>
    <t>127</t>
  </si>
  <si>
    <t>339361124R00</t>
  </si>
  <si>
    <t>Výztuž a probeton. plot.sloupku 20x40 cm</t>
  </si>
  <si>
    <t>128</t>
  </si>
  <si>
    <t>339921621R00</t>
  </si>
  <si>
    <t>Sloup plot.200x400mm z tvar.1str.štíp.přír.KB-BLOK</t>
  </si>
  <si>
    <t>129</t>
  </si>
  <si>
    <t>339924281R00</t>
  </si>
  <si>
    <t>Hlavice sloup.z tvarovek sh-50G,tl.45,přír.KB-BLOK</t>
  </si>
  <si>
    <t>711</t>
  </si>
  <si>
    <t>Izolace proti vodě</t>
  </si>
  <si>
    <t>130</t>
  </si>
  <si>
    <t>711111001RZ1</t>
  </si>
  <si>
    <t>Izolace proti vlhkosti vodor. nátěr ALP za studena</t>
  </si>
  <si>
    <t>711_</t>
  </si>
  <si>
    <t>71_</t>
  </si>
  <si>
    <t>1x nátěr - včetně dodávky penetračního laku ALP</t>
  </si>
  <si>
    <t>131</t>
  </si>
  <si>
    <t>711141559RT2</t>
  </si>
  <si>
    <t>Izolace proti vlhk. vodorovná pásy přitavením</t>
  </si>
  <si>
    <t>2 vrstvy - materiál ve specifikaci</t>
  </si>
  <si>
    <t>132</t>
  </si>
  <si>
    <t>62852251</t>
  </si>
  <si>
    <t>Pás modifikovaný asfalt Elastek 40 special mineral</t>
  </si>
  <si>
    <t>133</t>
  </si>
  <si>
    <t>62836108</t>
  </si>
  <si>
    <t>Pás asfaltovaný těžký Bitagit 35 Al + V60 minerál</t>
  </si>
  <si>
    <t>134</t>
  </si>
  <si>
    <t>711212002RT1</t>
  </si>
  <si>
    <t>Hydroizolační povlak - nátěr nebo stěrka</t>
  </si>
  <si>
    <t>Aquafin 2K (fa Schömburg),proti vlhkosti, tl. 2mm-koupelny</t>
  </si>
  <si>
    <t>135</t>
  </si>
  <si>
    <t>998711102R00</t>
  </si>
  <si>
    <t>Přesun hmot pro izolace proti vodě, výšky do 12 m</t>
  </si>
  <si>
    <t>712</t>
  </si>
  <si>
    <t>Izolace střech (živičné krytiny)</t>
  </si>
  <si>
    <t>136</t>
  </si>
  <si>
    <t>712371801RZ4</t>
  </si>
  <si>
    <t>Povlaková krytina střech do 10°, fólií PVC</t>
  </si>
  <si>
    <t>712_</t>
  </si>
  <si>
    <t>1 vrstva - včetně dod. fólie Fatrafol 810 tl.1,5mm-S3</t>
  </si>
  <si>
    <t>137</t>
  </si>
  <si>
    <t>712391171RZ1</t>
  </si>
  <si>
    <t>Povlaková krytina střech do 10°, separační textilie</t>
  </si>
  <si>
    <t xml:space="preserve">1 vrstva - včetně dodávky textilie
</t>
  </si>
  <si>
    <t>138</t>
  </si>
  <si>
    <t>998712102R00</t>
  </si>
  <si>
    <t>Přesun hmot pro povlakové krytiny, výšky do 12 m</t>
  </si>
  <si>
    <t>713</t>
  </si>
  <si>
    <t>Izolace tepelné</t>
  </si>
  <si>
    <t>139</t>
  </si>
  <si>
    <t>713100090RA0</t>
  </si>
  <si>
    <t>Izolace tepelné volně položené</t>
  </si>
  <si>
    <t>713_</t>
  </si>
  <si>
    <t>140</t>
  </si>
  <si>
    <t>28375706</t>
  </si>
  <si>
    <t>Deska izolační stabilizov. EPS 200  1000 x 500 x 50 mm</t>
  </si>
  <si>
    <t>141</t>
  </si>
  <si>
    <t>142</t>
  </si>
  <si>
    <t>28375704</t>
  </si>
  <si>
    <t>Deska izolační stabilizov. EPS 100  1000 x 500 x 180 mm</t>
  </si>
  <si>
    <t>143</t>
  </si>
  <si>
    <t>713120080RA0</t>
  </si>
  <si>
    <t>Separační fólie PE</t>
  </si>
  <si>
    <t>P2,P3,P4</t>
  </si>
  <si>
    <t>144</t>
  </si>
  <si>
    <t>713131131R00</t>
  </si>
  <si>
    <t>Izolace tepelná stěn lepením-základy</t>
  </si>
  <si>
    <t>145</t>
  </si>
  <si>
    <t>283754601</t>
  </si>
  <si>
    <t>Polystyren extrudovaný XPS 600 x 1250 x 80 mm</t>
  </si>
  <si>
    <t>146</t>
  </si>
  <si>
    <t>713141151R00</t>
  </si>
  <si>
    <t>Izolace tepelná střech kladená na sucho 1vrstvá</t>
  </si>
  <si>
    <t>147</t>
  </si>
  <si>
    <t>Deska izolační stabilizov. EPS 200  1000 x 500 x 60 mm</t>
  </si>
  <si>
    <t>148</t>
  </si>
  <si>
    <t>713111111R00</t>
  </si>
  <si>
    <t>Izolace tepelné stropů vrchem kladené volně</t>
  </si>
  <si>
    <t>149</t>
  </si>
  <si>
    <t>Deska izolační stabilizov. EPS 100  1000 x 500 x 80mm</t>
  </si>
  <si>
    <t>150</t>
  </si>
  <si>
    <t>713111231RK5</t>
  </si>
  <si>
    <t>Montáž parozábrany stropů shora s přelepením spojů</t>
  </si>
  <si>
    <t>Jutafol N 140 standard-S3</t>
  </si>
  <si>
    <t>151</t>
  </si>
  <si>
    <t>Izolace tepelná atiky lepením</t>
  </si>
  <si>
    <t>152</t>
  </si>
  <si>
    <t>28375460</t>
  </si>
  <si>
    <t>Polystyren extrudovaný XPS tl.100 mm</t>
  </si>
  <si>
    <t>153</t>
  </si>
  <si>
    <t>Izolace tepelná stěn lepením</t>
  </si>
  <si>
    <t>garáž</t>
  </si>
  <si>
    <t>154</t>
  </si>
  <si>
    <t>155</t>
  </si>
  <si>
    <t>713111221RK5</t>
  </si>
  <si>
    <t>Montáž parozábrany, zavěšené podhl., přelep. spojů</t>
  </si>
  <si>
    <t>Jutafol N 140 standard-P3,P4</t>
  </si>
  <si>
    <t>156</t>
  </si>
  <si>
    <t>713110030RAC</t>
  </si>
  <si>
    <t>Izolace tepelné stropu spodem Isover S</t>
  </si>
  <si>
    <t>tloušťka 10 cm-závětří</t>
  </si>
  <si>
    <t>157</t>
  </si>
  <si>
    <t>998713102R00</t>
  </si>
  <si>
    <t>Přesun hmot pro izolace tepelné, výšky do 12 m</t>
  </si>
  <si>
    <t>721</t>
  </si>
  <si>
    <t>Vnitřní kanalizace</t>
  </si>
  <si>
    <t>158</t>
  </si>
  <si>
    <t>721100011RA0</t>
  </si>
  <si>
    <t>Kanalizace vnitřní, PVC, D 110 mm, zemní práce</t>
  </si>
  <si>
    <t>721_</t>
  </si>
  <si>
    <t>72_</t>
  </si>
  <si>
    <t>159</t>
  </si>
  <si>
    <t>721100012RA0</t>
  </si>
  <si>
    <t>Kanalizace vnitřní, PVC, D 125 mm, zemní práce</t>
  </si>
  <si>
    <t>160</t>
  </si>
  <si>
    <t>721100013RA0</t>
  </si>
  <si>
    <t>Kanalizace vnitřní, PVC, D 160 mm, zemní práce</t>
  </si>
  <si>
    <t>161</t>
  </si>
  <si>
    <t>721223425R00</t>
  </si>
  <si>
    <t>Vpusť podlahová se zápachovou uzávěrkou HL80.1</t>
  </si>
  <si>
    <t>162</t>
  </si>
  <si>
    <t>721239104R00</t>
  </si>
  <si>
    <t>Kus prodlužovací HL66 s rámem z nerezové oceli</t>
  </si>
  <si>
    <t>163</t>
  </si>
  <si>
    <t>721176102R00</t>
  </si>
  <si>
    <t>Potrubí HT připojovací D 40 x 1,8 mm</t>
  </si>
  <si>
    <t>164</t>
  </si>
  <si>
    <t>721176103R00</t>
  </si>
  <si>
    <t>Potrubí HT připojovací D 50 x 1,8 mm</t>
  </si>
  <si>
    <t>165</t>
  </si>
  <si>
    <t>721176105R00</t>
  </si>
  <si>
    <t>Potrubí HT připojovací D 110 x 2,7 mm</t>
  </si>
  <si>
    <t>166</t>
  </si>
  <si>
    <t>721176234R00</t>
  </si>
  <si>
    <t>Potrubí KG svodné (ležaté) zavěšené D 160 x 4,0 mm</t>
  </si>
  <si>
    <t>167</t>
  </si>
  <si>
    <t>721234143RT4</t>
  </si>
  <si>
    <t>Vtok střešní HL63 DrainBox pro plochou střechu</t>
  </si>
  <si>
    <t>HL 63.1/ s elektr. ohřevem, D 75,110,125 mm</t>
  </si>
  <si>
    <t>168</t>
  </si>
  <si>
    <t>721176115R00</t>
  </si>
  <si>
    <t>Potrubí HT odpadní svislé D 110 x 2,7 mm</t>
  </si>
  <si>
    <t>169</t>
  </si>
  <si>
    <t>721213215R00</t>
  </si>
  <si>
    <t>Žlab odtokový KLASIK,ke zdi,pro dlažbu, dl. 900mm</t>
  </si>
  <si>
    <t>170</t>
  </si>
  <si>
    <t>721290111R00</t>
  </si>
  <si>
    <t>Zkouška těsnosti kanalizace vodou DN 125</t>
  </si>
  <si>
    <t>171</t>
  </si>
  <si>
    <t>721290112R00</t>
  </si>
  <si>
    <t>Zkouška těsnosti kanalizace vodou DN 200</t>
  </si>
  <si>
    <t>172</t>
  </si>
  <si>
    <t>721176136R00</t>
  </si>
  <si>
    <t>Potrubí HT svodné v SDK zavěšené D 125 x 3,1 mm</t>
  </si>
  <si>
    <t>173</t>
  </si>
  <si>
    <t>721176147R00</t>
  </si>
  <si>
    <t>Potrubí HT odvětrání D 160 x 3,9 mm</t>
  </si>
  <si>
    <t>174</t>
  </si>
  <si>
    <t>721176125R00</t>
  </si>
  <si>
    <t>Potrubí HT ventilační v zemi D 110 x 2,7 mm</t>
  </si>
  <si>
    <t>175</t>
  </si>
  <si>
    <t>721231331R00</t>
  </si>
  <si>
    <t>Vyhřívací sada pro střešní vtoky TopWet</t>
  </si>
  <si>
    <t>176</t>
  </si>
  <si>
    <t>998721101R00</t>
  </si>
  <si>
    <t>Přesun hmot pro vnitřní kanalizaci, výšky do 6 m</t>
  </si>
  <si>
    <t>722</t>
  </si>
  <si>
    <t>Vnitřní vodovod</t>
  </si>
  <si>
    <t>177</t>
  </si>
  <si>
    <t>722172310R00</t>
  </si>
  <si>
    <t>Potrubí z PPR, cirkulace, D 16x2,2 mm, vč.zed.výpom.</t>
  </si>
  <si>
    <t>722_</t>
  </si>
  <si>
    <t>178</t>
  </si>
  <si>
    <t>722172311R00</t>
  </si>
  <si>
    <t>Potrubí z PPR, studená, D 20x2,8 mm, vč.zed.výpom.</t>
  </si>
  <si>
    <t>179</t>
  </si>
  <si>
    <t>722172312R00</t>
  </si>
  <si>
    <t>Potrubí z PPR, studená, D 25x3,5 mm, vč.zed.výpom.</t>
  </si>
  <si>
    <t>180</t>
  </si>
  <si>
    <t>722172331R00</t>
  </si>
  <si>
    <t>Potrubí z PPR, teplá, D 20x3,4 mm, vč. zed. výpom.</t>
  </si>
  <si>
    <t>181</t>
  </si>
  <si>
    <t>722172332R00</t>
  </si>
  <si>
    <t>Potrubí z PPR, teplá, D 25x4,2 mm, vč. zed. výpom.</t>
  </si>
  <si>
    <t>182</t>
  </si>
  <si>
    <t>722181213RT5</t>
  </si>
  <si>
    <t>Izolace návleková MIRELON PRO tl. stěny 13 mm</t>
  </si>
  <si>
    <t>vnitřní průměr 15 mm</t>
  </si>
  <si>
    <t>183</t>
  </si>
  <si>
    <t>722181213RT6</t>
  </si>
  <si>
    <t>vnitřní průměr 18 mm</t>
  </si>
  <si>
    <t>184</t>
  </si>
  <si>
    <t>722181213RT8</t>
  </si>
  <si>
    <t>vnitřní průměr 25 mm</t>
  </si>
  <si>
    <t>185</t>
  </si>
  <si>
    <t>722290226R00</t>
  </si>
  <si>
    <t>Zkouška tlaku potrubí závitového DN 50</t>
  </si>
  <si>
    <t>186</t>
  </si>
  <si>
    <t>722290234R00</t>
  </si>
  <si>
    <t>Proplach a dezinfekce vodovod.potrubí DN 80</t>
  </si>
  <si>
    <t>187</t>
  </si>
  <si>
    <t>722235112R00</t>
  </si>
  <si>
    <t>Kohout vod.kul.,vnitř.-vnitř.z.IVAR PERFECTA DN 20</t>
  </si>
  <si>
    <t>188</t>
  </si>
  <si>
    <t>722235113R00</t>
  </si>
  <si>
    <t>Kohout vod.kul.,vnitř.-vnitř.z.IVAR PERFECTA DN 25</t>
  </si>
  <si>
    <t>189</t>
  </si>
  <si>
    <t>722235523R00</t>
  </si>
  <si>
    <t>Filtr,vod.vnitřní-vnitřní z.IVAR FIV.08412 DN 25</t>
  </si>
  <si>
    <t>190</t>
  </si>
  <si>
    <t>722235653R00</t>
  </si>
  <si>
    <t>Ventil vod.zpětný EURA-SPRINT,IVAR.CIM 30 VA DN 25</t>
  </si>
  <si>
    <t>191</t>
  </si>
  <si>
    <t>722236143R00</t>
  </si>
  <si>
    <t>Kohout vod.kulový s vyp.vnitř.-vnitř.z.HERZ DN 25</t>
  </si>
  <si>
    <t>192</t>
  </si>
  <si>
    <t>722265213R00</t>
  </si>
  <si>
    <t>Vodoměr domovní</t>
  </si>
  <si>
    <t>193</t>
  </si>
  <si>
    <t>722224211R00</t>
  </si>
  <si>
    <t>Ventil mrazuvzdorný KEMPER FROSTI plus DN 15</t>
  </si>
  <si>
    <t>194</t>
  </si>
  <si>
    <t>998722101R00</t>
  </si>
  <si>
    <t>Přesun hmot pro vnitřní vodovod, výšky do 6 m</t>
  </si>
  <si>
    <t>762</t>
  </si>
  <si>
    <t>Konstrukce tesařské</t>
  </si>
  <si>
    <t>212</t>
  </si>
  <si>
    <t>762340132RAA</t>
  </si>
  <si>
    <t>Laťování střech rozteč 36 cm, impregnace</t>
  </si>
  <si>
    <t>762_</t>
  </si>
  <si>
    <t>76_</t>
  </si>
  <si>
    <t>latě 3 x 5 cm, včetně dodávky řeziva</t>
  </si>
  <si>
    <t>213</t>
  </si>
  <si>
    <t>762342204RT4</t>
  </si>
  <si>
    <t>Montáž kontralatí přibitím, impregnace</t>
  </si>
  <si>
    <t>včetně dodávky řeziva, latě 4/6 cm</t>
  </si>
  <si>
    <t>214</t>
  </si>
  <si>
    <t>998762102R00</t>
  </si>
  <si>
    <t>Přesun hmot pro tesařské konstrukce, výšky do 12 m</t>
  </si>
  <si>
    <t>763</t>
  </si>
  <si>
    <t>Dřevostavby</t>
  </si>
  <si>
    <t>215</t>
  </si>
  <si>
    <t>763999VD</t>
  </si>
  <si>
    <t>Konstrukce krovu z příhradových vazníků-cena předběžná</t>
  </si>
  <si>
    <t>763_</t>
  </si>
  <si>
    <t>764</t>
  </si>
  <si>
    <t>Konstrukce klempířské</t>
  </si>
  <si>
    <t>216</t>
  </si>
  <si>
    <t>764252604R00</t>
  </si>
  <si>
    <t>Žlab podokapní půlkulatý TiZn RHEINZINK rš. 333 mm</t>
  </si>
  <si>
    <t>764_</t>
  </si>
  <si>
    <t>217</t>
  </si>
  <si>
    <t>764259614R00</t>
  </si>
  <si>
    <t>Kotlík závěsný TiZn RHEINZINK půlkulatý, 330/80 mm</t>
  </si>
  <si>
    <t>218</t>
  </si>
  <si>
    <t>764554410RAC</t>
  </si>
  <si>
    <t>Odpadní trouby z TiZn RHEINZINK plechu kruhové</t>
  </si>
  <si>
    <t>průměru 120 mm</t>
  </si>
  <si>
    <t>219</t>
  </si>
  <si>
    <t>764239420R00</t>
  </si>
  <si>
    <t>Lemování z Ti Zn komínů, vlnitá krytina, v hřebeni</t>
  </si>
  <si>
    <t>220</t>
  </si>
  <si>
    <t>764511650R00</t>
  </si>
  <si>
    <t>Oplechování parapetů TiZn RHEINZINK, rš. 330 mm</t>
  </si>
  <si>
    <t>221</t>
  </si>
  <si>
    <t>764530420RT2</t>
  </si>
  <si>
    <t>Oplechování zdí z Ti Zn plechu, rš 330 mm</t>
  </si>
  <si>
    <t>222</t>
  </si>
  <si>
    <t>998764102R00</t>
  </si>
  <si>
    <t>Přesun hmot pro klempířské konstr., výšky do 12 m</t>
  </si>
  <si>
    <t>765</t>
  </si>
  <si>
    <t>Krytina tvrdá</t>
  </si>
  <si>
    <t>223</t>
  </si>
  <si>
    <t>765310020RAA</t>
  </si>
  <si>
    <t>Zastřešení pálenou krytinou Francouzská 14</t>
  </si>
  <si>
    <t>765_</t>
  </si>
  <si>
    <t>střech jednoduchých</t>
  </si>
  <si>
    <t>224</t>
  </si>
  <si>
    <t>765901103R00</t>
  </si>
  <si>
    <t>Fólie podstřešní paropropust. Tondach Tuning Fol-S</t>
  </si>
  <si>
    <t>225</t>
  </si>
  <si>
    <t>765799111R00</t>
  </si>
  <si>
    <t>Montáž střešních oken výstupních</t>
  </si>
  <si>
    <t>226</t>
  </si>
  <si>
    <t>61140600</t>
  </si>
  <si>
    <t>T17-Výlez střešní Velux VLT 029  45 x 73 cm</t>
  </si>
  <si>
    <t>227</t>
  </si>
  <si>
    <t>998765102R00</t>
  </si>
  <si>
    <t>Přesun hmot pro krytiny tvrdé, výšky do 12 m</t>
  </si>
  <si>
    <t>Celkem:</t>
  </si>
  <si>
    <t>Poznámka: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</si>
</sst>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0"/>
      <color indexed="56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59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49" fontId="18" fillId="0" borderId="10" xfId="0" applyNumberFormat="1" applyFont="1" applyFill="1" applyBorder="1" applyAlignment="1" applyProtection="1">
      <alignment horizontal="left" vertical="center"/>
      <protection/>
    </xf>
    <xf numFmtId="49" fontId="18" fillId="0" borderId="11" xfId="0" applyNumberFormat="1" applyFont="1" applyFill="1" applyBorder="1" applyAlignment="1" applyProtection="1">
      <alignment horizontal="left" vertical="center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49" fontId="18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6" xfId="0" applyNumberFormat="1" applyFont="1" applyFill="1" applyBorder="1" applyAlignment="1" applyProtection="1">
      <alignment vertical="center"/>
      <protection/>
    </xf>
    <xf numFmtId="0" fontId="19" fillId="0" borderId="0" xfId="0" applyFont="1" applyAlignment="1">
      <alignment vertical="center"/>
    </xf>
    <xf numFmtId="49" fontId="19" fillId="0" borderId="17" xfId="0" applyNumberFormat="1" applyFont="1" applyFill="1" applyBorder="1" applyAlignment="1" applyProtection="1">
      <alignment horizontal="left" vertical="center"/>
      <protection/>
    </xf>
    <xf numFmtId="49" fontId="19" fillId="0" borderId="18" xfId="0" applyNumberFormat="1" applyFont="1" applyFill="1" applyBorder="1" applyAlignment="1" applyProtection="1">
      <alignment horizontal="left" vertical="center"/>
      <protection/>
    </xf>
    <xf numFmtId="49" fontId="18" fillId="0" borderId="18" xfId="0" applyNumberFormat="1" applyFont="1" applyFill="1" applyBorder="1" applyAlignment="1" applyProtection="1">
      <alignment horizontal="left" vertical="center"/>
      <protection/>
    </xf>
    <xf numFmtId="49" fontId="18" fillId="0" borderId="19" xfId="0" applyNumberFormat="1" applyFont="1" applyFill="1" applyBorder="1" applyAlignment="1" applyProtection="1">
      <alignment horizontal="center" vertical="center"/>
      <protection/>
    </xf>
    <xf numFmtId="49" fontId="18" fillId="0" borderId="20" xfId="0" applyNumberFormat="1" applyFont="1" applyFill="1" applyBorder="1" applyAlignment="1" applyProtection="1">
      <alignment horizontal="center" vertical="center"/>
      <protection/>
    </xf>
    <xf numFmtId="49" fontId="18" fillId="0" borderId="21" xfId="0" applyNumberFormat="1" applyFont="1" applyFill="1" applyBorder="1" applyAlignment="1" applyProtection="1">
      <alignment horizontal="center" vertical="center"/>
      <protection/>
    </xf>
    <xf numFmtId="49" fontId="18" fillId="0" borderId="22" xfId="0" applyNumberFormat="1" applyFont="1" applyFill="1" applyBorder="1" applyAlignment="1" applyProtection="1">
      <alignment horizontal="center" vertical="center"/>
      <protection/>
    </xf>
    <xf numFmtId="49" fontId="20" fillId="33" borderId="0" xfId="0" applyNumberFormat="1" applyFont="1" applyFill="1" applyBorder="1" applyAlignment="1" applyProtection="1">
      <alignment horizontal="right" vertical="center"/>
      <protection/>
    </xf>
    <xf numFmtId="49" fontId="21" fillId="33" borderId="23" xfId="0" applyNumberFormat="1" applyFont="1" applyFill="1" applyBorder="1" applyAlignment="1" applyProtection="1">
      <alignment horizontal="left" vertical="center"/>
      <protection/>
    </xf>
    <xf numFmtId="49" fontId="20" fillId="33" borderId="23" xfId="0" applyNumberFormat="1" applyFont="1" applyFill="1" applyBorder="1" applyAlignment="1" applyProtection="1">
      <alignment horizontal="left" vertical="center"/>
      <protection/>
    </xf>
    <xf numFmtId="4" fontId="20" fillId="33" borderId="23" xfId="0" applyNumberFormat="1" applyFont="1" applyFill="1" applyBorder="1" applyAlignment="1" applyProtection="1">
      <alignment horizontal="right" vertical="center"/>
      <protection/>
    </xf>
    <xf numFmtId="49" fontId="20" fillId="33" borderId="23" xfId="0" applyNumberFormat="1" applyFont="1" applyFill="1" applyBorder="1" applyAlignment="1" applyProtection="1">
      <alignment horizontal="right" vertical="center"/>
      <protection/>
    </xf>
    <xf numFmtId="4" fontId="20" fillId="33" borderId="0" xfId="0" applyNumberFormat="1" applyFont="1" applyFill="1" applyBorder="1" applyAlignment="1" applyProtection="1">
      <alignment horizontal="right" vertical="center"/>
      <protection/>
    </xf>
    <xf numFmtId="49" fontId="22" fillId="0" borderId="0" xfId="0" applyNumberFormat="1" applyFont="1" applyFill="1" applyBorder="1" applyAlignment="1" applyProtection="1">
      <alignment horizontal="left" vertical="center"/>
      <protection/>
    </xf>
    <xf numFmtId="164" fontId="22" fillId="0" borderId="0" xfId="0" applyNumberFormat="1" applyFont="1" applyFill="1" applyBorder="1" applyAlignment="1" applyProtection="1">
      <alignment horizontal="right" vertical="center"/>
      <protection/>
    </xf>
    <xf numFmtId="4" fontId="22" fillId="0" borderId="0" xfId="0" applyNumberFormat="1" applyFont="1" applyFill="1" applyBorder="1" applyAlignment="1" applyProtection="1">
      <alignment horizontal="right" vertical="center"/>
      <protection/>
    </xf>
    <xf numFmtId="49" fontId="22" fillId="0" borderId="0" xfId="0" applyNumberFormat="1" applyFont="1" applyFill="1" applyBorder="1" applyAlignment="1" applyProtection="1">
      <alignment horizontal="right" vertical="center"/>
      <protection/>
    </xf>
    <xf numFmtId="4" fontId="19" fillId="0" borderId="0" xfId="0" applyNumberFormat="1" applyFont="1" applyFill="1" applyBorder="1" applyAlignment="1" applyProtection="1">
      <alignment horizontal="right" vertical="center"/>
      <protection/>
    </xf>
    <xf numFmtId="49" fontId="19" fillId="0" borderId="0" xfId="0" applyNumberFormat="1" applyFont="1" applyFill="1" applyBorder="1" applyAlignment="1" applyProtection="1">
      <alignment horizontal="right" vertical="center"/>
      <protection/>
    </xf>
    <xf numFmtId="49" fontId="21" fillId="33" borderId="0" xfId="0" applyNumberFormat="1" applyFont="1" applyFill="1" applyBorder="1" applyAlignment="1" applyProtection="1">
      <alignment horizontal="left" vertical="center"/>
      <protection/>
    </xf>
    <xf numFmtId="49" fontId="20" fillId="33" borderId="0" xfId="0" applyNumberFormat="1" applyFont="1" applyFill="1" applyBorder="1" applyAlignment="1" applyProtection="1">
      <alignment horizontal="left" vertical="center"/>
      <protection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49" fontId="24" fillId="0" borderId="0" xfId="0" applyNumberFormat="1" applyFont="1" applyFill="1" applyBorder="1" applyAlignment="1" applyProtection="1">
      <alignment horizontal="left" vertical="center"/>
      <protection/>
    </xf>
    <xf numFmtId="164" fontId="24" fillId="0" borderId="0" xfId="0" applyNumberFormat="1" applyFont="1" applyFill="1" applyBorder="1" applyAlignment="1" applyProtection="1">
      <alignment horizontal="right" vertical="center"/>
      <protection/>
    </xf>
    <xf numFmtId="4" fontId="24" fillId="0" borderId="0" xfId="0" applyNumberFormat="1" applyFont="1" applyFill="1" applyBorder="1" applyAlignment="1" applyProtection="1">
      <alignment horizontal="right" vertical="center"/>
      <protection/>
    </xf>
    <xf numFmtId="49" fontId="24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24" xfId="0" applyNumberFormat="1" applyFont="1" applyFill="1" applyBorder="1" applyAlignment="1" applyProtection="1">
      <alignment vertical="center"/>
      <protection/>
    </xf>
    <xf numFmtId="49" fontId="18" fillId="0" borderId="24" xfId="0" applyNumberFormat="1" applyFont="1" applyFill="1" applyBorder="1" applyAlignment="1" applyProtection="1">
      <alignment horizontal="left" vertical="center"/>
      <protection/>
    </xf>
    <xf numFmtId="0" fontId="18" fillId="0" borderId="24" xfId="0" applyNumberFormat="1" applyFont="1" applyFill="1" applyBorder="1" applyAlignment="1" applyProtection="1">
      <alignment horizontal="left" vertical="center"/>
      <protection/>
    </xf>
    <xf numFmtId="4" fontId="18" fillId="0" borderId="24" xfId="0" applyNumberFormat="1" applyFont="1" applyFill="1" applyBorder="1" applyAlignment="1" applyProtection="1">
      <alignment horizontal="right" vertical="center"/>
      <protection/>
    </xf>
    <xf numFmtId="49" fontId="25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vertical="center"/>
      <protection/>
    </xf>
    <xf numFmtId="49" fontId="18" fillId="34" borderId="25" xfId="0" applyNumberFormat="1" applyFont="1" applyFill="1" applyBorder="1" applyAlignment="1" applyProtection="1">
      <alignment horizontal="center" vertical="center"/>
      <protection/>
    </xf>
    <xf numFmtId="49" fontId="18" fillId="34" borderId="26" xfId="0" applyNumberFormat="1" applyFont="1" applyFill="1" applyBorder="1" applyAlignment="1" applyProtection="1">
      <alignment horizontal="center" vertical="center"/>
      <protection/>
    </xf>
    <xf numFmtId="49" fontId="21" fillId="35" borderId="23" xfId="0" applyNumberFormat="1" applyFont="1" applyFill="1" applyBorder="1" applyAlignment="1" applyProtection="1">
      <alignment horizontal="left" vertical="center"/>
      <protection/>
    </xf>
    <xf numFmtId="4" fontId="22" fillId="34" borderId="0" xfId="0" applyNumberFormat="1" applyFont="1" applyFill="1" applyBorder="1" applyAlignment="1" applyProtection="1">
      <alignment horizontal="right" vertical="center"/>
      <protection/>
    </xf>
    <xf numFmtId="49" fontId="21" fillId="35" borderId="0" xfId="0" applyNumberFormat="1" applyFont="1" applyFill="1" applyBorder="1" applyAlignment="1" applyProtection="1">
      <alignment horizontal="left" vertical="center"/>
      <protection/>
    </xf>
    <xf numFmtId="0" fontId="19" fillId="34" borderId="0" xfId="0" applyFont="1" applyFill="1" applyAlignment="1">
      <alignment vertical="center"/>
    </xf>
    <xf numFmtId="4" fontId="24" fillId="34" borderId="0" xfId="0" applyNumberFormat="1" applyFont="1" applyFill="1" applyBorder="1" applyAlignment="1" applyProtection="1">
      <alignment horizontal="right" vertical="center"/>
      <protection/>
    </xf>
    <xf numFmtId="0" fontId="19" fillId="34" borderId="24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3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21" sqref="K21"/>
    </sheetView>
  </sheetViews>
  <sheetFormatPr defaultColWidth="11.57421875" defaultRowHeight="15"/>
  <cols>
    <col min="1" max="1" width="3.7109375" style="9" customWidth="1"/>
    <col min="2" max="2" width="6.8515625" style="9" customWidth="1"/>
    <col min="3" max="3" width="13.28125" style="9" customWidth="1"/>
    <col min="4" max="4" width="57.8515625" style="9" customWidth="1"/>
    <col min="5" max="5" width="6.7109375" style="9" customWidth="1"/>
    <col min="6" max="6" width="12.8515625" style="9" customWidth="1"/>
    <col min="7" max="7" width="12.00390625" style="49" customWidth="1"/>
    <col min="8" max="10" width="14.28125" style="9" customWidth="1"/>
    <col min="11" max="12" width="11.7109375" style="9" customWidth="1"/>
    <col min="13" max="13" width="12.28125" style="9" customWidth="1"/>
    <col min="14" max="14" width="0" style="9" hidden="1" customWidth="1"/>
    <col min="15" max="48" width="12.140625" style="9" hidden="1" customWidth="1"/>
    <col min="49" max="16384" width="11.57421875" style="9" customWidth="1"/>
  </cols>
  <sheetData>
    <row r="1" spans="1:14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4" t="s">
        <v>6</v>
      </c>
      <c r="H1" s="4" t="s">
        <v>7</v>
      </c>
      <c r="I1" s="5"/>
      <c r="J1" s="6"/>
      <c r="K1" s="4" t="s">
        <v>8</v>
      </c>
      <c r="L1" s="6"/>
      <c r="M1" s="7" t="s">
        <v>9</v>
      </c>
      <c r="N1" s="8"/>
    </row>
    <row r="2" spans="1:24" ht="13.5" thickBot="1">
      <c r="A2" s="10" t="s">
        <v>10</v>
      </c>
      <c r="B2" s="11" t="s">
        <v>10</v>
      </c>
      <c r="C2" s="11" t="s">
        <v>10</v>
      </c>
      <c r="D2" s="12" t="s">
        <v>11</v>
      </c>
      <c r="E2" s="11" t="s">
        <v>10</v>
      </c>
      <c r="F2" s="11" t="s">
        <v>10</v>
      </c>
      <c r="G2" s="45" t="s">
        <v>12</v>
      </c>
      <c r="H2" s="13" t="s">
        <v>13</v>
      </c>
      <c r="I2" s="14" t="s">
        <v>14</v>
      </c>
      <c r="J2" s="15" t="s">
        <v>15</v>
      </c>
      <c r="K2" s="13" t="s">
        <v>6</v>
      </c>
      <c r="L2" s="15" t="s">
        <v>15</v>
      </c>
      <c r="M2" s="16" t="s">
        <v>16</v>
      </c>
      <c r="N2" s="8"/>
      <c r="P2" s="17" t="s">
        <v>17</v>
      </c>
      <c r="Q2" s="17" t="s">
        <v>18</v>
      </c>
      <c r="R2" s="17" t="s">
        <v>19</v>
      </c>
      <c r="S2" s="17" t="s">
        <v>20</v>
      </c>
      <c r="T2" s="17" t="s">
        <v>21</v>
      </c>
      <c r="U2" s="17" t="s">
        <v>22</v>
      </c>
      <c r="V2" s="17" t="s">
        <v>23</v>
      </c>
      <c r="W2" s="17" t="s">
        <v>24</v>
      </c>
      <c r="X2" s="17" t="s">
        <v>25</v>
      </c>
    </row>
    <row r="3" spans="1:37" ht="12.75">
      <c r="A3" s="18"/>
      <c r="B3" s="19"/>
      <c r="C3" s="19" t="s">
        <v>26</v>
      </c>
      <c r="D3" s="19" t="s">
        <v>27</v>
      </c>
      <c r="E3" s="18" t="s">
        <v>10</v>
      </c>
      <c r="F3" s="18" t="s">
        <v>10</v>
      </c>
      <c r="G3" s="46" t="s">
        <v>10</v>
      </c>
      <c r="H3" s="20">
        <f>SUM(H4:H4)</f>
        <v>0</v>
      </c>
      <c r="I3" s="20">
        <f>SUM(I4:I4)</f>
        <v>0</v>
      </c>
      <c r="J3" s="20">
        <f>H3+I3</f>
        <v>0</v>
      </c>
      <c r="K3" s="21"/>
      <c r="L3" s="20">
        <f>SUM(L4:L4)</f>
        <v>0</v>
      </c>
      <c r="M3" s="21"/>
      <c r="Y3" s="17"/>
      <c r="AI3" s="22">
        <f>SUM(Z4:Z4)</f>
        <v>0</v>
      </c>
      <c r="AJ3" s="22">
        <f>SUM(AA4:AA4)</f>
        <v>0</v>
      </c>
      <c r="AK3" s="22">
        <f>SUM(AB4:AB4)</f>
        <v>0</v>
      </c>
    </row>
    <row r="4" spans="1:48" ht="12.75">
      <c r="A4" s="23" t="s">
        <v>28</v>
      </c>
      <c r="B4" s="23"/>
      <c r="C4" s="23" t="s">
        <v>29</v>
      </c>
      <c r="D4" s="23" t="s">
        <v>30</v>
      </c>
      <c r="E4" s="23" t="s">
        <v>31</v>
      </c>
      <c r="F4" s="24">
        <v>42.6</v>
      </c>
      <c r="G4" s="47">
        <v>0</v>
      </c>
      <c r="H4" s="25">
        <f>F4*AE4</f>
        <v>0</v>
      </c>
      <c r="I4" s="25">
        <f>J4-H4</f>
        <v>0</v>
      </c>
      <c r="J4" s="25">
        <f>F4*G4</f>
        <v>0</v>
      </c>
      <c r="K4" s="25">
        <v>0</v>
      </c>
      <c r="L4" s="25">
        <f>F4*K4</f>
        <v>0</v>
      </c>
      <c r="M4" s="26" t="s">
        <v>32</v>
      </c>
      <c r="P4" s="27">
        <f>IF(AG4="5",J4,0)</f>
        <v>0</v>
      </c>
      <c r="R4" s="27">
        <f>IF(AG4="1",H4,0)</f>
        <v>0</v>
      </c>
      <c r="S4" s="27">
        <f>IF(AG4="1",I4,0)</f>
        <v>0</v>
      </c>
      <c r="T4" s="27">
        <f>IF(AG4="7",H4,0)</f>
        <v>0</v>
      </c>
      <c r="U4" s="27">
        <f>IF(AG4="7",I4,0)</f>
        <v>0</v>
      </c>
      <c r="V4" s="27">
        <f>IF(AG4="2",H4,0)</f>
        <v>0</v>
      </c>
      <c r="W4" s="27">
        <f>IF(AG4="2",I4,0)</f>
        <v>0</v>
      </c>
      <c r="X4" s="27">
        <f>IF(AG4="0",J4,0)</f>
        <v>0</v>
      </c>
      <c r="Y4" s="17"/>
      <c r="Z4" s="25">
        <f>IF(AD4=0,J4,0)</f>
        <v>0</v>
      </c>
      <c r="AA4" s="25">
        <f>IF(AD4=15,J4,0)</f>
        <v>0</v>
      </c>
      <c r="AB4" s="25">
        <f>IF(AD4=21,J4,0)</f>
        <v>0</v>
      </c>
      <c r="AD4" s="27">
        <v>15</v>
      </c>
      <c r="AE4" s="27">
        <f>G4*0</f>
        <v>0</v>
      </c>
      <c r="AF4" s="27">
        <f>G4*(1-0)</f>
        <v>0</v>
      </c>
      <c r="AG4" s="26" t="s">
        <v>28</v>
      </c>
      <c r="AM4" s="27">
        <f>F4*AE4</f>
        <v>0</v>
      </c>
      <c r="AN4" s="27">
        <f>F4*AF4</f>
        <v>0</v>
      </c>
      <c r="AO4" s="28" t="s">
        <v>33</v>
      </c>
      <c r="AP4" s="28" t="s">
        <v>34</v>
      </c>
      <c r="AQ4" s="17" t="s">
        <v>35</v>
      </c>
      <c r="AS4" s="27">
        <f>AM4+AN4</f>
        <v>0</v>
      </c>
      <c r="AT4" s="27">
        <f>G4/(100-AU4)*100</f>
        <v>0</v>
      </c>
      <c r="AU4" s="27">
        <v>0</v>
      </c>
      <c r="AV4" s="27">
        <f>L4</f>
        <v>0</v>
      </c>
    </row>
    <row r="5" spans="1:37" ht="12.75">
      <c r="A5" s="29"/>
      <c r="B5" s="30"/>
      <c r="C5" s="30" t="s">
        <v>36</v>
      </c>
      <c r="D5" s="30" t="s">
        <v>37</v>
      </c>
      <c r="E5" s="29" t="s">
        <v>10</v>
      </c>
      <c r="F5" s="29" t="s">
        <v>10</v>
      </c>
      <c r="G5" s="48" t="s">
        <v>10</v>
      </c>
      <c r="H5" s="22">
        <f>SUM(H6:H11)</f>
        <v>0</v>
      </c>
      <c r="I5" s="22">
        <f>SUM(I6:I11)</f>
        <v>0</v>
      </c>
      <c r="J5" s="22">
        <f>H5+I5</f>
        <v>0</v>
      </c>
      <c r="K5" s="17"/>
      <c r="L5" s="22">
        <f>SUM(L6:L11)</f>
        <v>0</v>
      </c>
      <c r="M5" s="17"/>
      <c r="Y5" s="17"/>
      <c r="AI5" s="22">
        <f>SUM(Z6:Z11)</f>
        <v>0</v>
      </c>
      <c r="AJ5" s="22">
        <f>SUM(AA6:AA11)</f>
        <v>0</v>
      </c>
      <c r="AK5" s="22">
        <f>SUM(AB6:AB11)</f>
        <v>0</v>
      </c>
    </row>
    <row r="6" spans="1:48" ht="12.75">
      <c r="A6" s="23" t="s">
        <v>38</v>
      </c>
      <c r="B6" s="23"/>
      <c r="C6" s="23" t="s">
        <v>39</v>
      </c>
      <c r="D6" s="23" t="s">
        <v>40</v>
      </c>
      <c r="E6" s="23" t="s">
        <v>41</v>
      </c>
      <c r="F6" s="24">
        <v>41</v>
      </c>
      <c r="G6" s="47">
        <v>0</v>
      </c>
      <c r="H6" s="25">
        <f>F6*AE6</f>
        <v>0</v>
      </c>
      <c r="I6" s="25">
        <f>J6-H6</f>
        <v>0</v>
      </c>
      <c r="J6" s="25">
        <f>F6*G6</f>
        <v>0</v>
      </c>
      <c r="K6" s="25">
        <v>0</v>
      </c>
      <c r="L6" s="25">
        <f>F6*K6</f>
        <v>0</v>
      </c>
      <c r="M6" s="26" t="s">
        <v>32</v>
      </c>
      <c r="P6" s="27">
        <f>IF(AG6="5",J6,0)</f>
        <v>0</v>
      </c>
      <c r="R6" s="27">
        <f>IF(AG6="1",H6,0)</f>
        <v>0</v>
      </c>
      <c r="S6" s="27">
        <f>IF(AG6="1",I6,0)</f>
        <v>0</v>
      </c>
      <c r="T6" s="27">
        <f>IF(AG6="7",H6,0)</f>
        <v>0</v>
      </c>
      <c r="U6" s="27">
        <f>IF(AG6="7",I6,0)</f>
        <v>0</v>
      </c>
      <c r="V6" s="27">
        <f>IF(AG6="2",H6,0)</f>
        <v>0</v>
      </c>
      <c r="W6" s="27">
        <f>IF(AG6="2",I6,0)</f>
        <v>0</v>
      </c>
      <c r="X6" s="27">
        <f>IF(AG6="0",J6,0)</f>
        <v>0</v>
      </c>
      <c r="Y6" s="17"/>
      <c r="Z6" s="25">
        <f>IF(AD6=0,J6,0)</f>
        <v>0</v>
      </c>
      <c r="AA6" s="25">
        <f>IF(AD6=15,J6,0)</f>
        <v>0</v>
      </c>
      <c r="AB6" s="25">
        <f>IF(AD6=21,J6,0)</f>
        <v>0</v>
      </c>
      <c r="AD6" s="27">
        <v>15</v>
      </c>
      <c r="AE6" s="27">
        <f>G6*0</f>
        <v>0</v>
      </c>
      <c r="AF6" s="27">
        <f>G6*(1-0)</f>
        <v>0</v>
      </c>
      <c r="AG6" s="26" t="s">
        <v>28</v>
      </c>
      <c r="AM6" s="27">
        <f>F6*AE6</f>
        <v>0</v>
      </c>
      <c r="AN6" s="27">
        <f>F6*AF6</f>
        <v>0</v>
      </c>
      <c r="AO6" s="28" t="s">
        <v>42</v>
      </c>
      <c r="AP6" s="28" t="s">
        <v>34</v>
      </c>
      <c r="AQ6" s="17" t="s">
        <v>35</v>
      </c>
      <c r="AS6" s="27">
        <f>AM6+AN6</f>
        <v>0</v>
      </c>
      <c r="AT6" s="27">
        <f>G6/(100-AU6)*100</f>
        <v>0</v>
      </c>
      <c r="AU6" s="27">
        <v>0</v>
      </c>
      <c r="AV6" s="27">
        <f>L6</f>
        <v>0</v>
      </c>
    </row>
    <row r="7" spans="1:48" ht="12.75">
      <c r="A7" s="23" t="s">
        <v>43</v>
      </c>
      <c r="B7" s="23"/>
      <c r="C7" s="23" t="s">
        <v>44</v>
      </c>
      <c r="D7" s="23" t="s">
        <v>45</v>
      </c>
      <c r="E7" s="23" t="s">
        <v>31</v>
      </c>
      <c r="F7" s="24">
        <v>32.298</v>
      </c>
      <c r="G7" s="47">
        <v>0</v>
      </c>
      <c r="H7" s="25">
        <f>F7*AE7</f>
        <v>0</v>
      </c>
      <c r="I7" s="25">
        <f>J7-H7</f>
        <v>0</v>
      </c>
      <c r="J7" s="25">
        <f>F7*G7</f>
        <v>0</v>
      </c>
      <c r="K7" s="25">
        <v>0</v>
      </c>
      <c r="L7" s="25">
        <f>F7*K7</f>
        <v>0</v>
      </c>
      <c r="M7" s="26" t="s">
        <v>32</v>
      </c>
      <c r="P7" s="27">
        <f>IF(AG7="5",J7,0)</f>
        <v>0</v>
      </c>
      <c r="R7" s="27">
        <f>IF(AG7="1",H7,0)</f>
        <v>0</v>
      </c>
      <c r="S7" s="27">
        <f>IF(AG7="1",I7,0)</f>
        <v>0</v>
      </c>
      <c r="T7" s="27">
        <f>IF(AG7="7",H7,0)</f>
        <v>0</v>
      </c>
      <c r="U7" s="27">
        <f>IF(AG7="7",I7,0)</f>
        <v>0</v>
      </c>
      <c r="V7" s="27">
        <f>IF(AG7="2",H7,0)</f>
        <v>0</v>
      </c>
      <c r="W7" s="27">
        <f>IF(AG7="2",I7,0)</f>
        <v>0</v>
      </c>
      <c r="X7" s="27">
        <f>IF(AG7="0",J7,0)</f>
        <v>0</v>
      </c>
      <c r="Y7" s="17"/>
      <c r="Z7" s="25">
        <f>IF(AD7=0,J7,0)</f>
        <v>0</v>
      </c>
      <c r="AA7" s="25">
        <f>IF(AD7=15,J7,0)</f>
        <v>0</v>
      </c>
      <c r="AB7" s="25">
        <f>IF(AD7=21,J7,0)</f>
        <v>0</v>
      </c>
      <c r="AD7" s="27">
        <v>15</v>
      </c>
      <c r="AE7" s="27">
        <f>G7*0</f>
        <v>0</v>
      </c>
      <c r="AF7" s="27">
        <f>G7*(1-0)</f>
        <v>0</v>
      </c>
      <c r="AG7" s="26" t="s">
        <v>28</v>
      </c>
      <c r="AM7" s="27">
        <f>F7*AE7</f>
        <v>0</v>
      </c>
      <c r="AN7" s="27">
        <f>F7*AF7</f>
        <v>0</v>
      </c>
      <c r="AO7" s="28" t="s">
        <v>42</v>
      </c>
      <c r="AP7" s="28" t="s">
        <v>34</v>
      </c>
      <c r="AQ7" s="17" t="s">
        <v>35</v>
      </c>
      <c r="AS7" s="27">
        <f>AM7+AN7</f>
        <v>0</v>
      </c>
      <c r="AT7" s="27">
        <f>G7/(100-AU7)*100</f>
        <v>0</v>
      </c>
      <c r="AU7" s="27">
        <v>0</v>
      </c>
      <c r="AV7" s="27">
        <f>L7</f>
        <v>0</v>
      </c>
    </row>
    <row r="8" spans="1:48" ht="12.75">
      <c r="A8" s="23" t="s">
        <v>46</v>
      </c>
      <c r="B8" s="23"/>
      <c r="C8" s="23" t="s">
        <v>47</v>
      </c>
      <c r="D8" s="23" t="s">
        <v>48</v>
      </c>
      <c r="E8" s="23" t="s">
        <v>31</v>
      </c>
      <c r="F8" s="24">
        <v>32.298</v>
      </c>
      <c r="G8" s="47">
        <v>0</v>
      </c>
      <c r="H8" s="25">
        <f>F8*AE8</f>
        <v>0</v>
      </c>
      <c r="I8" s="25">
        <f>J8-H8</f>
        <v>0</v>
      </c>
      <c r="J8" s="25">
        <f>F8*G8</f>
        <v>0</v>
      </c>
      <c r="K8" s="25">
        <v>0</v>
      </c>
      <c r="L8" s="25">
        <f>F8*K8</f>
        <v>0</v>
      </c>
      <c r="M8" s="26" t="s">
        <v>32</v>
      </c>
      <c r="P8" s="27">
        <f>IF(AG8="5",J8,0)</f>
        <v>0</v>
      </c>
      <c r="R8" s="27">
        <f>IF(AG8="1",H8,0)</f>
        <v>0</v>
      </c>
      <c r="S8" s="27">
        <f>IF(AG8="1",I8,0)</f>
        <v>0</v>
      </c>
      <c r="T8" s="27">
        <f>IF(AG8="7",H8,0)</f>
        <v>0</v>
      </c>
      <c r="U8" s="27">
        <f>IF(AG8="7",I8,0)</f>
        <v>0</v>
      </c>
      <c r="V8" s="27">
        <f>IF(AG8="2",H8,0)</f>
        <v>0</v>
      </c>
      <c r="W8" s="27">
        <f>IF(AG8="2",I8,0)</f>
        <v>0</v>
      </c>
      <c r="X8" s="27">
        <f>IF(AG8="0",J8,0)</f>
        <v>0</v>
      </c>
      <c r="Y8" s="17"/>
      <c r="Z8" s="25">
        <f>IF(AD8=0,J8,0)</f>
        <v>0</v>
      </c>
      <c r="AA8" s="25">
        <f>IF(AD8=15,J8,0)</f>
        <v>0</v>
      </c>
      <c r="AB8" s="25">
        <f>IF(AD8=21,J8,0)</f>
        <v>0</v>
      </c>
      <c r="AD8" s="27">
        <v>15</v>
      </c>
      <c r="AE8" s="27">
        <f>G8*0</f>
        <v>0</v>
      </c>
      <c r="AF8" s="27">
        <f>G8*(1-0)</f>
        <v>0</v>
      </c>
      <c r="AG8" s="26" t="s">
        <v>28</v>
      </c>
      <c r="AM8" s="27">
        <f>F8*AE8</f>
        <v>0</v>
      </c>
      <c r="AN8" s="27">
        <f>F8*AF8</f>
        <v>0</v>
      </c>
      <c r="AO8" s="28" t="s">
        <v>42</v>
      </c>
      <c r="AP8" s="28" t="s">
        <v>34</v>
      </c>
      <c r="AQ8" s="17" t="s">
        <v>35</v>
      </c>
      <c r="AS8" s="27">
        <f>AM8+AN8</f>
        <v>0</v>
      </c>
      <c r="AT8" s="27">
        <f>G8/(100-AU8)*100</f>
        <v>0</v>
      </c>
      <c r="AU8" s="27">
        <v>0</v>
      </c>
      <c r="AV8" s="27">
        <f>L8</f>
        <v>0</v>
      </c>
    </row>
    <row r="9" spans="1:48" ht="12.75">
      <c r="A9" s="23" t="s">
        <v>49</v>
      </c>
      <c r="B9" s="23"/>
      <c r="C9" s="23" t="s">
        <v>44</v>
      </c>
      <c r="D9" s="23" t="s">
        <v>45</v>
      </c>
      <c r="E9" s="23" t="s">
        <v>31</v>
      </c>
      <c r="F9" s="24">
        <v>8</v>
      </c>
      <c r="G9" s="47">
        <v>0</v>
      </c>
      <c r="H9" s="25">
        <f>F9*AE9</f>
        <v>0</v>
      </c>
      <c r="I9" s="25">
        <f>J9-H9</f>
        <v>0</v>
      </c>
      <c r="J9" s="25">
        <f>F9*G9</f>
        <v>0</v>
      </c>
      <c r="K9" s="25">
        <v>0</v>
      </c>
      <c r="L9" s="25">
        <f>F9*K9</f>
        <v>0</v>
      </c>
      <c r="M9" s="26" t="s">
        <v>32</v>
      </c>
      <c r="P9" s="27">
        <f>IF(AG9="5",J9,0)</f>
        <v>0</v>
      </c>
      <c r="R9" s="27">
        <f>IF(AG9="1",H9,0)</f>
        <v>0</v>
      </c>
      <c r="S9" s="27">
        <f>IF(AG9="1",I9,0)</f>
        <v>0</v>
      </c>
      <c r="T9" s="27">
        <f>IF(AG9="7",H9,0)</f>
        <v>0</v>
      </c>
      <c r="U9" s="27">
        <f>IF(AG9="7",I9,0)</f>
        <v>0</v>
      </c>
      <c r="V9" s="27">
        <f>IF(AG9="2",H9,0)</f>
        <v>0</v>
      </c>
      <c r="W9" s="27">
        <f>IF(AG9="2",I9,0)</f>
        <v>0</v>
      </c>
      <c r="X9" s="27">
        <f>IF(AG9="0",J9,0)</f>
        <v>0</v>
      </c>
      <c r="Y9" s="17"/>
      <c r="Z9" s="25">
        <f>IF(AD9=0,J9,0)</f>
        <v>0</v>
      </c>
      <c r="AA9" s="25">
        <f>IF(AD9=15,J9,0)</f>
        <v>0</v>
      </c>
      <c r="AB9" s="25">
        <f>IF(AD9=21,J9,0)</f>
        <v>0</v>
      </c>
      <c r="AD9" s="27">
        <v>15</v>
      </c>
      <c r="AE9" s="27">
        <f>G9*0</f>
        <v>0</v>
      </c>
      <c r="AF9" s="27">
        <f>G9*(1-0)</f>
        <v>0</v>
      </c>
      <c r="AG9" s="26" t="s">
        <v>28</v>
      </c>
      <c r="AM9" s="27">
        <f>F9*AE9</f>
        <v>0</v>
      </c>
      <c r="AN9" s="27">
        <f>F9*AF9</f>
        <v>0</v>
      </c>
      <c r="AO9" s="28" t="s">
        <v>42</v>
      </c>
      <c r="AP9" s="28" t="s">
        <v>34</v>
      </c>
      <c r="AQ9" s="17" t="s">
        <v>35</v>
      </c>
      <c r="AS9" s="27">
        <f>AM9+AN9</f>
        <v>0</v>
      </c>
      <c r="AT9" s="27">
        <f>G9/(100-AU9)*100</f>
        <v>0</v>
      </c>
      <c r="AU9" s="27">
        <v>0</v>
      </c>
      <c r="AV9" s="27">
        <f>L9</f>
        <v>0</v>
      </c>
    </row>
    <row r="10" spans="1:6" ht="12.75">
      <c r="A10" s="43"/>
      <c r="B10" s="43"/>
      <c r="C10" s="43"/>
      <c r="D10" s="31" t="s">
        <v>50</v>
      </c>
      <c r="E10" s="43"/>
      <c r="F10" s="43"/>
    </row>
    <row r="11" spans="1:48" ht="12.75">
      <c r="A11" s="23" t="s">
        <v>51</v>
      </c>
      <c r="B11" s="23"/>
      <c r="C11" s="23" t="s">
        <v>47</v>
      </c>
      <c r="D11" s="23" t="s">
        <v>48</v>
      </c>
      <c r="E11" s="23" t="s">
        <v>31</v>
      </c>
      <c r="F11" s="24">
        <v>8</v>
      </c>
      <c r="G11" s="47">
        <v>0</v>
      </c>
      <c r="H11" s="25">
        <f>F11*AE11</f>
        <v>0</v>
      </c>
      <c r="I11" s="25">
        <f>J11-H11</f>
        <v>0</v>
      </c>
      <c r="J11" s="25">
        <f>F11*G11</f>
        <v>0</v>
      </c>
      <c r="K11" s="25">
        <v>0</v>
      </c>
      <c r="L11" s="25">
        <f>F11*K11</f>
        <v>0</v>
      </c>
      <c r="M11" s="26" t="s">
        <v>32</v>
      </c>
      <c r="P11" s="27">
        <f>IF(AG11="5",J11,0)</f>
        <v>0</v>
      </c>
      <c r="R11" s="27">
        <f>IF(AG11="1",H11,0)</f>
        <v>0</v>
      </c>
      <c r="S11" s="27">
        <f>IF(AG11="1",I11,0)</f>
        <v>0</v>
      </c>
      <c r="T11" s="27">
        <f>IF(AG11="7",H11,0)</f>
        <v>0</v>
      </c>
      <c r="U11" s="27">
        <f>IF(AG11="7",I11,0)</f>
        <v>0</v>
      </c>
      <c r="V11" s="27">
        <f>IF(AG11="2",H11,0)</f>
        <v>0</v>
      </c>
      <c r="W11" s="27">
        <f>IF(AG11="2",I11,0)</f>
        <v>0</v>
      </c>
      <c r="X11" s="27">
        <f>IF(AG11="0",J11,0)</f>
        <v>0</v>
      </c>
      <c r="Y11" s="17"/>
      <c r="Z11" s="25">
        <f>IF(AD11=0,J11,0)</f>
        <v>0</v>
      </c>
      <c r="AA11" s="25">
        <f>IF(AD11=15,J11,0)</f>
        <v>0</v>
      </c>
      <c r="AB11" s="25">
        <f>IF(AD11=21,J11,0)</f>
        <v>0</v>
      </c>
      <c r="AD11" s="27">
        <v>15</v>
      </c>
      <c r="AE11" s="27">
        <f>G11*0</f>
        <v>0</v>
      </c>
      <c r="AF11" s="27">
        <f>G11*(1-0)</f>
        <v>0</v>
      </c>
      <c r="AG11" s="26" t="s">
        <v>28</v>
      </c>
      <c r="AM11" s="27">
        <f>F11*AE11</f>
        <v>0</v>
      </c>
      <c r="AN11" s="27">
        <f>F11*AF11</f>
        <v>0</v>
      </c>
      <c r="AO11" s="28" t="s">
        <v>42</v>
      </c>
      <c r="AP11" s="28" t="s">
        <v>34</v>
      </c>
      <c r="AQ11" s="17" t="s">
        <v>35</v>
      </c>
      <c r="AS11" s="27">
        <f>AM11+AN11</f>
        <v>0</v>
      </c>
      <c r="AT11" s="27">
        <f>G11/(100-AU11)*100</f>
        <v>0</v>
      </c>
      <c r="AU11" s="27">
        <v>0</v>
      </c>
      <c r="AV11" s="27">
        <f>L11</f>
        <v>0</v>
      </c>
    </row>
    <row r="12" spans="1:37" ht="12.75">
      <c r="A12" s="29"/>
      <c r="B12" s="30"/>
      <c r="C12" s="30" t="s">
        <v>52</v>
      </c>
      <c r="D12" s="30" t="s">
        <v>53</v>
      </c>
      <c r="E12" s="29" t="s">
        <v>10</v>
      </c>
      <c r="F12" s="29" t="s">
        <v>10</v>
      </c>
      <c r="G12" s="48" t="s">
        <v>10</v>
      </c>
      <c r="H12" s="22">
        <f>SUM(H13:H14)</f>
        <v>0</v>
      </c>
      <c r="I12" s="22">
        <f>SUM(I13:I14)</f>
        <v>0</v>
      </c>
      <c r="J12" s="22">
        <f>H12+I12</f>
        <v>0</v>
      </c>
      <c r="K12" s="17"/>
      <c r="L12" s="22">
        <f>SUM(L13:L14)</f>
        <v>0</v>
      </c>
      <c r="M12" s="17"/>
      <c r="Y12" s="17"/>
      <c r="AI12" s="22">
        <f>SUM(Z13:Z14)</f>
        <v>0</v>
      </c>
      <c r="AJ12" s="22">
        <f>SUM(AA13:AA14)</f>
        <v>0</v>
      </c>
      <c r="AK12" s="22">
        <f>SUM(AB13:AB14)</f>
        <v>0</v>
      </c>
    </row>
    <row r="13" spans="1:48" ht="12.75">
      <c r="A13" s="23" t="s">
        <v>54</v>
      </c>
      <c r="B13" s="23"/>
      <c r="C13" s="23" t="s">
        <v>55</v>
      </c>
      <c r="D13" s="23" t="s">
        <v>56</v>
      </c>
      <c r="E13" s="23" t="s">
        <v>31</v>
      </c>
      <c r="F13" s="24">
        <v>40.3</v>
      </c>
      <c r="G13" s="47">
        <v>0</v>
      </c>
      <c r="H13" s="25">
        <f>F13*AE13</f>
        <v>0</v>
      </c>
      <c r="I13" s="25">
        <f>J13-H13</f>
        <v>0</v>
      </c>
      <c r="J13" s="25">
        <f>F13*G13</f>
        <v>0</v>
      </c>
      <c r="K13" s="25">
        <v>0</v>
      </c>
      <c r="L13" s="25">
        <f>F13*K13</f>
        <v>0</v>
      </c>
      <c r="M13" s="26" t="s">
        <v>32</v>
      </c>
      <c r="P13" s="27">
        <f>IF(AG13="5",J13,0)</f>
        <v>0</v>
      </c>
      <c r="R13" s="27">
        <f>IF(AG13="1",H13,0)</f>
        <v>0</v>
      </c>
      <c r="S13" s="27">
        <f>IF(AG13="1",I13,0)</f>
        <v>0</v>
      </c>
      <c r="T13" s="27">
        <f>IF(AG13="7",H13,0)</f>
        <v>0</v>
      </c>
      <c r="U13" s="27">
        <f>IF(AG13="7",I13,0)</f>
        <v>0</v>
      </c>
      <c r="V13" s="27">
        <f>IF(AG13="2",H13,0)</f>
        <v>0</v>
      </c>
      <c r="W13" s="27">
        <f>IF(AG13="2",I13,0)</f>
        <v>0</v>
      </c>
      <c r="X13" s="27">
        <f>IF(AG13="0",J13,0)</f>
        <v>0</v>
      </c>
      <c r="Y13" s="17"/>
      <c r="Z13" s="25">
        <f>IF(AD13=0,J13,0)</f>
        <v>0</v>
      </c>
      <c r="AA13" s="25">
        <f>IF(AD13=15,J13,0)</f>
        <v>0</v>
      </c>
      <c r="AB13" s="25">
        <f>IF(AD13=21,J13,0)</f>
        <v>0</v>
      </c>
      <c r="AD13" s="27">
        <v>15</v>
      </c>
      <c r="AE13" s="27">
        <f>G13*0</f>
        <v>0</v>
      </c>
      <c r="AF13" s="27">
        <f>G13*(1-0)</f>
        <v>0</v>
      </c>
      <c r="AG13" s="26" t="s">
        <v>28</v>
      </c>
      <c r="AM13" s="27">
        <f>F13*AE13</f>
        <v>0</v>
      </c>
      <c r="AN13" s="27">
        <f>F13*AF13</f>
        <v>0</v>
      </c>
      <c r="AO13" s="28" t="s">
        <v>57</v>
      </c>
      <c r="AP13" s="28" t="s">
        <v>34</v>
      </c>
      <c r="AQ13" s="17" t="s">
        <v>35</v>
      </c>
      <c r="AS13" s="27">
        <f>AM13+AN13</f>
        <v>0</v>
      </c>
      <c r="AT13" s="27">
        <f>G13/(100-AU13)*100</f>
        <v>0</v>
      </c>
      <c r="AU13" s="27">
        <v>0</v>
      </c>
      <c r="AV13" s="27">
        <f>L13</f>
        <v>0</v>
      </c>
    </row>
    <row r="14" spans="1:48" ht="12.75">
      <c r="A14" s="23" t="s">
        <v>58</v>
      </c>
      <c r="B14" s="23"/>
      <c r="C14" s="23" t="s">
        <v>59</v>
      </c>
      <c r="D14" s="23" t="s">
        <v>60</v>
      </c>
      <c r="E14" s="23" t="s">
        <v>31</v>
      </c>
      <c r="F14" s="24">
        <v>201.5</v>
      </c>
      <c r="G14" s="47">
        <v>0</v>
      </c>
      <c r="H14" s="25">
        <f>F14*AE14</f>
        <v>0</v>
      </c>
      <c r="I14" s="25">
        <f>J14-H14</f>
        <v>0</v>
      </c>
      <c r="J14" s="25">
        <f>F14*G14</f>
        <v>0</v>
      </c>
      <c r="K14" s="25">
        <v>0</v>
      </c>
      <c r="L14" s="25">
        <f>F14*K14</f>
        <v>0</v>
      </c>
      <c r="M14" s="26" t="s">
        <v>32</v>
      </c>
      <c r="P14" s="27">
        <f>IF(AG14="5",J14,0)</f>
        <v>0</v>
      </c>
      <c r="R14" s="27">
        <f>IF(AG14="1",H14,0)</f>
        <v>0</v>
      </c>
      <c r="S14" s="27">
        <f>IF(AG14="1",I14,0)</f>
        <v>0</v>
      </c>
      <c r="T14" s="27">
        <f>IF(AG14="7",H14,0)</f>
        <v>0</v>
      </c>
      <c r="U14" s="27">
        <f>IF(AG14="7",I14,0)</f>
        <v>0</v>
      </c>
      <c r="V14" s="27">
        <f>IF(AG14="2",H14,0)</f>
        <v>0</v>
      </c>
      <c r="W14" s="27">
        <f>IF(AG14="2",I14,0)</f>
        <v>0</v>
      </c>
      <c r="X14" s="27">
        <f>IF(AG14="0",J14,0)</f>
        <v>0</v>
      </c>
      <c r="Y14" s="17"/>
      <c r="Z14" s="25">
        <f>IF(AD14=0,J14,0)</f>
        <v>0</v>
      </c>
      <c r="AA14" s="25">
        <f>IF(AD14=15,J14,0)</f>
        <v>0</v>
      </c>
      <c r="AB14" s="25">
        <f>IF(AD14=21,J14,0)</f>
        <v>0</v>
      </c>
      <c r="AD14" s="27">
        <v>15</v>
      </c>
      <c r="AE14" s="27">
        <f>G14*0</f>
        <v>0</v>
      </c>
      <c r="AF14" s="27">
        <f>G14*(1-0)</f>
        <v>0</v>
      </c>
      <c r="AG14" s="26" t="s">
        <v>28</v>
      </c>
      <c r="AM14" s="27">
        <f>F14*AE14</f>
        <v>0</v>
      </c>
      <c r="AN14" s="27">
        <f>F14*AF14</f>
        <v>0</v>
      </c>
      <c r="AO14" s="28" t="s">
        <v>57</v>
      </c>
      <c r="AP14" s="28" t="s">
        <v>34</v>
      </c>
      <c r="AQ14" s="17" t="s">
        <v>35</v>
      </c>
      <c r="AS14" s="27">
        <f>AM14+AN14</f>
        <v>0</v>
      </c>
      <c r="AT14" s="27">
        <f>G14/(100-AU14)*100</f>
        <v>0</v>
      </c>
      <c r="AU14" s="27">
        <v>0</v>
      </c>
      <c r="AV14" s="27">
        <f>L14</f>
        <v>0</v>
      </c>
    </row>
    <row r="15" spans="1:37" ht="12.75">
      <c r="A15" s="29"/>
      <c r="B15" s="30"/>
      <c r="C15" s="30" t="s">
        <v>61</v>
      </c>
      <c r="D15" s="30" t="s">
        <v>62</v>
      </c>
      <c r="E15" s="29" t="s">
        <v>10</v>
      </c>
      <c r="F15" s="29" t="s">
        <v>10</v>
      </c>
      <c r="G15" s="48" t="s">
        <v>10</v>
      </c>
      <c r="H15" s="22">
        <f>SUM(H16:H17)</f>
        <v>0</v>
      </c>
      <c r="I15" s="22">
        <f>SUM(I16:I17)</f>
        <v>0</v>
      </c>
      <c r="J15" s="22">
        <f>H15+I15</f>
        <v>0</v>
      </c>
      <c r="K15" s="17"/>
      <c r="L15" s="22">
        <f>SUM(L16:L17)</f>
        <v>0</v>
      </c>
      <c r="M15" s="17"/>
      <c r="Y15" s="17"/>
      <c r="AI15" s="22">
        <f>SUM(Z16:Z17)</f>
        <v>0</v>
      </c>
      <c r="AJ15" s="22">
        <f>SUM(AA16:AA17)</f>
        <v>0</v>
      </c>
      <c r="AK15" s="22">
        <f>SUM(AB16:AB17)</f>
        <v>0</v>
      </c>
    </row>
    <row r="16" spans="1:48" ht="12.75">
      <c r="A16" s="23" t="s">
        <v>63</v>
      </c>
      <c r="B16" s="23"/>
      <c r="C16" s="23" t="s">
        <v>64</v>
      </c>
      <c r="D16" s="23" t="s">
        <v>65</v>
      </c>
      <c r="E16" s="23" t="s">
        <v>31</v>
      </c>
      <c r="F16" s="24">
        <v>40.3</v>
      </c>
      <c r="G16" s="47">
        <v>0</v>
      </c>
      <c r="H16" s="25">
        <f>F16*AE16</f>
        <v>0</v>
      </c>
      <c r="I16" s="25">
        <f>J16-H16</f>
        <v>0</v>
      </c>
      <c r="J16" s="25">
        <f>F16*G16</f>
        <v>0</v>
      </c>
      <c r="K16" s="25">
        <v>0</v>
      </c>
      <c r="L16" s="25">
        <f>F16*K16</f>
        <v>0</v>
      </c>
      <c r="M16" s="26" t="s">
        <v>32</v>
      </c>
      <c r="P16" s="27">
        <f>IF(AG16="5",J16,0)</f>
        <v>0</v>
      </c>
      <c r="R16" s="27">
        <f>IF(AG16="1",H16,0)</f>
        <v>0</v>
      </c>
      <c r="S16" s="27">
        <f>IF(AG16="1",I16,0)</f>
        <v>0</v>
      </c>
      <c r="T16" s="27">
        <f>IF(AG16="7",H16,0)</f>
        <v>0</v>
      </c>
      <c r="U16" s="27">
        <f>IF(AG16="7",I16,0)</f>
        <v>0</v>
      </c>
      <c r="V16" s="27">
        <f>IF(AG16="2",H16,0)</f>
        <v>0</v>
      </c>
      <c r="W16" s="27">
        <f>IF(AG16="2",I16,0)</f>
        <v>0</v>
      </c>
      <c r="X16" s="27">
        <f>IF(AG16="0",J16,0)</f>
        <v>0</v>
      </c>
      <c r="Y16" s="17"/>
      <c r="Z16" s="25">
        <f>IF(AD16=0,J16,0)</f>
        <v>0</v>
      </c>
      <c r="AA16" s="25">
        <f>IF(AD16=15,J16,0)</f>
        <v>0</v>
      </c>
      <c r="AB16" s="25">
        <f>IF(AD16=21,J16,0)</f>
        <v>0</v>
      </c>
      <c r="AD16" s="27">
        <v>15</v>
      </c>
      <c r="AE16" s="27">
        <f>G16*0</f>
        <v>0</v>
      </c>
      <c r="AF16" s="27">
        <f>G16*(1-0)</f>
        <v>0</v>
      </c>
      <c r="AG16" s="26" t="s">
        <v>28</v>
      </c>
      <c r="AM16" s="27">
        <f>F16*AE16</f>
        <v>0</v>
      </c>
      <c r="AN16" s="27">
        <f>F16*AF16</f>
        <v>0</v>
      </c>
      <c r="AO16" s="28" t="s">
        <v>66</v>
      </c>
      <c r="AP16" s="28" t="s">
        <v>34</v>
      </c>
      <c r="AQ16" s="17" t="s">
        <v>35</v>
      </c>
      <c r="AS16" s="27">
        <f>AM16+AN16</f>
        <v>0</v>
      </c>
      <c r="AT16" s="27">
        <f>G16/(100-AU16)*100</f>
        <v>0</v>
      </c>
      <c r="AU16" s="27">
        <v>0</v>
      </c>
      <c r="AV16" s="27">
        <f>L16</f>
        <v>0</v>
      </c>
    </row>
    <row r="17" spans="1:48" ht="12.75">
      <c r="A17" s="23" t="s">
        <v>67</v>
      </c>
      <c r="B17" s="23"/>
      <c r="C17" s="23" t="s">
        <v>68</v>
      </c>
      <c r="D17" s="23" t="s">
        <v>69</v>
      </c>
      <c r="E17" s="23" t="s">
        <v>31</v>
      </c>
      <c r="F17" s="24">
        <v>40.3</v>
      </c>
      <c r="G17" s="47">
        <v>0</v>
      </c>
      <c r="H17" s="25">
        <f>F17*AE17</f>
        <v>0</v>
      </c>
      <c r="I17" s="25">
        <f>J17-H17</f>
        <v>0</v>
      </c>
      <c r="J17" s="25">
        <f>F17*G17</f>
        <v>0</v>
      </c>
      <c r="K17" s="25">
        <v>0</v>
      </c>
      <c r="L17" s="25">
        <f>F17*K17</f>
        <v>0</v>
      </c>
      <c r="M17" s="26" t="s">
        <v>32</v>
      </c>
      <c r="P17" s="27">
        <f>IF(AG17="5",J17,0)</f>
        <v>0</v>
      </c>
      <c r="R17" s="27">
        <f>IF(AG17="1",H17,0)</f>
        <v>0</v>
      </c>
      <c r="S17" s="27">
        <f>IF(AG17="1",I17,0)</f>
        <v>0</v>
      </c>
      <c r="T17" s="27">
        <f>IF(AG17="7",H17,0)</f>
        <v>0</v>
      </c>
      <c r="U17" s="27">
        <f>IF(AG17="7",I17,0)</f>
        <v>0</v>
      </c>
      <c r="V17" s="27">
        <f>IF(AG17="2",H17,0)</f>
        <v>0</v>
      </c>
      <c r="W17" s="27">
        <f>IF(AG17="2",I17,0)</f>
        <v>0</v>
      </c>
      <c r="X17" s="27">
        <f>IF(AG17="0",J17,0)</f>
        <v>0</v>
      </c>
      <c r="Y17" s="17"/>
      <c r="Z17" s="25">
        <f>IF(AD17=0,J17,0)</f>
        <v>0</v>
      </c>
      <c r="AA17" s="25">
        <f>IF(AD17=15,J17,0)</f>
        <v>0</v>
      </c>
      <c r="AB17" s="25">
        <f>IF(AD17=21,J17,0)</f>
        <v>0</v>
      </c>
      <c r="AD17" s="27">
        <v>15</v>
      </c>
      <c r="AE17" s="27">
        <f>G17*0</f>
        <v>0</v>
      </c>
      <c r="AF17" s="27">
        <f>G17*(1-0)</f>
        <v>0</v>
      </c>
      <c r="AG17" s="26" t="s">
        <v>28</v>
      </c>
      <c r="AM17" s="27">
        <f>F17*AE17</f>
        <v>0</v>
      </c>
      <c r="AN17" s="27">
        <f>F17*AF17</f>
        <v>0</v>
      </c>
      <c r="AO17" s="28" t="s">
        <v>66</v>
      </c>
      <c r="AP17" s="28" t="s">
        <v>34</v>
      </c>
      <c r="AQ17" s="17" t="s">
        <v>35</v>
      </c>
      <c r="AS17" s="27">
        <f>AM17+AN17</f>
        <v>0</v>
      </c>
      <c r="AT17" s="27">
        <f>G17/(100-AU17)*100</f>
        <v>0</v>
      </c>
      <c r="AU17" s="27">
        <v>0</v>
      </c>
      <c r="AV17" s="27">
        <f>L17</f>
        <v>0</v>
      </c>
    </row>
    <row r="18" spans="1:37" ht="12.75">
      <c r="A18" s="29"/>
      <c r="B18" s="30"/>
      <c r="C18" s="30" t="s">
        <v>70</v>
      </c>
      <c r="D18" s="30" t="s">
        <v>71</v>
      </c>
      <c r="E18" s="29" t="s">
        <v>10</v>
      </c>
      <c r="F18" s="29" t="s">
        <v>10</v>
      </c>
      <c r="G18" s="48" t="s">
        <v>10</v>
      </c>
      <c r="H18" s="22">
        <f>SUM(H19:H19)</f>
        <v>0</v>
      </c>
      <c r="I18" s="22">
        <f>SUM(I19:I19)</f>
        <v>0</v>
      </c>
      <c r="J18" s="22">
        <f>H18+I18</f>
        <v>0</v>
      </c>
      <c r="K18" s="17"/>
      <c r="L18" s="22">
        <f>SUM(L19:L19)</f>
        <v>0</v>
      </c>
      <c r="M18" s="17"/>
      <c r="Y18" s="17"/>
      <c r="AI18" s="22">
        <f>SUM(Z19:Z19)</f>
        <v>0</v>
      </c>
      <c r="AJ18" s="22">
        <f>SUM(AA19:AA19)</f>
        <v>0</v>
      </c>
      <c r="AK18" s="22">
        <f>SUM(AB19:AB19)</f>
        <v>0</v>
      </c>
    </row>
    <row r="19" spans="1:48" ht="12.75">
      <c r="A19" s="23" t="s">
        <v>72</v>
      </c>
      <c r="B19" s="23"/>
      <c r="C19" s="23" t="s">
        <v>73</v>
      </c>
      <c r="D19" s="23" t="s">
        <v>74</v>
      </c>
      <c r="E19" s="23" t="s">
        <v>75</v>
      </c>
      <c r="F19" s="24">
        <v>142</v>
      </c>
      <c r="G19" s="47">
        <v>0</v>
      </c>
      <c r="H19" s="25">
        <f>F19*AE19</f>
        <v>0</v>
      </c>
      <c r="I19" s="25">
        <f>J19-H19</f>
        <v>0</v>
      </c>
      <c r="J19" s="25">
        <f>F19*G19</f>
        <v>0</v>
      </c>
      <c r="K19" s="25">
        <v>0</v>
      </c>
      <c r="L19" s="25">
        <f>F19*K19</f>
        <v>0</v>
      </c>
      <c r="M19" s="26" t="s">
        <v>32</v>
      </c>
      <c r="P19" s="27">
        <f>IF(AG19="5",J19,0)</f>
        <v>0</v>
      </c>
      <c r="R19" s="27">
        <f>IF(AG19="1",H19,0)</f>
        <v>0</v>
      </c>
      <c r="S19" s="27">
        <f>IF(AG19="1",I19,0)</f>
        <v>0</v>
      </c>
      <c r="T19" s="27">
        <f>IF(AG19="7",H19,0)</f>
        <v>0</v>
      </c>
      <c r="U19" s="27">
        <f>IF(AG19="7",I19,0)</f>
        <v>0</v>
      </c>
      <c r="V19" s="27">
        <f>IF(AG19="2",H19,0)</f>
        <v>0</v>
      </c>
      <c r="W19" s="27">
        <f>IF(AG19="2",I19,0)</f>
        <v>0</v>
      </c>
      <c r="X19" s="27">
        <f>IF(AG19="0",J19,0)</f>
        <v>0</v>
      </c>
      <c r="Y19" s="17"/>
      <c r="Z19" s="25">
        <f>IF(AD19=0,J19,0)</f>
        <v>0</v>
      </c>
      <c r="AA19" s="25">
        <f>IF(AD19=15,J19,0)</f>
        <v>0</v>
      </c>
      <c r="AB19" s="25">
        <f>IF(AD19=21,J19,0)</f>
        <v>0</v>
      </c>
      <c r="AD19" s="27">
        <v>15</v>
      </c>
      <c r="AE19" s="27">
        <f>G19*0</f>
        <v>0</v>
      </c>
      <c r="AF19" s="27">
        <f>G19*(1-0)</f>
        <v>0</v>
      </c>
      <c r="AG19" s="26" t="s">
        <v>28</v>
      </c>
      <c r="AM19" s="27">
        <f>F19*AE19</f>
        <v>0</v>
      </c>
      <c r="AN19" s="27">
        <f>F19*AF19</f>
        <v>0</v>
      </c>
      <c r="AO19" s="28" t="s">
        <v>76</v>
      </c>
      <c r="AP19" s="28" t="s">
        <v>34</v>
      </c>
      <c r="AQ19" s="17" t="s">
        <v>35</v>
      </c>
      <c r="AS19" s="27">
        <f>AM19+AN19</f>
        <v>0</v>
      </c>
      <c r="AT19" s="27">
        <f>G19/(100-AU19)*100</f>
        <v>0</v>
      </c>
      <c r="AU19" s="27">
        <v>0</v>
      </c>
      <c r="AV19" s="27">
        <f>L19</f>
        <v>0</v>
      </c>
    </row>
    <row r="20" spans="1:37" ht="12.75">
      <c r="A20" s="29"/>
      <c r="B20" s="30"/>
      <c r="C20" s="30" t="s">
        <v>77</v>
      </c>
      <c r="D20" s="30" t="s">
        <v>78</v>
      </c>
      <c r="E20" s="29" t="s">
        <v>10</v>
      </c>
      <c r="F20" s="29" t="s">
        <v>10</v>
      </c>
      <c r="G20" s="48" t="s">
        <v>10</v>
      </c>
      <c r="H20" s="22">
        <f>SUM(H21:H21)</f>
        <v>0</v>
      </c>
      <c r="I20" s="22">
        <f>SUM(I21:I21)</f>
        <v>0</v>
      </c>
      <c r="J20" s="22">
        <f>H20+I20</f>
        <v>0</v>
      </c>
      <c r="K20" s="17"/>
      <c r="L20" s="22">
        <f>SUM(L21:L21)</f>
        <v>18.1958</v>
      </c>
      <c r="M20" s="17"/>
      <c r="Y20" s="17"/>
      <c r="AI20" s="22">
        <f>SUM(Z21:Z21)</f>
        <v>0</v>
      </c>
      <c r="AJ20" s="22">
        <f>SUM(AA21:AA21)</f>
        <v>0</v>
      </c>
      <c r="AK20" s="22">
        <f>SUM(AB21:AB21)</f>
        <v>0</v>
      </c>
    </row>
    <row r="21" spans="1:48" ht="12.75">
      <c r="A21" s="23" t="s">
        <v>26</v>
      </c>
      <c r="B21" s="23"/>
      <c r="C21" s="23" t="s">
        <v>79</v>
      </c>
      <c r="D21" s="23" t="s">
        <v>80</v>
      </c>
      <c r="E21" s="23" t="s">
        <v>41</v>
      </c>
      <c r="F21" s="24">
        <v>41</v>
      </c>
      <c r="G21" s="47">
        <v>0</v>
      </c>
      <c r="H21" s="25">
        <f>F21*AE21</f>
        <v>0</v>
      </c>
      <c r="I21" s="25">
        <f>J21-H21</f>
        <v>0</v>
      </c>
      <c r="J21" s="25">
        <f>F21*G21</f>
        <v>0</v>
      </c>
      <c r="K21" s="25">
        <v>0.4438</v>
      </c>
      <c r="L21" s="25">
        <f>F21*K21</f>
        <v>18.1958</v>
      </c>
      <c r="M21" s="26" t="s">
        <v>32</v>
      </c>
      <c r="P21" s="27">
        <f>IF(AG21="5",J21,0)</f>
        <v>0</v>
      </c>
      <c r="R21" s="27">
        <f>IF(AG21="1",H21,0)</f>
        <v>0</v>
      </c>
      <c r="S21" s="27">
        <f>IF(AG21="1",I21,0)</f>
        <v>0</v>
      </c>
      <c r="T21" s="27">
        <f>IF(AG21="7",H21,0)</f>
        <v>0</v>
      </c>
      <c r="U21" s="27">
        <f>IF(AG21="7",I21,0)</f>
        <v>0</v>
      </c>
      <c r="V21" s="27">
        <f>IF(AG21="2",H21,0)</f>
        <v>0</v>
      </c>
      <c r="W21" s="27">
        <f>IF(AG21="2",I21,0)</f>
        <v>0</v>
      </c>
      <c r="X21" s="27">
        <f>IF(AG21="0",J21,0)</f>
        <v>0</v>
      </c>
      <c r="Y21" s="17"/>
      <c r="Z21" s="25">
        <f>IF(AD21=0,J21,0)</f>
        <v>0</v>
      </c>
      <c r="AA21" s="25">
        <f>IF(AD21=15,J21,0)</f>
        <v>0</v>
      </c>
      <c r="AB21" s="25">
        <f>IF(AD21=21,J21,0)</f>
        <v>0</v>
      </c>
      <c r="AD21" s="27">
        <v>15</v>
      </c>
      <c r="AE21" s="27">
        <f>G21*0.45599173553719</f>
        <v>0</v>
      </c>
      <c r="AF21" s="27">
        <f>G21*(1-0.45599173553719)</f>
        <v>0</v>
      </c>
      <c r="AG21" s="26" t="s">
        <v>28</v>
      </c>
      <c r="AM21" s="27">
        <f>F21*AE21</f>
        <v>0</v>
      </c>
      <c r="AN21" s="27">
        <f>F21*AF21</f>
        <v>0</v>
      </c>
      <c r="AO21" s="28" t="s">
        <v>81</v>
      </c>
      <c r="AP21" s="28" t="s">
        <v>82</v>
      </c>
      <c r="AQ21" s="17" t="s">
        <v>35</v>
      </c>
      <c r="AS21" s="27">
        <f>AM21+AN21</f>
        <v>0</v>
      </c>
      <c r="AT21" s="27">
        <f>G21/(100-AU21)*100</f>
        <v>0</v>
      </c>
      <c r="AU21" s="27">
        <v>0</v>
      </c>
      <c r="AV21" s="27">
        <f>L21</f>
        <v>18.1958</v>
      </c>
    </row>
    <row r="22" spans="1:6" ht="12.75">
      <c r="A22" s="43"/>
      <c r="B22" s="43"/>
      <c r="C22" s="43"/>
      <c r="D22" s="31" t="s">
        <v>83</v>
      </c>
      <c r="E22" s="43"/>
      <c r="F22" s="43"/>
    </row>
    <row r="23" spans="1:37" ht="12.75">
      <c r="A23" s="29"/>
      <c r="B23" s="30"/>
      <c r="C23" s="30" t="s">
        <v>84</v>
      </c>
      <c r="D23" s="30" t="s">
        <v>85</v>
      </c>
      <c r="E23" s="29" t="s">
        <v>10</v>
      </c>
      <c r="F23" s="29" t="s">
        <v>10</v>
      </c>
      <c r="G23" s="48" t="s">
        <v>10</v>
      </c>
      <c r="H23" s="22">
        <f>SUM(H24:H41)</f>
        <v>0</v>
      </c>
      <c r="I23" s="22">
        <f>SUM(I24:I41)</f>
        <v>0</v>
      </c>
      <c r="J23" s="22">
        <f>H23+I23</f>
        <v>0</v>
      </c>
      <c r="K23" s="17"/>
      <c r="L23" s="22">
        <f>SUM(L24:L41)</f>
        <v>198.13573114</v>
      </c>
      <c r="M23" s="17"/>
      <c r="Y23" s="17"/>
      <c r="AI23" s="22">
        <f>SUM(Z24:Z41)</f>
        <v>0</v>
      </c>
      <c r="AJ23" s="22">
        <f>SUM(AA24:AA41)</f>
        <v>0</v>
      </c>
      <c r="AK23" s="22">
        <f>SUM(AB24:AB41)</f>
        <v>0</v>
      </c>
    </row>
    <row r="24" spans="1:48" ht="12.75">
      <c r="A24" s="23" t="s">
        <v>36</v>
      </c>
      <c r="B24" s="23"/>
      <c r="C24" s="23" t="s">
        <v>86</v>
      </c>
      <c r="D24" s="23" t="s">
        <v>87</v>
      </c>
      <c r="E24" s="23" t="s">
        <v>75</v>
      </c>
      <c r="F24" s="24">
        <v>123.253</v>
      </c>
      <c r="G24" s="47">
        <v>0</v>
      </c>
      <c r="H24" s="25">
        <f>F24*AE24</f>
        <v>0</v>
      </c>
      <c r="I24" s="25">
        <f>J24-H24</f>
        <v>0</v>
      </c>
      <c r="J24" s="25">
        <f>F24*G24</f>
        <v>0</v>
      </c>
      <c r="K24" s="25">
        <v>0.38794</v>
      </c>
      <c r="L24" s="25">
        <f>F24*K24</f>
        <v>47.81476882</v>
      </c>
      <c r="M24" s="26" t="s">
        <v>32</v>
      </c>
      <c r="P24" s="27">
        <f>IF(AG24="5",J24,0)</f>
        <v>0</v>
      </c>
      <c r="R24" s="27">
        <f>IF(AG24="1",H24,0)</f>
        <v>0</v>
      </c>
      <c r="S24" s="27">
        <f>IF(AG24="1",I24,0)</f>
        <v>0</v>
      </c>
      <c r="T24" s="27">
        <f>IF(AG24="7",H24,0)</f>
        <v>0</v>
      </c>
      <c r="U24" s="27">
        <f>IF(AG24="7",I24,0)</f>
        <v>0</v>
      </c>
      <c r="V24" s="27">
        <f>IF(AG24="2",H24,0)</f>
        <v>0</v>
      </c>
      <c r="W24" s="27">
        <f>IF(AG24="2",I24,0)</f>
        <v>0</v>
      </c>
      <c r="X24" s="27">
        <f>IF(AG24="0",J24,0)</f>
        <v>0</v>
      </c>
      <c r="Y24" s="17"/>
      <c r="Z24" s="25">
        <f>IF(AD24=0,J24,0)</f>
        <v>0</v>
      </c>
      <c r="AA24" s="25">
        <f>IF(AD24=15,J24,0)</f>
        <v>0</v>
      </c>
      <c r="AB24" s="25">
        <f>IF(AD24=21,J24,0)</f>
        <v>0</v>
      </c>
      <c r="AD24" s="27">
        <v>15</v>
      </c>
      <c r="AE24" s="27">
        <f>G24*0.333684801186394</f>
        <v>0</v>
      </c>
      <c r="AF24" s="27">
        <f>G24*(1-0.333684801186394)</f>
        <v>0</v>
      </c>
      <c r="AG24" s="26" t="s">
        <v>28</v>
      </c>
      <c r="AM24" s="27">
        <f>F24*AE24</f>
        <v>0</v>
      </c>
      <c r="AN24" s="27">
        <f>F24*AF24</f>
        <v>0</v>
      </c>
      <c r="AO24" s="28" t="s">
        <v>88</v>
      </c>
      <c r="AP24" s="28" t="s">
        <v>82</v>
      </c>
      <c r="AQ24" s="17" t="s">
        <v>35</v>
      </c>
      <c r="AS24" s="27">
        <f>AM24+AN24</f>
        <v>0</v>
      </c>
      <c r="AT24" s="27">
        <f>G24/(100-AU24)*100</f>
        <v>0</v>
      </c>
      <c r="AU24" s="27">
        <v>0</v>
      </c>
      <c r="AV24" s="27">
        <f>L24</f>
        <v>47.81476882</v>
      </c>
    </row>
    <row r="25" spans="1:6" ht="12.75">
      <c r="A25" s="43"/>
      <c r="B25" s="43"/>
      <c r="C25" s="43"/>
      <c r="D25" s="31" t="s">
        <v>89</v>
      </c>
      <c r="E25" s="43"/>
      <c r="F25" s="43"/>
    </row>
    <row r="26" spans="1:48" ht="12.75">
      <c r="A26" s="23" t="s">
        <v>90</v>
      </c>
      <c r="B26" s="23"/>
      <c r="C26" s="23" t="s">
        <v>91</v>
      </c>
      <c r="D26" s="23" t="s">
        <v>92</v>
      </c>
      <c r="E26" s="23" t="s">
        <v>31</v>
      </c>
      <c r="F26" s="24">
        <v>22.469</v>
      </c>
      <c r="G26" s="47">
        <v>0</v>
      </c>
      <c r="H26" s="25">
        <f>F26*AE26</f>
        <v>0</v>
      </c>
      <c r="I26" s="25">
        <f>J26-H26</f>
        <v>0</v>
      </c>
      <c r="J26" s="25">
        <f>F26*G26</f>
        <v>0</v>
      </c>
      <c r="K26" s="25">
        <v>2.525</v>
      </c>
      <c r="L26" s="25">
        <f>F26*K26</f>
        <v>56.734225</v>
      </c>
      <c r="M26" s="26" t="s">
        <v>32</v>
      </c>
      <c r="P26" s="27">
        <f>IF(AG26="5",J26,0)</f>
        <v>0</v>
      </c>
      <c r="R26" s="27">
        <f>IF(AG26="1",H26,0)</f>
        <v>0</v>
      </c>
      <c r="S26" s="27">
        <f>IF(AG26="1",I26,0)</f>
        <v>0</v>
      </c>
      <c r="T26" s="27">
        <f>IF(AG26="7",H26,0)</f>
        <v>0</v>
      </c>
      <c r="U26" s="27">
        <f>IF(AG26="7",I26,0)</f>
        <v>0</v>
      </c>
      <c r="V26" s="27">
        <f>IF(AG26="2",H26,0)</f>
        <v>0</v>
      </c>
      <c r="W26" s="27">
        <f>IF(AG26="2",I26,0)</f>
        <v>0</v>
      </c>
      <c r="X26" s="27">
        <f>IF(AG26="0",J26,0)</f>
        <v>0</v>
      </c>
      <c r="Y26" s="17"/>
      <c r="Z26" s="25">
        <f>IF(AD26=0,J26,0)</f>
        <v>0</v>
      </c>
      <c r="AA26" s="25">
        <f>IF(AD26=15,J26,0)</f>
        <v>0</v>
      </c>
      <c r="AB26" s="25">
        <f>IF(AD26=21,J26,0)</f>
        <v>0</v>
      </c>
      <c r="AD26" s="27">
        <v>15</v>
      </c>
      <c r="AE26" s="27">
        <f>G26*0.887088142417802</f>
        <v>0</v>
      </c>
      <c r="AF26" s="27">
        <f>G26*(1-0.887088142417802)</f>
        <v>0</v>
      </c>
      <c r="AG26" s="26" t="s">
        <v>28</v>
      </c>
      <c r="AM26" s="27">
        <f>F26*AE26</f>
        <v>0</v>
      </c>
      <c r="AN26" s="27">
        <f>F26*AF26</f>
        <v>0</v>
      </c>
      <c r="AO26" s="28" t="s">
        <v>88</v>
      </c>
      <c r="AP26" s="28" t="s">
        <v>82</v>
      </c>
      <c r="AQ26" s="17" t="s">
        <v>35</v>
      </c>
      <c r="AS26" s="27">
        <f>AM26+AN26</f>
        <v>0</v>
      </c>
      <c r="AT26" s="27">
        <f>G26/(100-AU26)*100</f>
        <v>0</v>
      </c>
      <c r="AU26" s="27">
        <v>0</v>
      </c>
      <c r="AV26" s="27">
        <f>L26</f>
        <v>56.734225</v>
      </c>
    </row>
    <row r="27" spans="1:48" ht="12.75">
      <c r="A27" s="23" t="s">
        <v>93</v>
      </c>
      <c r="B27" s="23"/>
      <c r="C27" s="23" t="s">
        <v>94</v>
      </c>
      <c r="D27" s="23" t="s">
        <v>95</v>
      </c>
      <c r="E27" s="23" t="s">
        <v>75</v>
      </c>
      <c r="F27" s="24">
        <v>0</v>
      </c>
      <c r="G27" s="47">
        <v>0</v>
      </c>
      <c r="H27" s="25">
        <f>F27*AE27</f>
        <v>0</v>
      </c>
      <c r="I27" s="25">
        <f>J27-H27</f>
        <v>0</v>
      </c>
      <c r="J27" s="25">
        <f>F27*G27</f>
        <v>0</v>
      </c>
      <c r="K27" s="25">
        <v>0.963</v>
      </c>
      <c r="L27" s="25">
        <f>F27*K27</f>
        <v>0</v>
      </c>
      <c r="M27" s="26" t="s">
        <v>32</v>
      </c>
      <c r="P27" s="27">
        <f>IF(AG27="5",J27,0)</f>
        <v>0</v>
      </c>
      <c r="R27" s="27">
        <f>IF(AG27="1",H27,0)</f>
        <v>0</v>
      </c>
      <c r="S27" s="27">
        <f>IF(AG27="1",I27,0)</f>
        <v>0</v>
      </c>
      <c r="T27" s="27">
        <f>IF(AG27="7",H27,0)</f>
        <v>0</v>
      </c>
      <c r="U27" s="27">
        <f>IF(AG27="7",I27,0)</f>
        <v>0</v>
      </c>
      <c r="V27" s="27">
        <f>IF(AG27="2",H27,0)</f>
        <v>0</v>
      </c>
      <c r="W27" s="27">
        <f>IF(AG27="2",I27,0)</f>
        <v>0</v>
      </c>
      <c r="X27" s="27">
        <f>IF(AG27="0",J27,0)</f>
        <v>0</v>
      </c>
      <c r="Y27" s="17"/>
      <c r="Z27" s="25">
        <f>IF(AD27=0,J27,0)</f>
        <v>0</v>
      </c>
      <c r="AA27" s="25">
        <f>IF(AD27=15,J27,0)</f>
        <v>0</v>
      </c>
      <c r="AB27" s="25">
        <f>IF(AD27=21,J27,0)</f>
        <v>0</v>
      </c>
      <c r="AD27" s="27">
        <v>15</v>
      </c>
      <c r="AE27" s="27">
        <f>G27*0</f>
        <v>0</v>
      </c>
      <c r="AF27" s="27">
        <f>G27*(1-0)</f>
        <v>0</v>
      </c>
      <c r="AG27" s="26" t="s">
        <v>28</v>
      </c>
      <c r="AM27" s="27">
        <f>F27*AE27</f>
        <v>0</v>
      </c>
      <c r="AN27" s="27">
        <f>F27*AF27</f>
        <v>0</v>
      </c>
      <c r="AO27" s="28" t="s">
        <v>88</v>
      </c>
      <c r="AP27" s="28" t="s">
        <v>82</v>
      </c>
      <c r="AQ27" s="17" t="s">
        <v>35</v>
      </c>
      <c r="AS27" s="27">
        <f>AM27+AN27</f>
        <v>0</v>
      </c>
      <c r="AT27" s="27">
        <f>G27/(100-AU27)*100</f>
        <v>0</v>
      </c>
      <c r="AU27" s="27">
        <v>0</v>
      </c>
      <c r="AV27" s="27">
        <f>L27</f>
        <v>0</v>
      </c>
    </row>
    <row r="28" spans="1:6" ht="12.75">
      <c r="A28" s="43"/>
      <c r="B28" s="43"/>
      <c r="C28" s="43"/>
      <c r="D28" s="31" t="s">
        <v>96</v>
      </c>
      <c r="E28" s="43"/>
      <c r="F28" s="43"/>
    </row>
    <row r="29" spans="1:48" ht="12.75">
      <c r="A29" s="23" t="s">
        <v>52</v>
      </c>
      <c r="B29" s="23"/>
      <c r="C29" s="23" t="s">
        <v>97</v>
      </c>
      <c r="D29" s="23" t="s">
        <v>98</v>
      </c>
      <c r="E29" s="23" t="s">
        <v>75</v>
      </c>
      <c r="F29" s="24">
        <v>0</v>
      </c>
      <c r="G29" s="47">
        <v>0</v>
      </c>
      <c r="H29" s="25">
        <f>F29*AE29</f>
        <v>0</v>
      </c>
      <c r="I29" s="25">
        <f>J29-H29</f>
        <v>0</v>
      </c>
      <c r="J29" s="25">
        <f>F29*G29</f>
        <v>0</v>
      </c>
      <c r="K29" s="25">
        <v>1.175</v>
      </c>
      <c r="L29" s="25">
        <f>F29*K29</f>
        <v>0</v>
      </c>
      <c r="M29" s="26" t="s">
        <v>32</v>
      </c>
      <c r="P29" s="27">
        <f>IF(AG29="5",J29,0)</f>
        <v>0</v>
      </c>
      <c r="R29" s="27">
        <f>IF(AG29="1",H29,0)</f>
        <v>0</v>
      </c>
      <c r="S29" s="27">
        <f>IF(AG29="1",I29,0)</f>
        <v>0</v>
      </c>
      <c r="T29" s="27">
        <f>IF(AG29="7",H29,0)</f>
        <v>0</v>
      </c>
      <c r="U29" s="27">
        <f>IF(AG29="7",I29,0)</f>
        <v>0</v>
      </c>
      <c r="V29" s="27">
        <f>IF(AG29="2",H29,0)</f>
        <v>0</v>
      </c>
      <c r="W29" s="27">
        <f>IF(AG29="2",I29,0)</f>
        <v>0</v>
      </c>
      <c r="X29" s="27">
        <f>IF(AG29="0",J29,0)</f>
        <v>0</v>
      </c>
      <c r="Y29" s="17"/>
      <c r="Z29" s="25">
        <f>IF(AD29=0,J29,0)</f>
        <v>0</v>
      </c>
      <c r="AA29" s="25">
        <f>IF(AD29=15,J29,0)</f>
        <v>0</v>
      </c>
      <c r="AB29" s="25">
        <f>IF(AD29=21,J29,0)</f>
        <v>0</v>
      </c>
      <c r="AD29" s="27">
        <v>15</v>
      </c>
      <c r="AE29" s="27">
        <f>G29*0</f>
        <v>0</v>
      </c>
      <c r="AF29" s="27">
        <f>G29*(1-0)</f>
        <v>0</v>
      </c>
      <c r="AG29" s="26" t="s">
        <v>28</v>
      </c>
      <c r="AM29" s="27">
        <f>F29*AE29</f>
        <v>0</v>
      </c>
      <c r="AN29" s="27">
        <f>F29*AF29</f>
        <v>0</v>
      </c>
      <c r="AO29" s="28" t="s">
        <v>88</v>
      </c>
      <c r="AP29" s="28" t="s">
        <v>82</v>
      </c>
      <c r="AQ29" s="17" t="s">
        <v>35</v>
      </c>
      <c r="AS29" s="27">
        <f>AM29+AN29</f>
        <v>0</v>
      </c>
      <c r="AT29" s="27">
        <f>G29/(100-AU29)*100</f>
        <v>0</v>
      </c>
      <c r="AU29" s="27">
        <v>0</v>
      </c>
      <c r="AV29" s="27">
        <f>L29</f>
        <v>0</v>
      </c>
    </row>
    <row r="30" spans="1:6" ht="12.75">
      <c r="A30" s="43"/>
      <c r="B30" s="43"/>
      <c r="C30" s="43"/>
      <c r="D30" s="31" t="s">
        <v>96</v>
      </c>
      <c r="E30" s="43"/>
      <c r="F30" s="43"/>
    </row>
    <row r="31" spans="1:48" ht="12.75">
      <c r="A31" s="23" t="s">
        <v>61</v>
      </c>
      <c r="B31" s="23"/>
      <c r="C31" s="23" t="s">
        <v>99</v>
      </c>
      <c r="D31" s="23" t="s">
        <v>100</v>
      </c>
      <c r="E31" s="23" t="s">
        <v>31</v>
      </c>
      <c r="F31" s="24">
        <v>21.24</v>
      </c>
      <c r="G31" s="47">
        <v>0</v>
      </c>
      <c r="H31" s="25">
        <f>F31*AE31</f>
        <v>0</v>
      </c>
      <c r="I31" s="25">
        <f>J31-H31</f>
        <v>0</v>
      </c>
      <c r="J31" s="25">
        <f>F31*G31</f>
        <v>0</v>
      </c>
      <c r="K31" s="25">
        <v>2.525</v>
      </c>
      <c r="L31" s="25">
        <f>F31*K31</f>
        <v>53.63099999999999</v>
      </c>
      <c r="M31" s="26" t="s">
        <v>32</v>
      </c>
      <c r="P31" s="27">
        <f>IF(AG31="5",J31,0)</f>
        <v>0</v>
      </c>
      <c r="R31" s="27">
        <f>IF(AG31="1",H31,0)</f>
        <v>0</v>
      </c>
      <c r="S31" s="27">
        <f>IF(AG31="1",I31,0)</f>
        <v>0</v>
      </c>
      <c r="T31" s="27">
        <f>IF(AG31="7",H31,0)</f>
        <v>0</v>
      </c>
      <c r="U31" s="27">
        <f>IF(AG31="7",I31,0)</f>
        <v>0</v>
      </c>
      <c r="V31" s="27">
        <f>IF(AG31="2",H31,0)</f>
        <v>0</v>
      </c>
      <c r="W31" s="27">
        <f>IF(AG31="2",I31,0)</f>
        <v>0</v>
      </c>
      <c r="X31" s="27">
        <f>IF(AG31="0",J31,0)</f>
        <v>0</v>
      </c>
      <c r="Y31" s="17"/>
      <c r="Z31" s="25">
        <f>IF(AD31=0,J31,0)</f>
        <v>0</v>
      </c>
      <c r="AA31" s="25">
        <f>IF(AD31=15,J31,0)</f>
        <v>0</v>
      </c>
      <c r="AB31" s="25">
        <f>IF(AD31=21,J31,0)</f>
        <v>0</v>
      </c>
      <c r="AD31" s="27">
        <v>15</v>
      </c>
      <c r="AE31" s="27">
        <f>G31*0.886504504504504</f>
        <v>0</v>
      </c>
      <c r="AF31" s="27">
        <f>G31*(1-0.886504504504504)</f>
        <v>0</v>
      </c>
      <c r="AG31" s="26" t="s">
        <v>28</v>
      </c>
      <c r="AM31" s="27">
        <f>F31*AE31</f>
        <v>0</v>
      </c>
      <c r="AN31" s="27">
        <f>F31*AF31</f>
        <v>0</v>
      </c>
      <c r="AO31" s="28" t="s">
        <v>88</v>
      </c>
      <c r="AP31" s="28" t="s">
        <v>82</v>
      </c>
      <c r="AQ31" s="17" t="s">
        <v>35</v>
      </c>
      <c r="AS31" s="27">
        <f>AM31+AN31</f>
        <v>0</v>
      </c>
      <c r="AT31" s="27">
        <f>G31/(100-AU31)*100</f>
        <v>0</v>
      </c>
      <c r="AU31" s="27">
        <v>0</v>
      </c>
      <c r="AV31" s="27">
        <f>L31</f>
        <v>53.63099999999999</v>
      </c>
    </row>
    <row r="32" spans="1:48" ht="12.75">
      <c r="A32" s="23" t="s">
        <v>70</v>
      </c>
      <c r="B32" s="23"/>
      <c r="C32" s="23" t="s">
        <v>101</v>
      </c>
      <c r="D32" s="23" t="s">
        <v>102</v>
      </c>
      <c r="E32" s="23" t="s">
        <v>75</v>
      </c>
      <c r="F32" s="24">
        <v>7.973</v>
      </c>
      <c r="G32" s="47">
        <v>0</v>
      </c>
      <c r="H32" s="25">
        <f>F32*AE32</f>
        <v>0</v>
      </c>
      <c r="I32" s="25">
        <f>J32-H32</f>
        <v>0</v>
      </c>
      <c r="J32" s="25">
        <f>F32*G32</f>
        <v>0</v>
      </c>
      <c r="K32" s="25">
        <v>0.0392</v>
      </c>
      <c r="L32" s="25">
        <f>F32*K32</f>
        <v>0.3125416</v>
      </c>
      <c r="M32" s="26" t="s">
        <v>32</v>
      </c>
      <c r="P32" s="27">
        <f>IF(AG32="5",J32,0)</f>
        <v>0</v>
      </c>
      <c r="R32" s="27">
        <f>IF(AG32="1",H32,0)</f>
        <v>0</v>
      </c>
      <c r="S32" s="27">
        <f>IF(AG32="1",I32,0)</f>
        <v>0</v>
      </c>
      <c r="T32" s="27">
        <f>IF(AG32="7",H32,0)</f>
        <v>0</v>
      </c>
      <c r="U32" s="27">
        <f>IF(AG32="7",I32,0)</f>
        <v>0</v>
      </c>
      <c r="V32" s="27">
        <f>IF(AG32="2",H32,0)</f>
        <v>0</v>
      </c>
      <c r="W32" s="27">
        <f>IF(AG32="2",I32,0)</f>
        <v>0</v>
      </c>
      <c r="X32" s="27">
        <f>IF(AG32="0",J32,0)</f>
        <v>0</v>
      </c>
      <c r="Y32" s="17"/>
      <c r="Z32" s="25">
        <f>IF(AD32=0,J32,0)</f>
        <v>0</v>
      </c>
      <c r="AA32" s="25">
        <f>IF(AD32=15,J32,0)</f>
        <v>0</v>
      </c>
      <c r="AB32" s="25">
        <f>IF(AD32=21,J32,0)</f>
        <v>0</v>
      </c>
      <c r="AD32" s="27">
        <v>15</v>
      </c>
      <c r="AE32" s="27">
        <f>G32*0.232867519328569</f>
        <v>0</v>
      </c>
      <c r="AF32" s="27">
        <f>G32*(1-0.232867519328569)</f>
        <v>0</v>
      </c>
      <c r="AG32" s="26" t="s">
        <v>28</v>
      </c>
      <c r="AM32" s="27">
        <f>F32*AE32</f>
        <v>0</v>
      </c>
      <c r="AN32" s="27">
        <f>F32*AF32</f>
        <v>0</v>
      </c>
      <c r="AO32" s="28" t="s">
        <v>88</v>
      </c>
      <c r="AP32" s="28" t="s">
        <v>82</v>
      </c>
      <c r="AQ32" s="17" t="s">
        <v>35</v>
      </c>
      <c r="AS32" s="27">
        <f>AM32+AN32</f>
        <v>0</v>
      </c>
      <c r="AT32" s="27">
        <f>G32/(100-AU32)*100</f>
        <v>0</v>
      </c>
      <c r="AU32" s="27">
        <v>0</v>
      </c>
      <c r="AV32" s="27">
        <f>L32</f>
        <v>0.3125416</v>
      </c>
    </row>
    <row r="33" spans="1:48" ht="12.75">
      <c r="A33" s="23" t="s">
        <v>103</v>
      </c>
      <c r="B33" s="23"/>
      <c r="C33" s="23" t="s">
        <v>104</v>
      </c>
      <c r="D33" s="23" t="s">
        <v>105</v>
      </c>
      <c r="E33" s="23" t="s">
        <v>75</v>
      </c>
      <c r="F33" s="24">
        <v>7.973</v>
      </c>
      <c r="G33" s="47">
        <v>0</v>
      </c>
      <c r="H33" s="25">
        <f>F33*AE33</f>
        <v>0</v>
      </c>
      <c r="I33" s="25">
        <f>J33-H33</f>
        <v>0</v>
      </c>
      <c r="J33" s="25">
        <f>F33*G33</f>
        <v>0</v>
      </c>
      <c r="K33" s="25">
        <v>0</v>
      </c>
      <c r="L33" s="25">
        <f>F33*K33</f>
        <v>0</v>
      </c>
      <c r="M33" s="26" t="s">
        <v>32</v>
      </c>
      <c r="P33" s="27">
        <f>IF(AG33="5",J33,0)</f>
        <v>0</v>
      </c>
      <c r="R33" s="27">
        <f>IF(AG33="1",H33,0)</f>
        <v>0</v>
      </c>
      <c r="S33" s="27">
        <f>IF(AG33="1",I33,0)</f>
        <v>0</v>
      </c>
      <c r="T33" s="27">
        <f>IF(AG33="7",H33,0)</f>
        <v>0</v>
      </c>
      <c r="U33" s="27">
        <f>IF(AG33="7",I33,0)</f>
        <v>0</v>
      </c>
      <c r="V33" s="27">
        <f>IF(AG33="2",H33,0)</f>
        <v>0</v>
      </c>
      <c r="W33" s="27">
        <f>IF(AG33="2",I33,0)</f>
        <v>0</v>
      </c>
      <c r="X33" s="27">
        <f>IF(AG33="0",J33,0)</f>
        <v>0</v>
      </c>
      <c r="Y33" s="17"/>
      <c r="Z33" s="25">
        <f>IF(AD33=0,J33,0)</f>
        <v>0</v>
      </c>
      <c r="AA33" s="25">
        <f>IF(AD33=15,J33,0)</f>
        <v>0</v>
      </c>
      <c r="AB33" s="25">
        <f>IF(AD33=21,J33,0)</f>
        <v>0</v>
      </c>
      <c r="AD33" s="27">
        <v>15</v>
      </c>
      <c r="AE33" s="27">
        <f>G33*0</f>
        <v>0</v>
      </c>
      <c r="AF33" s="27">
        <f>G33*(1-0)</f>
        <v>0</v>
      </c>
      <c r="AG33" s="26" t="s">
        <v>28</v>
      </c>
      <c r="AM33" s="27">
        <f>F33*AE33</f>
        <v>0</v>
      </c>
      <c r="AN33" s="27">
        <f>F33*AF33</f>
        <v>0</v>
      </c>
      <c r="AO33" s="28" t="s">
        <v>88</v>
      </c>
      <c r="AP33" s="28" t="s">
        <v>82</v>
      </c>
      <c r="AQ33" s="17" t="s">
        <v>35</v>
      </c>
      <c r="AS33" s="27">
        <f>AM33+AN33</f>
        <v>0</v>
      </c>
      <c r="AT33" s="27">
        <f>G33/(100-AU33)*100</f>
        <v>0</v>
      </c>
      <c r="AU33" s="27">
        <v>0</v>
      </c>
      <c r="AV33" s="27">
        <f>L33</f>
        <v>0</v>
      </c>
    </row>
    <row r="34" spans="1:48" ht="12.75">
      <c r="A34" s="23" t="s">
        <v>106</v>
      </c>
      <c r="B34" s="23"/>
      <c r="C34" s="23" t="s">
        <v>107</v>
      </c>
      <c r="D34" s="23" t="s">
        <v>108</v>
      </c>
      <c r="E34" s="23" t="s">
        <v>109</v>
      </c>
      <c r="F34" s="24">
        <v>0.803</v>
      </c>
      <c r="G34" s="47">
        <v>0</v>
      </c>
      <c r="H34" s="25">
        <f>F34*AE34</f>
        <v>0</v>
      </c>
      <c r="I34" s="25">
        <f>J34-H34</f>
        <v>0</v>
      </c>
      <c r="J34" s="25">
        <f>F34*G34</f>
        <v>0</v>
      </c>
      <c r="K34" s="25">
        <v>1.05474</v>
      </c>
      <c r="L34" s="25">
        <f>F34*K34</f>
        <v>0.84695622</v>
      </c>
      <c r="M34" s="26" t="s">
        <v>32</v>
      </c>
      <c r="P34" s="27">
        <f>IF(AG34="5",J34,0)</f>
        <v>0</v>
      </c>
      <c r="R34" s="27">
        <f>IF(AG34="1",H34,0)</f>
        <v>0</v>
      </c>
      <c r="S34" s="27">
        <f>IF(AG34="1",I34,0)</f>
        <v>0</v>
      </c>
      <c r="T34" s="27">
        <f>IF(AG34="7",H34,0)</f>
        <v>0</v>
      </c>
      <c r="U34" s="27">
        <f>IF(AG34="7",I34,0)</f>
        <v>0</v>
      </c>
      <c r="V34" s="27">
        <f>IF(AG34="2",H34,0)</f>
        <v>0</v>
      </c>
      <c r="W34" s="27">
        <f>IF(AG34="2",I34,0)</f>
        <v>0</v>
      </c>
      <c r="X34" s="27">
        <f>IF(AG34="0",J34,0)</f>
        <v>0</v>
      </c>
      <c r="Y34" s="17"/>
      <c r="Z34" s="25">
        <f>IF(AD34=0,J34,0)</f>
        <v>0</v>
      </c>
      <c r="AA34" s="25">
        <f>IF(AD34=15,J34,0)</f>
        <v>0</v>
      </c>
      <c r="AB34" s="25">
        <f>IF(AD34=21,J34,0)</f>
        <v>0</v>
      </c>
      <c r="AD34" s="27">
        <v>15</v>
      </c>
      <c r="AE34" s="27">
        <f>G34*0.81340980573543</f>
        <v>0</v>
      </c>
      <c r="AF34" s="27">
        <f>G34*(1-0.81340980573543)</f>
        <v>0</v>
      </c>
      <c r="AG34" s="26" t="s">
        <v>28</v>
      </c>
      <c r="AM34" s="27">
        <f>F34*AE34</f>
        <v>0</v>
      </c>
      <c r="AN34" s="27">
        <f>F34*AF34</f>
        <v>0</v>
      </c>
      <c r="AO34" s="28" t="s">
        <v>88</v>
      </c>
      <c r="AP34" s="28" t="s">
        <v>82</v>
      </c>
      <c r="AQ34" s="17" t="s">
        <v>35</v>
      </c>
      <c r="AS34" s="27">
        <f>AM34+AN34</f>
        <v>0</v>
      </c>
      <c r="AT34" s="27">
        <f>G34/(100-AU34)*100</f>
        <v>0</v>
      </c>
      <c r="AU34" s="27">
        <v>0</v>
      </c>
      <c r="AV34" s="27">
        <f>L34</f>
        <v>0.84695622</v>
      </c>
    </row>
    <row r="35" spans="1:6" ht="12.75">
      <c r="A35" s="43"/>
      <c r="B35" s="43"/>
      <c r="C35" s="43"/>
      <c r="D35" s="31" t="s">
        <v>110</v>
      </c>
      <c r="E35" s="43"/>
      <c r="F35" s="43"/>
    </row>
    <row r="36" spans="1:48" ht="12.75">
      <c r="A36" s="23" t="s">
        <v>77</v>
      </c>
      <c r="B36" s="23"/>
      <c r="C36" s="23" t="s">
        <v>111</v>
      </c>
      <c r="D36" s="23" t="s">
        <v>95</v>
      </c>
      <c r="E36" s="23" t="s">
        <v>75</v>
      </c>
      <c r="F36" s="24">
        <v>17.057</v>
      </c>
      <c r="G36" s="47">
        <v>0</v>
      </c>
      <c r="H36" s="25">
        <f>F36*AE36</f>
        <v>0</v>
      </c>
      <c r="I36" s="25">
        <f>J36-H36</f>
        <v>0</v>
      </c>
      <c r="J36" s="25">
        <f>F36*G36</f>
        <v>0</v>
      </c>
      <c r="K36" s="25">
        <v>0.963</v>
      </c>
      <c r="L36" s="25">
        <f>F36*K36</f>
        <v>16.425890999999996</v>
      </c>
      <c r="M36" s="26" t="s">
        <v>32</v>
      </c>
      <c r="P36" s="27">
        <f>IF(AG36="5",J36,0)</f>
        <v>0</v>
      </c>
      <c r="R36" s="27">
        <f>IF(AG36="1",H36,0)</f>
        <v>0</v>
      </c>
      <c r="S36" s="27">
        <f>IF(AG36="1",I36,0)</f>
        <v>0</v>
      </c>
      <c r="T36" s="27">
        <f>IF(AG36="7",H36,0)</f>
        <v>0</v>
      </c>
      <c r="U36" s="27">
        <f>IF(AG36="7",I36,0)</f>
        <v>0</v>
      </c>
      <c r="V36" s="27">
        <f>IF(AG36="2",H36,0)</f>
        <v>0</v>
      </c>
      <c r="W36" s="27">
        <f>IF(AG36="2",I36,0)</f>
        <v>0</v>
      </c>
      <c r="X36" s="27">
        <f>IF(AG36="0",J36,0)</f>
        <v>0</v>
      </c>
      <c r="Y36" s="17"/>
      <c r="Z36" s="25">
        <f>IF(AD36=0,J36,0)</f>
        <v>0</v>
      </c>
      <c r="AA36" s="25">
        <f>IF(AD36=15,J36,0)</f>
        <v>0</v>
      </c>
      <c r="AB36" s="25">
        <f>IF(AD36=21,J36,0)</f>
        <v>0</v>
      </c>
      <c r="AD36" s="27">
        <v>15</v>
      </c>
      <c r="AE36" s="27">
        <f>G36*0.656248564754707</f>
        <v>0</v>
      </c>
      <c r="AF36" s="27">
        <f>G36*(1-0.656248564754707)</f>
        <v>0</v>
      </c>
      <c r="AG36" s="26" t="s">
        <v>28</v>
      </c>
      <c r="AM36" s="27">
        <f>F36*AE36</f>
        <v>0</v>
      </c>
      <c r="AN36" s="27">
        <f>F36*AF36</f>
        <v>0</v>
      </c>
      <c r="AO36" s="28" t="s">
        <v>88</v>
      </c>
      <c r="AP36" s="28" t="s">
        <v>82</v>
      </c>
      <c r="AQ36" s="17" t="s">
        <v>35</v>
      </c>
      <c r="AS36" s="27">
        <f>AM36+AN36</f>
        <v>0</v>
      </c>
      <c r="AT36" s="27">
        <f>G36/(100-AU36)*100</f>
        <v>0</v>
      </c>
      <c r="AU36" s="27">
        <v>0</v>
      </c>
      <c r="AV36" s="27">
        <f>L36</f>
        <v>16.425890999999996</v>
      </c>
    </row>
    <row r="37" spans="1:6" ht="12.75">
      <c r="A37" s="43"/>
      <c r="B37" s="43"/>
      <c r="C37" s="43"/>
      <c r="D37" s="31" t="s">
        <v>112</v>
      </c>
      <c r="E37" s="43"/>
      <c r="F37" s="43"/>
    </row>
    <row r="38" spans="1:48" ht="12.75">
      <c r="A38" s="23" t="s">
        <v>113</v>
      </c>
      <c r="B38" s="23"/>
      <c r="C38" s="23" t="s">
        <v>114</v>
      </c>
      <c r="D38" s="23" t="s">
        <v>98</v>
      </c>
      <c r="E38" s="23" t="s">
        <v>75</v>
      </c>
      <c r="F38" s="24">
        <v>1.719</v>
      </c>
      <c r="G38" s="47">
        <v>0</v>
      </c>
      <c r="H38" s="25">
        <f>F38*AE38</f>
        <v>0</v>
      </c>
      <c r="I38" s="25">
        <f>J38-H38</f>
        <v>0</v>
      </c>
      <c r="J38" s="25">
        <f>F38*G38</f>
        <v>0</v>
      </c>
      <c r="K38" s="25">
        <v>1.175</v>
      </c>
      <c r="L38" s="25">
        <f>F38*K38</f>
        <v>2.019825</v>
      </c>
      <c r="M38" s="26" t="s">
        <v>32</v>
      </c>
      <c r="P38" s="27">
        <f>IF(AG38="5",J38,0)</f>
        <v>0</v>
      </c>
      <c r="R38" s="27">
        <f>IF(AG38="1",H38,0)</f>
        <v>0</v>
      </c>
      <c r="S38" s="27">
        <f>IF(AG38="1",I38,0)</f>
        <v>0</v>
      </c>
      <c r="T38" s="27">
        <f>IF(AG38="7",H38,0)</f>
        <v>0</v>
      </c>
      <c r="U38" s="27">
        <f>IF(AG38="7",I38,0)</f>
        <v>0</v>
      </c>
      <c r="V38" s="27">
        <f>IF(AG38="2",H38,0)</f>
        <v>0</v>
      </c>
      <c r="W38" s="27">
        <f>IF(AG38="2",I38,0)</f>
        <v>0</v>
      </c>
      <c r="X38" s="27">
        <f>IF(AG38="0",J38,0)</f>
        <v>0</v>
      </c>
      <c r="Y38" s="17"/>
      <c r="Z38" s="25">
        <f>IF(AD38=0,J38,0)</f>
        <v>0</v>
      </c>
      <c r="AA38" s="25">
        <f>IF(AD38=15,J38,0)</f>
        <v>0</v>
      </c>
      <c r="AB38" s="25">
        <f>IF(AD38=21,J38,0)</f>
        <v>0</v>
      </c>
      <c r="AD38" s="27">
        <v>15</v>
      </c>
      <c r="AE38" s="27">
        <f>G38*0.708110516610743</f>
        <v>0</v>
      </c>
      <c r="AF38" s="27">
        <f>G38*(1-0.708110516610743)</f>
        <v>0</v>
      </c>
      <c r="AG38" s="26" t="s">
        <v>28</v>
      </c>
      <c r="AM38" s="27">
        <f>F38*AE38</f>
        <v>0</v>
      </c>
      <c r="AN38" s="27">
        <f>F38*AF38</f>
        <v>0</v>
      </c>
      <c r="AO38" s="28" t="s">
        <v>88</v>
      </c>
      <c r="AP38" s="28" t="s">
        <v>82</v>
      </c>
      <c r="AQ38" s="17" t="s">
        <v>35</v>
      </c>
      <c r="AS38" s="27">
        <f>AM38+AN38</f>
        <v>0</v>
      </c>
      <c r="AT38" s="27">
        <f>G38/(100-AU38)*100</f>
        <v>0</v>
      </c>
      <c r="AU38" s="27">
        <v>0</v>
      </c>
      <c r="AV38" s="27">
        <f>L38</f>
        <v>2.019825</v>
      </c>
    </row>
    <row r="39" spans="1:6" ht="12.75">
      <c r="A39" s="43"/>
      <c r="B39" s="43"/>
      <c r="C39" s="43"/>
      <c r="D39" s="31" t="s">
        <v>112</v>
      </c>
      <c r="E39" s="43"/>
      <c r="F39" s="43"/>
    </row>
    <row r="40" spans="1:48" ht="12.75">
      <c r="A40" s="23" t="s">
        <v>115</v>
      </c>
      <c r="B40" s="23"/>
      <c r="C40" s="23" t="s">
        <v>116</v>
      </c>
      <c r="D40" s="23" t="s">
        <v>117</v>
      </c>
      <c r="E40" s="23" t="s">
        <v>109</v>
      </c>
      <c r="F40" s="24">
        <v>0.15</v>
      </c>
      <c r="G40" s="47">
        <v>0</v>
      </c>
      <c r="H40" s="25">
        <f>F40*AE40</f>
        <v>0</v>
      </c>
      <c r="I40" s="25">
        <f>J40-H40</f>
        <v>0</v>
      </c>
      <c r="J40" s="25">
        <f>F40*G40</f>
        <v>0</v>
      </c>
      <c r="K40" s="25">
        <v>1.00349</v>
      </c>
      <c r="L40" s="25">
        <f>F40*K40</f>
        <v>0.1505235</v>
      </c>
      <c r="M40" s="26" t="s">
        <v>32</v>
      </c>
      <c r="P40" s="27">
        <f>IF(AG40="5",J40,0)</f>
        <v>0</v>
      </c>
      <c r="R40" s="27">
        <f>IF(AG40="1",H40,0)</f>
        <v>0</v>
      </c>
      <c r="S40" s="27">
        <f>IF(AG40="1",I40,0)</f>
        <v>0</v>
      </c>
      <c r="T40" s="27">
        <f>IF(AG40="7",H40,0)</f>
        <v>0</v>
      </c>
      <c r="U40" s="27">
        <f>IF(AG40="7",I40,0)</f>
        <v>0</v>
      </c>
      <c r="V40" s="27">
        <f>IF(AG40="2",H40,0)</f>
        <v>0</v>
      </c>
      <c r="W40" s="27">
        <f>IF(AG40="2",I40,0)</f>
        <v>0</v>
      </c>
      <c r="X40" s="27">
        <f>IF(AG40="0",J40,0)</f>
        <v>0</v>
      </c>
      <c r="Y40" s="17"/>
      <c r="Z40" s="25">
        <f>IF(AD40=0,J40,0)</f>
        <v>0</v>
      </c>
      <c r="AA40" s="25">
        <f>IF(AD40=15,J40,0)</f>
        <v>0</v>
      </c>
      <c r="AB40" s="25">
        <f>IF(AD40=21,J40,0)</f>
        <v>0</v>
      </c>
      <c r="AD40" s="27">
        <v>15</v>
      </c>
      <c r="AE40" s="27">
        <f>G40*0.509632715195129</f>
        <v>0</v>
      </c>
      <c r="AF40" s="27">
        <f>G40*(1-0.509632715195129)</f>
        <v>0</v>
      </c>
      <c r="AG40" s="26" t="s">
        <v>28</v>
      </c>
      <c r="AM40" s="27">
        <f>F40*AE40</f>
        <v>0</v>
      </c>
      <c r="AN40" s="27">
        <f>F40*AF40</f>
        <v>0</v>
      </c>
      <c r="AO40" s="28" t="s">
        <v>88</v>
      </c>
      <c r="AP40" s="28" t="s">
        <v>82</v>
      </c>
      <c r="AQ40" s="17" t="s">
        <v>35</v>
      </c>
      <c r="AS40" s="27">
        <f>AM40+AN40</f>
        <v>0</v>
      </c>
      <c r="AT40" s="27">
        <f>G40/(100-AU40)*100</f>
        <v>0</v>
      </c>
      <c r="AU40" s="27">
        <v>0</v>
      </c>
      <c r="AV40" s="27">
        <f>L40</f>
        <v>0.1505235</v>
      </c>
    </row>
    <row r="41" spans="1:48" ht="12.75">
      <c r="A41" s="23" t="s">
        <v>118</v>
      </c>
      <c r="B41" s="23"/>
      <c r="C41" s="23" t="s">
        <v>91</v>
      </c>
      <c r="D41" s="23" t="s">
        <v>92</v>
      </c>
      <c r="E41" s="23" t="s">
        <v>31</v>
      </c>
      <c r="F41" s="24">
        <v>8</v>
      </c>
      <c r="G41" s="47">
        <v>0</v>
      </c>
      <c r="H41" s="25">
        <f>F41*AE41</f>
        <v>0</v>
      </c>
      <c r="I41" s="25">
        <f>J41-H41</f>
        <v>0</v>
      </c>
      <c r="J41" s="25">
        <f>F41*G41</f>
        <v>0</v>
      </c>
      <c r="K41" s="25">
        <v>2.525</v>
      </c>
      <c r="L41" s="25">
        <f>F41*K41</f>
        <v>20.2</v>
      </c>
      <c r="M41" s="26" t="s">
        <v>32</v>
      </c>
      <c r="P41" s="27">
        <f>IF(AG41="5",J41,0)</f>
        <v>0</v>
      </c>
      <c r="R41" s="27">
        <f>IF(AG41="1",H41,0)</f>
        <v>0</v>
      </c>
      <c r="S41" s="27">
        <f>IF(AG41="1",I41,0)</f>
        <v>0</v>
      </c>
      <c r="T41" s="27">
        <f>IF(AG41="7",H41,0)</f>
        <v>0</v>
      </c>
      <c r="U41" s="27">
        <f>IF(AG41="7",I41,0)</f>
        <v>0</v>
      </c>
      <c r="V41" s="27">
        <f>IF(AG41="2",H41,0)</f>
        <v>0</v>
      </c>
      <c r="W41" s="27">
        <f>IF(AG41="2",I41,0)</f>
        <v>0</v>
      </c>
      <c r="X41" s="27">
        <f>IF(AG41="0",J41,0)</f>
        <v>0</v>
      </c>
      <c r="Y41" s="17"/>
      <c r="Z41" s="25">
        <f>IF(AD41=0,J41,0)</f>
        <v>0</v>
      </c>
      <c r="AA41" s="25">
        <f>IF(AD41=15,J41,0)</f>
        <v>0</v>
      </c>
      <c r="AB41" s="25">
        <f>IF(AD41=21,J41,0)</f>
        <v>0</v>
      </c>
      <c r="AD41" s="27">
        <v>15</v>
      </c>
      <c r="AE41" s="27">
        <f>G41*0.887088147918436</f>
        <v>0</v>
      </c>
      <c r="AF41" s="27">
        <f>G41*(1-0.887088147918436)</f>
        <v>0</v>
      </c>
      <c r="AG41" s="26" t="s">
        <v>28</v>
      </c>
      <c r="AM41" s="27">
        <f>F41*AE41</f>
        <v>0</v>
      </c>
      <c r="AN41" s="27">
        <f>F41*AF41</f>
        <v>0</v>
      </c>
      <c r="AO41" s="28" t="s">
        <v>88</v>
      </c>
      <c r="AP41" s="28" t="s">
        <v>82</v>
      </c>
      <c r="AQ41" s="17" t="s">
        <v>35</v>
      </c>
      <c r="AS41" s="27">
        <f>AM41+AN41</f>
        <v>0</v>
      </c>
      <c r="AT41" s="27">
        <f>G41/(100-AU41)*100</f>
        <v>0</v>
      </c>
      <c r="AU41" s="27">
        <v>0</v>
      </c>
      <c r="AV41" s="27">
        <f>L41</f>
        <v>20.2</v>
      </c>
    </row>
    <row r="42" spans="1:6" ht="12.75">
      <c r="A42" s="43"/>
      <c r="B42" s="43"/>
      <c r="C42" s="43"/>
      <c r="D42" s="31" t="s">
        <v>50</v>
      </c>
      <c r="E42" s="43"/>
      <c r="F42" s="43"/>
    </row>
    <row r="43" spans="1:37" ht="12.75">
      <c r="A43" s="29"/>
      <c r="B43" s="30"/>
      <c r="C43" s="30" t="s">
        <v>119</v>
      </c>
      <c r="D43" s="30" t="s">
        <v>120</v>
      </c>
      <c r="E43" s="29" t="s">
        <v>10</v>
      </c>
      <c r="F43" s="29" t="s">
        <v>10</v>
      </c>
      <c r="G43" s="48" t="s">
        <v>10</v>
      </c>
      <c r="H43" s="22">
        <f>SUM(H44:H44)</f>
        <v>0</v>
      </c>
      <c r="I43" s="22">
        <f>SUM(I44:I44)</f>
        <v>0</v>
      </c>
      <c r="J43" s="22">
        <f>H43+I43</f>
        <v>0</v>
      </c>
      <c r="K43" s="17"/>
      <c r="L43" s="22">
        <f>SUM(L44:L44)</f>
        <v>0.07787999999999999</v>
      </c>
      <c r="M43" s="17"/>
      <c r="Y43" s="17"/>
      <c r="AI43" s="22">
        <f>SUM(Z44:Z44)</f>
        <v>0</v>
      </c>
      <c r="AJ43" s="22">
        <f>SUM(AA44:AA44)</f>
        <v>0</v>
      </c>
      <c r="AK43" s="22">
        <f>SUM(AB44:AB44)</f>
        <v>0</v>
      </c>
    </row>
    <row r="44" spans="1:48" ht="12.75">
      <c r="A44" s="23" t="s">
        <v>121</v>
      </c>
      <c r="B44" s="23"/>
      <c r="C44" s="23" t="s">
        <v>122</v>
      </c>
      <c r="D44" s="23" t="s">
        <v>123</v>
      </c>
      <c r="E44" s="23" t="s">
        <v>75</v>
      </c>
      <c r="F44" s="24">
        <v>155.76</v>
      </c>
      <c r="G44" s="47">
        <v>0</v>
      </c>
      <c r="H44" s="25">
        <f>F44*AE44</f>
        <v>0</v>
      </c>
      <c r="I44" s="25">
        <f>J44-H44</f>
        <v>0</v>
      </c>
      <c r="J44" s="25">
        <f>F44*G44</f>
        <v>0</v>
      </c>
      <c r="K44" s="25">
        <v>0.0005</v>
      </c>
      <c r="L44" s="25">
        <f>F44*K44</f>
        <v>0.07787999999999999</v>
      </c>
      <c r="M44" s="26" t="s">
        <v>32</v>
      </c>
      <c r="P44" s="27">
        <f>IF(AG44="5",J44,0)</f>
        <v>0</v>
      </c>
      <c r="R44" s="27">
        <f>IF(AG44="1",H44,0)</f>
        <v>0</v>
      </c>
      <c r="S44" s="27">
        <f>IF(AG44="1",I44,0)</f>
        <v>0</v>
      </c>
      <c r="T44" s="27">
        <f>IF(AG44="7",H44,0)</f>
        <v>0</v>
      </c>
      <c r="U44" s="27">
        <f>IF(AG44="7",I44,0)</f>
        <v>0</v>
      </c>
      <c r="V44" s="27">
        <f>IF(AG44="2",H44,0)</f>
        <v>0</v>
      </c>
      <c r="W44" s="27">
        <f>IF(AG44="2",I44,0)</f>
        <v>0</v>
      </c>
      <c r="X44" s="27">
        <f>IF(AG44="0",J44,0)</f>
        <v>0</v>
      </c>
      <c r="Y44" s="17"/>
      <c r="Z44" s="25">
        <f>IF(AD44=0,J44,0)</f>
        <v>0</v>
      </c>
      <c r="AA44" s="25">
        <f>IF(AD44=15,J44,0)</f>
        <v>0</v>
      </c>
      <c r="AB44" s="25">
        <f>IF(AD44=21,J44,0)</f>
        <v>0</v>
      </c>
      <c r="AD44" s="27">
        <v>15</v>
      </c>
      <c r="AE44" s="27">
        <f>G44*0.319979528876195</f>
        <v>0</v>
      </c>
      <c r="AF44" s="27">
        <f>G44*(1-0.319979528876195)</f>
        <v>0</v>
      </c>
      <c r="AG44" s="26" t="s">
        <v>28</v>
      </c>
      <c r="AM44" s="27">
        <f>F44*AE44</f>
        <v>0</v>
      </c>
      <c r="AN44" s="27">
        <f>F44*AF44</f>
        <v>0</v>
      </c>
      <c r="AO44" s="28" t="s">
        <v>124</v>
      </c>
      <c r="AP44" s="28" t="s">
        <v>82</v>
      </c>
      <c r="AQ44" s="17" t="s">
        <v>35</v>
      </c>
      <c r="AS44" s="27">
        <f>AM44+AN44</f>
        <v>0</v>
      </c>
      <c r="AT44" s="27">
        <f>G44/(100-AU44)*100</f>
        <v>0</v>
      </c>
      <c r="AU44" s="27">
        <v>0</v>
      </c>
      <c r="AV44" s="27">
        <f>L44</f>
        <v>0.07787999999999999</v>
      </c>
    </row>
    <row r="45" spans="1:37" ht="12.75">
      <c r="A45" s="29"/>
      <c r="B45" s="30"/>
      <c r="C45" s="30" t="s">
        <v>125</v>
      </c>
      <c r="D45" s="30" t="s">
        <v>126</v>
      </c>
      <c r="E45" s="29" t="s">
        <v>10</v>
      </c>
      <c r="F45" s="29" t="s">
        <v>10</v>
      </c>
      <c r="G45" s="48" t="s">
        <v>10</v>
      </c>
      <c r="H45" s="22">
        <f>SUM(H46:H63)</f>
        <v>0</v>
      </c>
      <c r="I45" s="22">
        <f>SUM(I46:I63)</f>
        <v>0</v>
      </c>
      <c r="J45" s="22">
        <f>H45+I45</f>
        <v>0</v>
      </c>
      <c r="K45" s="17"/>
      <c r="L45" s="22">
        <f>SUM(L46:L63)</f>
        <v>59.601512580000005</v>
      </c>
      <c r="M45" s="17"/>
      <c r="Y45" s="17"/>
      <c r="AI45" s="22">
        <f>SUM(Z46:Z63)</f>
        <v>0</v>
      </c>
      <c r="AJ45" s="22">
        <f>SUM(AA46:AA63)</f>
        <v>0</v>
      </c>
      <c r="AK45" s="22">
        <f>SUM(AB46:AB63)</f>
        <v>0</v>
      </c>
    </row>
    <row r="46" spans="1:48" ht="12.75">
      <c r="A46" s="23" t="s">
        <v>127</v>
      </c>
      <c r="B46" s="23"/>
      <c r="C46" s="23" t="s">
        <v>128</v>
      </c>
      <c r="D46" s="23" t="s">
        <v>129</v>
      </c>
      <c r="E46" s="23" t="s">
        <v>75</v>
      </c>
      <c r="F46" s="24">
        <v>15.977</v>
      </c>
      <c r="G46" s="47">
        <v>0</v>
      </c>
      <c r="H46" s="25">
        <f aca="true" t="shared" si="0" ref="H46:H60">F46*AE46</f>
        <v>0</v>
      </c>
      <c r="I46" s="25">
        <f aca="true" t="shared" si="1" ref="I46:I60">J46-H46</f>
        <v>0</v>
      </c>
      <c r="J46" s="25">
        <f aca="true" t="shared" si="2" ref="J46:J60">F46*G46</f>
        <v>0</v>
      </c>
      <c r="K46" s="25">
        <v>0.13902</v>
      </c>
      <c r="L46" s="25">
        <f aca="true" t="shared" si="3" ref="L46:L60">F46*K46</f>
        <v>2.22112254</v>
      </c>
      <c r="M46" s="26" t="s">
        <v>32</v>
      </c>
      <c r="P46" s="27">
        <f aca="true" t="shared" si="4" ref="P46:P60">IF(AG46="5",J46,0)</f>
        <v>0</v>
      </c>
      <c r="R46" s="27">
        <f aca="true" t="shared" si="5" ref="R46:R60">IF(AG46="1",H46,0)</f>
        <v>0</v>
      </c>
      <c r="S46" s="27">
        <f aca="true" t="shared" si="6" ref="S46:S60">IF(AG46="1",I46,0)</f>
        <v>0</v>
      </c>
      <c r="T46" s="27">
        <f aca="true" t="shared" si="7" ref="T46:T60">IF(AG46="7",H46,0)</f>
        <v>0</v>
      </c>
      <c r="U46" s="27">
        <f aca="true" t="shared" si="8" ref="U46:U60">IF(AG46="7",I46,0)</f>
        <v>0</v>
      </c>
      <c r="V46" s="27">
        <f aca="true" t="shared" si="9" ref="V46:V60">IF(AG46="2",H46,0)</f>
        <v>0</v>
      </c>
      <c r="W46" s="27">
        <f aca="true" t="shared" si="10" ref="W46:W60">IF(AG46="2",I46,0)</f>
        <v>0</v>
      </c>
      <c r="X46" s="27">
        <f aca="true" t="shared" si="11" ref="X46:X60">IF(AG46="0",J46,0)</f>
        <v>0</v>
      </c>
      <c r="Y46" s="17"/>
      <c r="Z46" s="25">
        <f aca="true" t="shared" si="12" ref="Z46:Z60">IF(AD46=0,J46,0)</f>
        <v>0</v>
      </c>
      <c r="AA46" s="25">
        <f aca="true" t="shared" si="13" ref="AA46:AA60">IF(AD46=15,J46,0)</f>
        <v>0</v>
      </c>
      <c r="AB46" s="25">
        <f aca="true" t="shared" si="14" ref="AB46:AB60">IF(AD46=21,J46,0)</f>
        <v>0</v>
      </c>
      <c r="AD46" s="27">
        <v>15</v>
      </c>
      <c r="AE46" s="27">
        <f>G46*0.708565776875677</f>
        <v>0</v>
      </c>
      <c r="AF46" s="27">
        <f>G46*(1-0.708565776875677)</f>
        <v>0</v>
      </c>
      <c r="AG46" s="26" t="s">
        <v>28</v>
      </c>
      <c r="AM46" s="27">
        <f aca="true" t="shared" si="15" ref="AM46:AM60">F46*AE46</f>
        <v>0</v>
      </c>
      <c r="AN46" s="27">
        <f aca="true" t="shared" si="16" ref="AN46:AN60">F46*AF46</f>
        <v>0</v>
      </c>
      <c r="AO46" s="28" t="s">
        <v>130</v>
      </c>
      <c r="AP46" s="28" t="s">
        <v>131</v>
      </c>
      <c r="AQ46" s="17" t="s">
        <v>35</v>
      </c>
      <c r="AS46" s="27">
        <f aca="true" t="shared" si="17" ref="AS46:AS60">AM46+AN46</f>
        <v>0</v>
      </c>
      <c r="AT46" s="27">
        <f aca="true" t="shared" si="18" ref="AT46:AT60">G46/(100-AU46)*100</f>
        <v>0</v>
      </c>
      <c r="AU46" s="27">
        <v>0</v>
      </c>
      <c r="AV46" s="27">
        <f aca="true" t="shared" si="19" ref="AV46:AV60">L46</f>
        <v>2.22112254</v>
      </c>
    </row>
    <row r="47" spans="1:48" ht="12.75">
      <c r="A47" s="23" t="s">
        <v>84</v>
      </c>
      <c r="B47" s="23"/>
      <c r="C47" s="23" t="s">
        <v>132</v>
      </c>
      <c r="D47" s="23" t="s">
        <v>133</v>
      </c>
      <c r="E47" s="23" t="s">
        <v>75</v>
      </c>
      <c r="F47" s="24">
        <v>49.269</v>
      </c>
      <c r="G47" s="47">
        <v>0</v>
      </c>
      <c r="H47" s="25">
        <f t="shared" si="0"/>
        <v>0</v>
      </c>
      <c r="I47" s="25">
        <f t="shared" si="1"/>
        <v>0</v>
      </c>
      <c r="J47" s="25">
        <f t="shared" si="2"/>
        <v>0</v>
      </c>
      <c r="K47" s="25">
        <v>0.22062</v>
      </c>
      <c r="L47" s="25">
        <f t="shared" si="3"/>
        <v>10.86972678</v>
      </c>
      <c r="M47" s="26" t="s">
        <v>32</v>
      </c>
      <c r="P47" s="27">
        <f t="shared" si="4"/>
        <v>0</v>
      </c>
      <c r="R47" s="27">
        <f t="shared" si="5"/>
        <v>0</v>
      </c>
      <c r="S47" s="27">
        <f t="shared" si="6"/>
        <v>0</v>
      </c>
      <c r="T47" s="27">
        <f t="shared" si="7"/>
        <v>0</v>
      </c>
      <c r="U47" s="27">
        <f t="shared" si="8"/>
        <v>0</v>
      </c>
      <c r="V47" s="27">
        <f t="shared" si="9"/>
        <v>0</v>
      </c>
      <c r="W47" s="27">
        <f t="shared" si="10"/>
        <v>0</v>
      </c>
      <c r="X47" s="27">
        <f t="shared" si="11"/>
        <v>0</v>
      </c>
      <c r="Y47" s="17"/>
      <c r="Z47" s="25">
        <f t="shared" si="12"/>
        <v>0</v>
      </c>
      <c r="AA47" s="25">
        <f t="shared" si="13"/>
        <v>0</v>
      </c>
      <c r="AB47" s="25">
        <f t="shared" si="14"/>
        <v>0</v>
      </c>
      <c r="AD47" s="27">
        <v>15</v>
      </c>
      <c r="AE47" s="27">
        <f>G47*0.71455602681387</f>
        <v>0</v>
      </c>
      <c r="AF47" s="27">
        <f>G47*(1-0.71455602681387)</f>
        <v>0</v>
      </c>
      <c r="AG47" s="26" t="s">
        <v>28</v>
      </c>
      <c r="AM47" s="27">
        <f t="shared" si="15"/>
        <v>0</v>
      </c>
      <c r="AN47" s="27">
        <f t="shared" si="16"/>
        <v>0</v>
      </c>
      <c r="AO47" s="28" t="s">
        <v>130</v>
      </c>
      <c r="AP47" s="28" t="s">
        <v>131</v>
      </c>
      <c r="AQ47" s="17" t="s">
        <v>35</v>
      </c>
      <c r="AS47" s="27">
        <f t="shared" si="17"/>
        <v>0</v>
      </c>
      <c r="AT47" s="27">
        <f t="shared" si="18"/>
        <v>0</v>
      </c>
      <c r="AU47" s="27">
        <v>0</v>
      </c>
      <c r="AV47" s="27">
        <f t="shared" si="19"/>
        <v>10.86972678</v>
      </c>
    </row>
    <row r="48" spans="1:48" ht="12.75">
      <c r="A48" s="23" t="s">
        <v>119</v>
      </c>
      <c r="B48" s="23"/>
      <c r="C48" s="23" t="s">
        <v>134</v>
      </c>
      <c r="D48" s="23" t="s">
        <v>135</v>
      </c>
      <c r="E48" s="23" t="s">
        <v>75</v>
      </c>
      <c r="F48" s="24">
        <v>193.717</v>
      </c>
      <c r="G48" s="47">
        <v>0</v>
      </c>
      <c r="H48" s="25">
        <f t="shared" si="0"/>
        <v>0</v>
      </c>
      <c r="I48" s="25">
        <f t="shared" si="1"/>
        <v>0</v>
      </c>
      <c r="J48" s="25">
        <f t="shared" si="2"/>
        <v>0</v>
      </c>
      <c r="K48" s="25">
        <v>0.2043</v>
      </c>
      <c r="L48" s="25">
        <f t="shared" si="3"/>
        <v>39.5763831</v>
      </c>
      <c r="M48" s="26" t="s">
        <v>32</v>
      </c>
      <c r="P48" s="27">
        <f t="shared" si="4"/>
        <v>0</v>
      </c>
      <c r="R48" s="27">
        <f t="shared" si="5"/>
        <v>0</v>
      </c>
      <c r="S48" s="27">
        <f t="shared" si="6"/>
        <v>0</v>
      </c>
      <c r="T48" s="27">
        <f t="shared" si="7"/>
        <v>0</v>
      </c>
      <c r="U48" s="27">
        <f t="shared" si="8"/>
        <v>0</v>
      </c>
      <c r="V48" s="27">
        <f t="shared" si="9"/>
        <v>0</v>
      </c>
      <c r="W48" s="27">
        <f t="shared" si="10"/>
        <v>0</v>
      </c>
      <c r="X48" s="27">
        <f t="shared" si="11"/>
        <v>0</v>
      </c>
      <c r="Y48" s="17"/>
      <c r="Z48" s="25">
        <f t="shared" si="12"/>
        <v>0</v>
      </c>
      <c r="AA48" s="25">
        <f t="shared" si="13"/>
        <v>0</v>
      </c>
      <c r="AB48" s="25">
        <f t="shared" si="14"/>
        <v>0</v>
      </c>
      <c r="AD48" s="27">
        <v>15</v>
      </c>
      <c r="AE48" s="27">
        <f>G48*0.741308566330432</f>
        <v>0</v>
      </c>
      <c r="AF48" s="27">
        <f>G48*(1-0.741308566330432)</f>
        <v>0</v>
      </c>
      <c r="AG48" s="26" t="s">
        <v>28</v>
      </c>
      <c r="AM48" s="27">
        <f t="shared" si="15"/>
        <v>0</v>
      </c>
      <c r="AN48" s="27">
        <f t="shared" si="16"/>
        <v>0</v>
      </c>
      <c r="AO48" s="28" t="s">
        <v>130</v>
      </c>
      <c r="AP48" s="28" t="s">
        <v>131</v>
      </c>
      <c r="AQ48" s="17" t="s">
        <v>35</v>
      </c>
      <c r="AS48" s="27">
        <f t="shared" si="17"/>
        <v>0</v>
      </c>
      <c r="AT48" s="27">
        <f t="shared" si="18"/>
        <v>0</v>
      </c>
      <c r="AU48" s="27">
        <v>0</v>
      </c>
      <c r="AV48" s="27">
        <f t="shared" si="19"/>
        <v>39.5763831</v>
      </c>
    </row>
    <row r="49" spans="1:48" ht="12.75">
      <c r="A49" s="23" t="s">
        <v>136</v>
      </c>
      <c r="B49" s="23"/>
      <c r="C49" s="23" t="s">
        <v>137</v>
      </c>
      <c r="D49" s="23" t="s">
        <v>138</v>
      </c>
      <c r="E49" s="23" t="s">
        <v>139</v>
      </c>
      <c r="F49" s="24">
        <v>5</v>
      </c>
      <c r="G49" s="47">
        <v>0</v>
      </c>
      <c r="H49" s="25">
        <f t="shared" si="0"/>
        <v>0</v>
      </c>
      <c r="I49" s="25">
        <f t="shared" si="1"/>
        <v>0</v>
      </c>
      <c r="J49" s="25">
        <f t="shared" si="2"/>
        <v>0</v>
      </c>
      <c r="K49" s="25">
        <v>0.01624</v>
      </c>
      <c r="L49" s="25">
        <f t="shared" si="3"/>
        <v>0.08120000000000001</v>
      </c>
      <c r="M49" s="26" t="s">
        <v>32</v>
      </c>
      <c r="P49" s="27">
        <f t="shared" si="4"/>
        <v>0</v>
      </c>
      <c r="R49" s="27">
        <f t="shared" si="5"/>
        <v>0</v>
      </c>
      <c r="S49" s="27">
        <f t="shared" si="6"/>
        <v>0</v>
      </c>
      <c r="T49" s="27">
        <f t="shared" si="7"/>
        <v>0</v>
      </c>
      <c r="U49" s="27">
        <f t="shared" si="8"/>
        <v>0</v>
      </c>
      <c r="V49" s="27">
        <f t="shared" si="9"/>
        <v>0</v>
      </c>
      <c r="W49" s="27">
        <f t="shared" si="10"/>
        <v>0</v>
      </c>
      <c r="X49" s="27">
        <f t="shared" si="11"/>
        <v>0</v>
      </c>
      <c r="Y49" s="17"/>
      <c r="Z49" s="25">
        <f t="shared" si="12"/>
        <v>0</v>
      </c>
      <c r="AA49" s="25">
        <f t="shared" si="13"/>
        <v>0</v>
      </c>
      <c r="AB49" s="25">
        <f t="shared" si="14"/>
        <v>0</v>
      </c>
      <c r="AD49" s="27">
        <v>15</v>
      </c>
      <c r="AE49" s="27">
        <f>G49*0.539949494949495</f>
        <v>0</v>
      </c>
      <c r="AF49" s="27">
        <f>G49*(1-0.539949494949495)</f>
        <v>0</v>
      </c>
      <c r="AG49" s="26" t="s">
        <v>28</v>
      </c>
      <c r="AM49" s="27">
        <f t="shared" si="15"/>
        <v>0</v>
      </c>
      <c r="AN49" s="27">
        <f t="shared" si="16"/>
        <v>0</v>
      </c>
      <c r="AO49" s="28" t="s">
        <v>130</v>
      </c>
      <c r="AP49" s="28" t="s">
        <v>131</v>
      </c>
      <c r="AQ49" s="17" t="s">
        <v>35</v>
      </c>
      <c r="AS49" s="27">
        <f t="shared" si="17"/>
        <v>0</v>
      </c>
      <c r="AT49" s="27">
        <f t="shared" si="18"/>
        <v>0</v>
      </c>
      <c r="AU49" s="27">
        <v>0</v>
      </c>
      <c r="AV49" s="27">
        <f t="shared" si="19"/>
        <v>0.08120000000000001</v>
      </c>
    </row>
    <row r="50" spans="1:48" ht="12.75">
      <c r="A50" s="23" t="s">
        <v>140</v>
      </c>
      <c r="B50" s="23"/>
      <c r="C50" s="23" t="s">
        <v>141</v>
      </c>
      <c r="D50" s="23" t="s">
        <v>142</v>
      </c>
      <c r="E50" s="23" t="s">
        <v>139</v>
      </c>
      <c r="F50" s="24">
        <v>6</v>
      </c>
      <c r="G50" s="47">
        <v>0</v>
      </c>
      <c r="H50" s="25">
        <f t="shared" si="0"/>
        <v>0</v>
      </c>
      <c r="I50" s="25">
        <f t="shared" si="1"/>
        <v>0</v>
      </c>
      <c r="J50" s="25">
        <f t="shared" si="2"/>
        <v>0</v>
      </c>
      <c r="K50" s="25">
        <v>0.02161</v>
      </c>
      <c r="L50" s="25">
        <f t="shared" si="3"/>
        <v>0.12966</v>
      </c>
      <c r="M50" s="26" t="s">
        <v>32</v>
      </c>
      <c r="P50" s="27">
        <f t="shared" si="4"/>
        <v>0</v>
      </c>
      <c r="R50" s="27">
        <f t="shared" si="5"/>
        <v>0</v>
      </c>
      <c r="S50" s="27">
        <f t="shared" si="6"/>
        <v>0</v>
      </c>
      <c r="T50" s="27">
        <f t="shared" si="7"/>
        <v>0</v>
      </c>
      <c r="U50" s="27">
        <f t="shared" si="8"/>
        <v>0</v>
      </c>
      <c r="V50" s="27">
        <f t="shared" si="9"/>
        <v>0</v>
      </c>
      <c r="W50" s="27">
        <f t="shared" si="10"/>
        <v>0</v>
      </c>
      <c r="X50" s="27">
        <f t="shared" si="11"/>
        <v>0</v>
      </c>
      <c r="Y50" s="17"/>
      <c r="Z50" s="25">
        <f t="shared" si="12"/>
        <v>0</v>
      </c>
      <c r="AA50" s="25">
        <f t="shared" si="13"/>
        <v>0</v>
      </c>
      <c r="AB50" s="25">
        <f t="shared" si="14"/>
        <v>0</v>
      </c>
      <c r="AD50" s="27">
        <v>15</v>
      </c>
      <c r="AE50" s="27">
        <f>G50*0.548303249097473</f>
        <v>0</v>
      </c>
      <c r="AF50" s="27">
        <f>G50*(1-0.548303249097473)</f>
        <v>0</v>
      </c>
      <c r="AG50" s="26" t="s">
        <v>28</v>
      </c>
      <c r="AM50" s="27">
        <f t="shared" si="15"/>
        <v>0</v>
      </c>
      <c r="AN50" s="27">
        <f t="shared" si="16"/>
        <v>0</v>
      </c>
      <c r="AO50" s="28" t="s">
        <v>130</v>
      </c>
      <c r="AP50" s="28" t="s">
        <v>131</v>
      </c>
      <c r="AQ50" s="17" t="s">
        <v>35</v>
      </c>
      <c r="AS50" s="27">
        <f t="shared" si="17"/>
        <v>0</v>
      </c>
      <c r="AT50" s="27">
        <f t="shared" si="18"/>
        <v>0</v>
      </c>
      <c r="AU50" s="27">
        <v>0</v>
      </c>
      <c r="AV50" s="27">
        <f t="shared" si="19"/>
        <v>0.12966</v>
      </c>
    </row>
    <row r="51" spans="1:48" ht="12.75">
      <c r="A51" s="23" t="s">
        <v>125</v>
      </c>
      <c r="B51" s="23"/>
      <c r="C51" s="23" t="s">
        <v>143</v>
      </c>
      <c r="D51" s="23" t="s">
        <v>144</v>
      </c>
      <c r="E51" s="23" t="s">
        <v>139</v>
      </c>
      <c r="F51" s="24">
        <v>1</v>
      </c>
      <c r="G51" s="47">
        <v>0</v>
      </c>
      <c r="H51" s="25">
        <f t="shared" si="0"/>
        <v>0</v>
      </c>
      <c r="I51" s="25">
        <f t="shared" si="1"/>
        <v>0</v>
      </c>
      <c r="J51" s="25">
        <f t="shared" si="2"/>
        <v>0</v>
      </c>
      <c r="K51" s="25">
        <v>0.03308</v>
      </c>
      <c r="L51" s="25">
        <f t="shared" si="3"/>
        <v>0.03308</v>
      </c>
      <c r="M51" s="26" t="s">
        <v>32</v>
      </c>
      <c r="P51" s="27">
        <f t="shared" si="4"/>
        <v>0</v>
      </c>
      <c r="R51" s="27">
        <f t="shared" si="5"/>
        <v>0</v>
      </c>
      <c r="S51" s="27">
        <f t="shared" si="6"/>
        <v>0</v>
      </c>
      <c r="T51" s="27">
        <f t="shared" si="7"/>
        <v>0</v>
      </c>
      <c r="U51" s="27">
        <f t="shared" si="8"/>
        <v>0</v>
      </c>
      <c r="V51" s="27">
        <f t="shared" si="9"/>
        <v>0</v>
      </c>
      <c r="W51" s="27">
        <f t="shared" si="10"/>
        <v>0</v>
      </c>
      <c r="X51" s="27">
        <f t="shared" si="11"/>
        <v>0</v>
      </c>
      <c r="Y51" s="17"/>
      <c r="Z51" s="25">
        <f t="shared" si="12"/>
        <v>0</v>
      </c>
      <c r="AA51" s="25">
        <f t="shared" si="13"/>
        <v>0</v>
      </c>
      <c r="AB51" s="25">
        <f t="shared" si="14"/>
        <v>0</v>
      </c>
      <c r="AD51" s="27">
        <v>15</v>
      </c>
      <c r="AE51" s="27">
        <f>G51*0.637562913907285</f>
        <v>0</v>
      </c>
      <c r="AF51" s="27">
        <f>G51*(1-0.637562913907285)</f>
        <v>0</v>
      </c>
      <c r="AG51" s="26" t="s">
        <v>28</v>
      </c>
      <c r="AM51" s="27">
        <f t="shared" si="15"/>
        <v>0</v>
      </c>
      <c r="AN51" s="27">
        <f t="shared" si="16"/>
        <v>0</v>
      </c>
      <c r="AO51" s="28" t="s">
        <v>130</v>
      </c>
      <c r="AP51" s="28" t="s">
        <v>131</v>
      </c>
      <c r="AQ51" s="17" t="s">
        <v>35</v>
      </c>
      <c r="AS51" s="27">
        <f t="shared" si="17"/>
        <v>0</v>
      </c>
      <c r="AT51" s="27">
        <f t="shared" si="18"/>
        <v>0</v>
      </c>
      <c r="AU51" s="27">
        <v>0</v>
      </c>
      <c r="AV51" s="27">
        <f t="shared" si="19"/>
        <v>0.03308</v>
      </c>
    </row>
    <row r="52" spans="1:48" ht="12.75">
      <c r="A52" s="23" t="s">
        <v>145</v>
      </c>
      <c r="B52" s="23"/>
      <c r="C52" s="23" t="s">
        <v>146</v>
      </c>
      <c r="D52" s="23" t="s">
        <v>147</v>
      </c>
      <c r="E52" s="23" t="s">
        <v>139</v>
      </c>
      <c r="F52" s="24">
        <v>1</v>
      </c>
      <c r="G52" s="47">
        <v>0</v>
      </c>
      <c r="H52" s="25">
        <f t="shared" si="0"/>
        <v>0</v>
      </c>
      <c r="I52" s="25">
        <f t="shared" si="1"/>
        <v>0</v>
      </c>
      <c r="J52" s="25">
        <f t="shared" si="2"/>
        <v>0</v>
      </c>
      <c r="K52" s="25">
        <v>0.09079</v>
      </c>
      <c r="L52" s="25">
        <f t="shared" si="3"/>
        <v>0.09079</v>
      </c>
      <c r="M52" s="26" t="s">
        <v>32</v>
      </c>
      <c r="P52" s="27">
        <f t="shared" si="4"/>
        <v>0</v>
      </c>
      <c r="R52" s="27">
        <f t="shared" si="5"/>
        <v>0</v>
      </c>
      <c r="S52" s="27">
        <f t="shared" si="6"/>
        <v>0</v>
      </c>
      <c r="T52" s="27">
        <f t="shared" si="7"/>
        <v>0</v>
      </c>
      <c r="U52" s="27">
        <f t="shared" si="8"/>
        <v>0</v>
      </c>
      <c r="V52" s="27">
        <f t="shared" si="9"/>
        <v>0</v>
      </c>
      <c r="W52" s="27">
        <f t="shared" si="10"/>
        <v>0</v>
      </c>
      <c r="X52" s="27">
        <f t="shared" si="11"/>
        <v>0</v>
      </c>
      <c r="Y52" s="17"/>
      <c r="Z52" s="25">
        <f t="shared" si="12"/>
        <v>0</v>
      </c>
      <c r="AA52" s="25">
        <f t="shared" si="13"/>
        <v>0</v>
      </c>
      <c r="AB52" s="25">
        <f t="shared" si="14"/>
        <v>0</v>
      </c>
      <c r="AD52" s="27">
        <v>15</v>
      </c>
      <c r="AE52" s="27">
        <f>G52*0.679591448479228</f>
        <v>0</v>
      </c>
      <c r="AF52" s="27">
        <f>G52*(1-0.679591448479228)</f>
        <v>0</v>
      </c>
      <c r="AG52" s="26" t="s">
        <v>28</v>
      </c>
      <c r="AM52" s="27">
        <f t="shared" si="15"/>
        <v>0</v>
      </c>
      <c r="AN52" s="27">
        <f t="shared" si="16"/>
        <v>0</v>
      </c>
      <c r="AO52" s="28" t="s">
        <v>130</v>
      </c>
      <c r="AP52" s="28" t="s">
        <v>131</v>
      </c>
      <c r="AQ52" s="17" t="s">
        <v>35</v>
      </c>
      <c r="AS52" s="27">
        <f t="shared" si="17"/>
        <v>0</v>
      </c>
      <c r="AT52" s="27">
        <f t="shared" si="18"/>
        <v>0</v>
      </c>
      <c r="AU52" s="27">
        <v>0</v>
      </c>
      <c r="AV52" s="27">
        <f t="shared" si="19"/>
        <v>0.09079</v>
      </c>
    </row>
    <row r="53" spans="1:48" ht="12.75">
      <c r="A53" s="23" t="s">
        <v>148</v>
      </c>
      <c r="B53" s="23"/>
      <c r="C53" s="23" t="s">
        <v>149</v>
      </c>
      <c r="D53" s="23" t="s">
        <v>150</v>
      </c>
      <c r="E53" s="23" t="s">
        <v>139</v>
      </c>
      <c r="F53" s="24">
        <v>2</v>
      </c>
      <c r="G53" s="47">
        <v>0</v>
      </c>
      <c r="H53" s="25">
        <f t="shared" si="0"/>
        <v>0</v>
      </c>
      <c r="I53" s="25">
        <f t="shared" si="1"/>
        <v>0</v>
      </c>
      <c r="J53" s="25">
        <f t="shared" si="2"/>
        <v>0</v>
      </c>
      <c r="K53" s="25">
        <v>0.18116</v>
      </c>
      <c r="L53" s="25">
        <f t="shared" si="3"/>
        <v>0.36232</v>
      </c>
      <c r="M53" s="26" t="s">
        <v>32</v>
      </c>
      <c r="P53" s="27">
        <f t="shared" si="4"/>
        <v>0</v>
      </c>
      <c r="R53" s="27">
        <f t="shared" si="5"/>
        <v>0</v>
      </c>
      <c r="S53" s="27">
        <f t="shared" si="6"/>
        <v>0</v>
      </c>
      <c r="T53" s="27">
        <f t="shared" si="7"/>
        <v>0</v>
      </c>
      <c r="U53" s="27">
        <f t="shared" si="8"/>
        <v>0</v>
      </c>
      <c r="V53" s="27">
        <f t="shared" si="9"/>
        <v>0</v>
      </c>
      <c r="W53" s="27">
        <f t="shared" si="10"/>
        <v>0</v>
      </c>
      <c r="X53" s="27">
        <f t="shared" si="11"/>
        <v>0</v>
      </c>
      <c r="Y53" s="17"/>
      <c r="Z53" s="25">
        <f t="shared" si="12"/>
        <v>0</v>
      </c>
      <c r="AA53" s="25">
        <f t="shared" si="13"/>
        <v>0</v>
      </c>
      <c r="AB53" s="25">
        <f t="shared" si="14"/>
        <v>0</v>
      </c>
      <c r="AD53" s="27">
        <v>15</v>
      </c>
      <c r="AE53" s="27">
        <f>G53*0.714047466324567</f>
        <v>0</v>
      </c>
      <c r="AF53" s="27">
        <f>G53*(1-0.714047466324567)</f>
        <v>0</v>
      </c>
      <c r="AG53" s="26" t="s">
        <v>28</v>
      </c>
      <c r="AM53" s="27">
        <f t="shared" si="15"/>
        <v>0</v>
      </c>
      <c r="AN53" s="27">
        <f t="shared" si="16"/>
        <v>0</v>
      </c>
      <c r="AO53" s="28" t="s">
        <v>130</v>
      </c>
      <c r="AP53" s="28" t="s">
        <v>131</v>
      </c>
      <c r="AQ53" s="17" t="s">
        <v>35</v>
      </c>
      <c r="AS53" s="27">
        <f t="shared" si="17"/>
        <v>0</v>
      </c>
      <c r="AT53" s="27">
        <f t="shared" si="18"/>
        <v>0</v>
      </c>
      <c r="AU53" s="27">
        <v>0</v>
      </c>
      <c r="AV53" s="27">
        <f t="shared" si="19"/>
        <v>0.36232</v>
      </c>
    </row>
    <row r="54" spans="1:48" ht="12.75">
      <c r="A54" s="23" t="s">
        <v>151</v>
      </c>
      <c r="B54" s="23"/>
      <c r="C54" s="23" t="s">
        <v>152</v>
      </c>
      <c r="D54" s="23" t="s">
        <v>153</v>
      </c>
      <c r="E54" s="23" t="s">
        <v>139</v>
      </c>
      <c r="F54" s="24">
        <v>2</v>
      </c>
      <c r="G54" s="47">
        <v>0</v>
      </c>
      <c r="H54" s="25">
        <f t="shared" si="0"/>
        <v>0</v>
      </c>
      <c r="I54" s="25">
        <f t="shared" si="1"/>
        <v>0</v>
      </c>
      <c r="J54" s="25">
        <f t="shared" si="2"/>
        <v>0</v>
      </c>
      <c r="K54" s="25">
        <v>0.21688</v>
      </c>
      <c r="L54" s="25">
        <f t="shared" si="3"/>
        <v>0.43376</v>
      </c>
      <c r="M54" s="26" t="s">
        <v>32</v>
      </c>
      <c r="P54" s="27">
        <f t="shared" si="4"/>
        <v>0</v>
      </c>
      <c r="R54" s="27">
        <f t="shared" si="5"/>
        <v>0</v>
      </c>
      <c r="S54" s="27">
        <f t="shared" si="6"/>
        <v>0</v>
      </c>
      <c r="T54" s="27">
        <f t="shared" si="7"/>
        <v>0</v>
      </c>
      <c r="U54" s="27">
        <f t="shared" si="8"/>
        <v>0</v>
      </c>
      <c r="V54" s="27">
        <f t="shared" si="9"/>
        <v>0</v>
      </c>
      <c r="W54" s="27">
        <f t="shared" si="10"/>
        <v>0</v>
      </c>
      <c r="X54" s="27">
        <f t="shared" si="11"/>
        <v>0</v>
      </c>
      <c r="Y54" s="17"/>
      <c r="Z54" s="25">
        <f t="shared" si="12"/>
        <v>0</v>
      </c>
      <c r="AA54" s="25">
        <f t="shared" si="13"/>
        <v>0</v>
      </c>
      <c r="AB54" s="25">
        <f t="shared" si="14"/>
        <v>0</v>
      </c>
      <c r="AD54" s="27">
        <v>15</v>
      </c>
      <c r="AE54" s="27">
        <f>G54*0.74010128017699</f>
        <v>0</v>
      </c>
      <c r="AF54" s="27">
        <f>G54*(1-0.74010128017699)</f>
        <v>0</v>
      </c>
      <c r="AG54" s="26" t="s">
        <v>28</v>
      </c>
      <c r="AM54" s="27">
        <f t="shared" si="15"/>
        <v>0</v>
      </c>
      <c r="AN54" s="27">
        <f t="shared" si="16"/>
        <v>0</v>
      </c>
      <c r="AO54" s="28" t="s">
        <v>130</v>
      </c>
      <c r="AP54" s="28" t="s">
        <v>131</v>
      </c>
      <c r="AQ54" s="17" t="s">
        <v>35</v>
      </c>
      <c r="AS54" s="27">
        <f t="shared" si="17"/>
        <v>0</v>
      </c>
      <c r="AT54" s="27">
        <f t="shared" si="18"/>
        <v>0</v>
      </c>
      <c r="AU54" s="27">
        <v>0</v>
      </c>
      <c r="AV54" s="27">
        <f t="shared" si="19"/>
        <v>0.43376</v>
      </c>
    </row>
    <row r="55" spans="1:48" ht="12.75">
      <c r="A55" s="23" t="s">
        <v>154</v>
      </c>
      <c r="B55" s="23"/>
      <c r="C55" s="23" t="s">
        <v>155</v>
      </c>
      <c r="D55" s="23" t="s">
        <v>156</v>
      </c>
      <c r="E55" s="23" t="s">
        <v>139</v>
      </c>
      <c r="F55" s="24">
        <v>2</v>
      </c>
      <c r="G55" s="47">
        <v>0</v>
      </c>
      <c r="H55" s="25">
        <f t="shared" si="0"/>
        <v>0</v>
      </c>
      <c r="I55" s="25">
        <f t="shared" si="1"/>
        <v>0</v>
      </c>
      <c r="J55" s="25">
        <f t="shared" si="2"/>
        <v>0</v>
      </c>
      <c r="K55" s="25">
        <v>0.32424</v>
      </c>
      <c r="L55" s="25">
        <f t="shared" si="3"/>
        <v>0.64848</v>
      </c>
      <c r="M55" s="26" t="s">
        <v>32</v>
      </c>
      <c r="P55" s="27">
        <f t="shared" si="4"/>
        <v>0</v>
      </c>
      <c r="R55" s="27">
        <f t="shared" si="5"/>
        <v>0</v>
      </c>
      <c r="S55" s="27">
        <f t="shared" si="6"/>
        <v>0</v>
      </c>
      <c r="T55" s="27">
        <f t="shared" si="7"/>
        <v>0</v>
      </c>
      <c r="U55" s="27">
        <f t="shared" si="8"/>
        <v>0</v>
      </c>
      <c r="V55" s="27">
        <f t="shared" si="9"/>
        <v>0</v>
      </c>
      <c r="W55" s="27">
        <f t="shared" si="10"/>
        <v>0</v>
      </c>
      <c r="X55" s="27">
        <f t="shared" si="11"/>
        <v>0</v>
      </c>
      <c r="Y55" s="17"/>
      <c r="Z55" s="25">
        <f t="shared" si="12"/>
        <v>0</v>
      </c>
      <c r="AA55" s="25">
        <f t="shared" si="13"/>
        <v>0</v>
      </c>
      <c r="AB55" s="25">
        <f t="shared" si="14"/>
        <v>0</v>
      </c>
      <c r="AD55" s="27">
        <v>15</v>
      </c>
      <c r="AE55" s="27">
        <f>G55*0.795824653361109</f>
        <v>0</v>
      </c>
      <c r="AF55" s="27">
        <f>G55*(1-0.795824653361109)</f>
        <v>0</v>
      </c>
      <c r="AG55" s="26" t="s">
        <v>28</v>
      </c>
      <c r="AM55" s="27">
        <f t="shared" si="15"/>
        <v>0</v>
      </c>
      <c r="AN55" s="27">
        <f t="shared" si="16"/>
        <v>0</v>
      </c>
      <c r="AO55" s="28" t="s">
        <v>130</v>
      </c>
      <c r="AP55" s="28" t="s">
        <v>131</v>
      </c>
      <c r="AQ55" s="17" t="s">
        <v>35</v>
      </c>
      <c r="AS55" s="27">
        <f t="shared" si="17"/>
        <v>0</v>
      </c>
      <c r="AT55" s="27">
        <f t="shared" si="18"/>
        <v>0</v>
      </c>
      <c r="AU55" s="27">
        <v>0</v>
      </c>
      <c r="AV55" s="27">
        <f t="shared" si="19"/>
        <v>0.64848</v>
      </c>
    </row>
    <row r="56" spans="1:48" ht="12.75">
      <c r="A56" s="23" t="s">
        <v>157</v>
      </c>
      <c r="B56" s="23"/>
      <c r="C56" s="23" t="s">
        <v>155</v>
      </c>
      <c r="D56" s="23" t="s">
        <v>156</v>
      </c>
      <c r="E56" s="23" t="s">
        <v>139</v>
      </c>
      <c r="F56" s="24">
        <v>1</v>
      </c>
      <c r="G56" s="47">
        <v>0</v>
      </c>
      <c r="H56" s="25">
        <f t="shared" si="0"/>
        <v>0</v>
      </c>
      <c r="I56" s="25">
        <f t="shared" si="1"/>
        <v>0</v>
      </c>
      <c r="J56" s="25">
        <f t="shared" si="2"/>
        <v>0</v>
      </c>
      <c r="K56" s="25">
        <v>0.32424</v>
      </c>
      <c r="L56" s="25">
        <f t="shared" si="3"/>
        <v>0.32424</v>
      </c>
      <c r="M56" s="26" t="s">
        <v>32</v>
      </c>
      <c r="P56" s="27">
        <f t="shared" si="4"/>
        <v>0</v>
      </c>
      <c r="R56" s="27">
        <f t="shared" si="5"/>
        <v>0</v>
      </c>
      <c r="S56" s="27">
        <f t="shared" si="6"/>
        <v>0</v>
      </c>
      <c r="T56" s="27">
        <f t="shared" si="7"/>
        <v>0</v>
      </c>
      <c r="U56" s="27">
        <f t="shared" si="8"/>
        <v>0</v>
      </c>
      <c r="V56" s="27">
        <f t="shared" si="9"/>
        <v>0</v>
      </c>
      <c r="W56" s="27">
        <f t="shared" si="10"/>
        <v>0</v>
      </c>
      <c r="X56" s="27">
        <f t="shared" si="11"/>
        <v>0</v>
      </c>
      <c r="Y56" s="17"/>
      <c r="Z56" s="25">
        <f t="shared" si="12"/>
        <v>0</v>
      </c>
      <c r="AA56" s="25">
        <f t="shared" si="13"/>
        <v>0</v>
      </c>
      <c r="AB56" s="25">
        <f t="shared" si="14"/>
        <v>0</v>
      </c>
      <c r="AD56" s="27">
        <v>15</v>
      </c>
      <c r="AE56" s="27">
        <f>G56*0.795824653361109</f>
        <v>0</v>
      </c>
      <c r="AF56" s="27">
        <f>G56*(1-0.795824653361109)</f>
        <v>0</v>
      </c>
      <c r="AG56" s="26" t="s">
        <v>28</v>
      </c>
      <c r="AM56" s="27">
        <f t="shared" si="15"/>
        <v>0</v>
      </c>
      <c r="AN56" s="27">
        <f t="shared" si="16"/>
        <v>0</v>
      </c>
      <c r="AO56" s="28" t="s">
        <v>130</v>
      </c>
      <c r="AP56" s="28" t="s">
        <v>131</v>
      </c>
      <c r="AQ56" s="17" t="s">
        <v>35</v>
      </c>
      <c r="AS56" s="27">
        <f t="shared" si="17"/>
        <v>0</v>
      </c>
      <c r="AT56" s="27">
        <f t="shared" si="18"/>
        <v>0</v>
      </c>
      <c r="AU56" s="27">
        <v>0</v>
      </c>
      <c r="AV56" s="27">
        <f t="shared" si="19"/>
        <v>0.32424</v>
      </c>
    </row>
    <row r="57" spans="1:48" ht="12.75">
      <c r="A57" s="23" t="s">
        <v>158</v>
      </c>
      <c r="B57" s="23"/>
      <c r="C57" s="23" t="s">
        <v>159</v>
      </c>
      <c r="D57" s="23" t="s">
        <v>160</v>
      </c>
      <c r="E57" s="23" t="s">
        <v>139</v>
      </c>
      <c r="F57" s="24">
        <v>6</v>
      </c>
      <c r="G57" s="47">
        <v>0</v>
      </c>
      <c r="H57" s="25">
        <f t="shared" si="0"/>
        <v>0</v>
      </c>
      <c r="I57" s="25">
        <f t="shared" si="1"/>
        <v>0</v>
      </c>
      <c r="J57" s="25">
        <f t="shared" si="2"/>
        <v>0</v>
      </c>
      <c r="K57" s="25">
        <v>0.43136</v>
      </c>
      <c r="L57" s="25">
        <f t="shared" si="3"/>
        <v>2.5881600000000002</v>
      </c>
      <c r="M57" s="26" t="s">
        <v>32</v>
      </c>
      <c r="P57" s="27">
        <f t="shared" si="4"/>
        <v>0</v>
      </c>
      <c r="R57" s="27">
        <f t="shared" si="5"/>
        <v>0</v>
      </c>
      <c r="S57" s="27">
        <f t="shared" si="6"/>
        <v>0</v>
      </c>
      <c r="T57" s="27">
        <f t="shared" si="7"/>
        <v>0</v>
      </c>
      <c r="U57" s="27">
        <f t="shared" si="8"/>
        <v>0</v>
      </c>
      <c r="V57" s="27">
        <f t="shared" si="9"/>
        <v>0</v>
      </c>
      <c r="W57" s="27">
        <f t="shared" si="10"/>
        <v>0</v>
      </c>
      <c r="X57" s="27">
        <f t="shared" si="11"/>
        <v>0</v>
      </c>
      <c r="Y57" s="17"/>
      <c r="Z57" s="25">
        <f t="shared" si="12"/>
        <v>0</v>
      </c>
      <c r="AA57" s="25">
        <f t="shared" si="13"/>
        <v>0</v>
      </c>
      <c r="AB57" s="25">
        <f t="shared" si="14"/>
        <v>0</v>
      </c>
      <c r="AD57" s="27">
        <v>15</v>
      </c>
      <c r="AE57" s="27">
        <f>G57*0.814442333859965</f>
        <v>0</v>
      </c>
      <c r="AF57" s="27">
        <f>G57*(1-0.814442333859965)</f>
        <v>0</v>
      </c>
      <c r="AG57" s="26" t="s">
        <v>28</v>
      </c>
      <c r="AM57" s="27">
        <f t="shared" si="15"/>
        <v>0</v>
      </c>
      <c r="AN57" s="27">
        <f t="shared" si="16"/>
        <v>0</v>
      </c>
      <c r="AO57" s="28" t="s">
        <v>130</v>
      </c>
      <c r="AP57" s="28" t="s">
        <v>131</v>
      </c>
      <c r="AQ57" s="17" t="s">
        <v>35</v>
      </c>
      <c r="AS57" s="27">
        <f t="shared" si="17"/>
        <v>0</v>
      </c>
      <c r="AT57" s="27">
        <f t="shared" si="18"/>
        <v>0</v>
      </c>
      <c r="AU57" s="27">
        <v>0</v>
      </c>
      <c r="AV57" s="27">
        <f t="shared" si="19"/>
        <v>2.5881600000000002</v>
      </c>
    </row>
    <row r="58" spans="1:48" ht="12.75">
      <c r="A58" s="23" t="s">
        <v>161</v>
      </c>
      <c r="B58" s="23"/>
      <c r="C58" s="23" t="s">
        <v>162</v>
      </c>
      <c r="D58" s="23" t="s">
        <v>163</v>
      </c>
      <c r="E58" s="23" t="s">
        <v>139</v>
      </c>
      <c r="F58" s="24">
        <v>1</v>
      </c>
      <c r="G58" s="47">
        <v>0</v>
      </c>
      <c r="H58" s="25">
        <f t="shared" si="0"/>
        <v>0</v>
      </c>
      <c r="I58" s="25">
        <f t="shared" si="1"/>
        <v>0</v>
      </c>
      <c r="J58" s="25">
        <f t="shared" si="2"/>
        <v>0</v>
      </c>
      <c r="K58" s="25">
        <v>0.46704</v>
      </c>
      <c r="L58" s="25">
        <f t="shared" si="3"/>
        <v>0.46704</v>
      </c>
      <c r="M58" s="26" t="s">
        <v>32</v>
      </c>
      <c r="P58" s="27">
        <f t="shared" si="4"/>
        <v>0</v>
      </c>
      <c r="R58" s="27">
        <f t="shared" si="5"/>
        <v>0</v>
      </c>
      <c r="S58" s="27">
        <f t="shared" si="6"/>
        <v>0</v>
      </c>
      <c r="T58" s="27">
        <f t="shared" si="7"/>
        <v>0</v>
      </c>
      <c r="U58" s="27">
        <f t="shared" si="8"/>
        <v>0</v>
      </c>
      <c r="V58" s="27">
        <f t="shared" si="9"/>
        <v>0</v>
      </c>
      <c r="W58" s="27">
        <f t="shared" si="10"/>
        <v>0</v>
      </c>
      <c r="X58" s="27">
        <f t="shared" si="11"/>
        <v>0</v>
      </c>
      <c r="Y58" s="17"/>
      <c r="Z58" s="25">
        <f t="shared" si="12"/>
        <v>0</v>
      </c>
      <c r="AA58" s="25">
        <f t="shared" si="13"/>
        <v>0</v>
      </c>
      <c r="AB58" s="25">
        <f t="shared" si="14"/>
        <v>0</v>
      </c>
      <c r="AD58" s="27">
        <v>15</v>
      </c>
      <c r="AE58" s="27">
        <f>G58*0.815613247863248</f>
        <v>0</v>
      </c>
      <c r="AF58" s="27">
        <f>G58*(1-0.815613247863248)</f>
        <v>0</v>
      </c>
      <c r="AG58" s="26" t="s">
        <v>28</v>
      </c>
      <c r="AM58" s="27">
        <f t="shared" si="15"/>
        <v>0</v>
      </c>
      <c r="AN58" s="27">
        <f t="shared" si="16"/>
        <v>0</v>
      </c>
      <c r="AO58" s="28" t="s">
        <v>130</v>
      </c>
      <c r="AP58" s="28" t="s">
        <v>131</v>
      </c>
      <c r="AQ58" s="17" t="s">
        <v>35</v>
      </c>
      <c r="AS58" s="27">
        <f t="shared" si="17"/>
        <v>0</v>
      </c>
      <c r="AT58" s="27">
        <f t="shared" si="18"/>
        <v>0</v>
      </c>
      <c r="AU58" s="27">
        <v>0</v>
      </c>
      <c r="AV58" s="27">
        <f t="shared" si="19"/>
        <v>0.46704</v>
      </c>
    </row>
    <row r="59" spans="1:48" ht="12.75">
      <c r="A59" s="23" t="s">
        <v>164</v>
      </c>
      <c r="B59" s="23"/>
      <c r="C59" s="23" t="s">
        <v>165</v>
      </c>
      <c r="D59" s="23" t="s">
        <v>166</v>
      </c>
      <c r="E59" s="23" t="s">
        <v>139</v>
      </c>
      <c r="F59" s="24">
        <v>1</v>
      </c>
      <c r="G59" s="47">
        <v>0</v>
      </c>
      <c r="H59" s="25">
        <f t="shared" si="0"/>
        <v>0</v>
      </c>
      <c r="I59" s="25">
        <f t="shared" si="1"/>
        <v>0</v>
      </c>
      <c r="J59" s="25">
        <f t="shared" si="2"/>
        <v>0</v>
      </c>
      <c r="K59" s="25">
        <v>0.01564</v>
      </c>
      <c r="L59" s="25">
        <f t="shared" si="3"/>
        <v>0.01564</v>
      </c>
      <c r="M59" s="26" t="s">
        <v>32</v>
      </c>
      <c r="P59" s="27">
        <f t="shared" si="4"/>
        <v>0</v>
      </c>
      <c r="R59" s="27">
        <f t="shared" si="5"/>
        <v>0</v>
      </c>
      <c r="S59" s="27">
        <f t="shared" si="6"/>
        <v>0</v>
      </c>
      <c r="T59" s="27">
        <f t="shared" si="7"/>
        <v>0</v>
      </c>
      <c r="U59" s="27">
        <f t="shared" si="8"/>
        <v>0</v>
      </c>
      <c r="V59" s="27">
        <f t="shared" si="9"/>
        <v>0</v>
      </c>
      <c r="W59" s="27">
        <f t="shared" si="10"/>
        <v>0</v>
      </c>
      <c r="X59" s="27">
        <f t="shared" si="11"/>
        <v>0</v>
      </c>
      <c r="Y59" s="17"/>
      <c r="Z59" s="25">
        <f t="shared" si="12"/>
        <v>0</v>
      </c>
      <c r="AA59" s="25">
        <f t="shared" si="13"/>
        <v>0</v>
      </c>
      <c r="AB59" s="25">
        <f t="shared" si="14"/>
        <v>0</v>
      </c>
      <c r="AD59" s="27">
        <v>15</v>
      </c>
      <c r="AE59" s="27">
        <f>G59*0.782452032520325</f>
        <v>0</v>
      </c>
      <c r="AF59" s="27">
        <f>G59*(1-0.782452032520325)</f>
        <v>0</v>
      </c>
      <c r="AG59" s="26" t="s">
        <v>28</v>
      </c>
      <c r="AM59" s="27">
        <f t="shared" si="15"/>
        <v>0</v>
      </c>
      <c r="AN59" s="27">
        <f t="shared" si="16"/>
        <v>0</v>
      </c>
      <c r="AO59" s="28" t="s">
        <v>130</v>
      </c>
      <c r="AP59" s="28" t="s">
        <v>131</v>
      </c>
      <c r="AQ59" s="17" t="s">
        <v>35</v>
      </c>
      <c r="AS59" s="27">
        <f t="shared" si="17"/>
        <v>0</v>
      </c>
      <c r="AT59" s="27">
        <f t="shared" si="18"/>
        <v>0</v>
      </c>
      <c r="AU59" s="27">
        <v>0</v>
      </c>
      <c r="AV59" s="27">
        <f t="shared" si="19"/>
        <v>0.01564</v>
      </c>
    </row>
    <row r="60" spans="1:48" ht="12.75">
      <c r="A60" s="23" t="s">
        <v>167</v>
      </c>
      <c r="B60" s="23"/>
      <c r="C60" s="23" t="s">
        <v>168</v>
      </c>
      <c r="D60" s="23" t="s">
        <v>169</v>
      </c>
      <c r="E60" s="23" t="s">
        <v>170</v>
      </c>
      <c r="F60" s="24">
        <v>1</v>
      </c>
      <c r="G60" s="47">
        <v>0</v>
      </c>
      <c r="H60" s="25">
        <f t="shared" si="0"/>
        <v>0</v>
      </c>
      <c r="I60" s="25">
        <f t="shared" si="1"/>
        <v>0</v>
      </c>
      <c r="J60" s="25">
        <f t="shared" si="2"/>
        <v>0</v>
      </c>
      <c r="K60" s="25">
        <v>0.84114</v>
      </c>
      <c r="L60" s="25">
        <f t="shared" si="3"/>
        <v>0.84114</v>
      </c>
      <c r="M60" s="26" t="s">
        <v>32</v>
      </c>
      <c r="P60" s="27">
        <f t="shared" si="4"/>
        <v>0</v>
      </c>
      <c r="R60" s="27">
        <f t="shared" si="5"/>
        <v>0</v>
      </c>
      <c r="S60" s="27">
        <f t="shared" si="6"/>
        <v>0</v>
      </c>
      <c r="T60" s="27">
        <f t="shared" si="7"/>
        <v>0</v>
      </c>
      <c r="U60" s="27">
        <f t="shared" si="8"/>
        <v>0</v>
      </c>
      <c r="V60" s="27">
        <f t="shared" si="9"/>
        <v>0</v>
      </c>
      <c r="W60" s="27">
        <f t="shared" si="10"/>
        <v>0</v>
      </c>
      <c r="X60" s="27">
        <f t="shared" si="11"/>
        <v>0</v>
      </c>
      <c r="Y60" s="17"/>
      <c r="Z60" s="25">
        <f t="shared" si="12"/>
        <v>0</v>
      </c>
      <c r="AA60" s="25">
        <f t="shared" si="13"/>
        <v>0</v>
      </c>
      <c r="AB60" s="25">
        <f t="shared" si="14"/>
        <v>0</v>
      </c>
      <c r="AD60" s="27">
        <v>15</v>
      </c>
      <c r="AE60" s="27">
        <f>G60*0.839397401817007</f>
        <v>0</v>
      </c>
      <c r="AF60" s="27">
        <f>G60*(1-0.839397401817007)</f>
        <v>0</v>
      </c>
      <c r="AG60" s="26" t="s">
        <v>28</v>
      </c>
      <c r="AM60" s="27">
        <f t="shared" si="15"/>
        <v>0</v>
      </c>
      <c r="AN60" s="27">
        <f t="shared" si="16"/>
        <v>0</v>
      </c>
      <c r="AO60" s="28" t="s">
        <v>130</v>
      </c>
      <c r="AP60" s="28" t="s">
        <v>131</v>
      </c>
      <c r="AQ60" s="17" t="s">
        <v>35</v>
      </c>
      <c r="AS60" s="27">
        <f t="shared" si="17"/>
        <v>0</v>
      </c>
      <c r="AT60" s="27">
        <f t="shared" si="18"/>
        <v>0</v>
      </c>
      <c r="AU60" s="27">
        <v>0</v>
      </c>
      <c r="AV60" s="27">
        <f t="shared" si="19"/>
        <v>0.84114</v>
      </c>
    </row>
    <row r="61" spans="1:6" ht="12.75">
      <c r="A61" s="43"/>
      <c r="B61" s="43"/>
      <c r="C61" s="43"/>
      <c r="D61" s="31" t="s">
        <v>171</v>
      </c>
      <c r="E61" s="43"/>
      <c r="F61" s="43"/>
    </row>
    <row r="62" spans="1:48" ht="12.75">
      <c r="A62" s="23" t="s">
        <v>172</v>
      </c>
      <c r="B62" s="23"/>
      <c r="C62" s="23" t="s">
        <v>173</v>
      </c>
      <c r="D62" s="23" t="s">
        <v>174</v>
      </c>
      <c r="E62" s="23" t="s">
        <v>41</v>
      </c>
      <c r="F62" s="24">
        <v>26.4</v>
      </c>
      <c r="G62" s="47">
        <v>0</v>
      </c>
      <c r="H62" s="25">
        <f>F62*AE62</f>
        <v>0</v>
      </c>
      <c r="I62" s="25">
        <f>J62-H62</f>
        <v>0</v>
      </c>
      <c r="J62" s="25">
        <f>F62*G62</f>
        <v>0</v>
      </c>
      <c r="K62" s="25">
        <v>0.00028</v>
      </c>
      <c r="L62" s="25">
        <f>F62*K62</f>
        <v>0.007391999999999999</v>
      </c>
      <c r="M62" s="26" t="s">
        <v>32</v>
      </c>
      <c r="P62" s="27">
        <f>IF(AG62="5",J62,0)</f>
        <v>0</v>
      </c>
      <c r="R62" s="27">
        <f>IF(AG62="1",H62,0)</f>
        <v>0</v>
      </c>
      <c r="S62" s="27">
        <f>IF(AG62="1",I62,0)</f>
        <v>0</v>
      </c>
      <c r="T62" s="27">
        <f>IF(AG62="7",H62,0)</f>
        <v>0</v>
      </c>
      <c r="U62" s="27">
        <f>IF(AG62="7",I62,0)</f>
        <v>0</v>
      </c>
      <c r="V62" s="27">
        <f>IF(AG62="2",H62,0)</f>
        <v>0</v>
      </c>
      <c r="W62" s="27">
        <f>IF(AG62="2",I62,0)</f>
        <v>0</v>
      </c>
      <c r="X62" s="27">
        <f>IF(AG62="0",J62,0)</f>
        <v>0</v>
      </c>
      <c r="Y62" s="17"/>
      <c r="Z62" s="25">
        <f>IF(AD62=0,J62,0)</f>
        <v>0</v>
      </c>
      <c r="AA62" s="25">
        <f>IF(AD62=15,J62,0)</f>
        <v>0</v>
      </c>
      <c r="AB62" s="25">
        <f>IF(AD62=21,J62,0)</f>
        <v>0</v>
      </c>
      <c r="AD62" s="27">
        <v>15</v>
      </c>
      <c r="AE62" s="27">
        <f>G62*0.265940054495913</f>
        <v>0</v>
      </c>
      <c r="AF62" s="27">
        <f>G62*(1-0.265940054495913)</f>
        <v>0</v>
      </c>
      <c r="AG62" s="26" t="s">
        <v>28</v>
      </c>
      <c r="AM62" s="27">
        <f>F62*AE62</f>
        <v>0</v>
      </c>
      <c r="AN62" s="27">
        <f>F62*AF62</f>
        <v>0</v>
      </c>
      <c r="AO62" s="28" t="s">
        <v>130</v>
      </c>
      <c r="AP62" s="28" t="s">
        <v>131</v>
      </c>
      <c r="AQ62" s="17" t="s">
        <v>35</v>
      </c>
      <c r="AS62" s="27">
        <f>AM62+AN62</f>
        <v>0</v>
      </c>
      <c r="AT62" s="27">
        <f>G62/(100-AU62)*100</f>
        <v>0</v>
      </c>
      <c r="AU62" s="27">
        <v>0</v>
      </c>
      <c r="AV62" s="27">
        <f>L62</f>
        <v>0.007391999999999999</v>
      </c>
    </row>
    <row r="63" spans="1:48" ht="12.75">
      <c r="A63" s="23" t="s">
        <v>175</v>
      </c>
      <c r="B63" s="23"/>
      <c r="C63" s="23" t="s">
        <v>176</v>
      </c>
      <c r="D63" s="23" t="s">
        <v>177</v>
      </c>
      <c r="E63" s="23" t="s">
        <v>75</v>
      </c>
      <c r="F63" s="24">
        <v>5.544</v>
      </c>
      <c r="G63" s="47">
        <v>0</v>
      </c>
      <c r="H63" s="25">
        <f>F63*AE63</f>
        <v>0</v>
      </c>
      <c r="I63" s="25">
        <f>J63-H63</f>
        <v>0</v>
      </c>
      <c r="J63" s="25">
        <f>F63*G63</f>
        <v>0</v>
      </c>
      <c r="K63" s="25">
        <v>0.16439</v>
      </c>
      <c r="L63" s="25">
        <f>F63*K63</f>
        <v>0.9113781599999999</v>
      </c>
      <c r="M63" s="26" t="s">
        <v>32</v>
      </c>
      <c r="P63" s="27">
        <f>IF(AG63="5",J63,0)</f>
        <v>0</v>
      </c>
      <c r="R63" s="27">
        <f>IF(AG63="1",H63,0)</f>
        <v>0</v>
      </c>
      <c r="S63" s="27">
        <f>IF(AG63="1",I63,0)</f>
        <v>0</v>
      </c>
      <c r="T63" s="27">
        <f>IF(AG63="7",H63,0)</f>
        <v>0</v>
      </c>
      <c r="U63" s="27">
        <f>IF(AG63="7",I63,0)</f>
        <v>0</v>
      </c>
      <c r="V63" s="27">
        <f>IF(AG63="2",H63,0)</f>
        <v>0</v>
      </c>
      <c r="W63" s="27">
        <f>IF(AG63="2",I63,0)</f>
        <v>0</v>
      </c>
      <c r="X63" s="27">
        <f>IF(AG63="0",J63,0)</f>
        <v>0</v>
      </c>
      <c r="Y63" s="17"/>
      <c r="Z63" s="25">
        <f>IF(AD63=0,J63,0)</f>
        <v>0</v>
      </c>
      <c r="AA63" s="25">
        <f>IF(AD63=15,J63,0)</f>
        <v>0</v>
      </c>
      <c r="AB63" s="25">
        <f>IF(AD63=21,J63,0)</f>
        <v>0</v>
      </c>
      <c r="AD63" s="27">
        <v>15</v>
      </c>
      <c r="AE63" s="27">
        <f>G63*0.655749330726537</f>
        <v>0</v>
      </c>
      <c r="AF63" s="27">
        <f>G63*(1-0.655749330726537)</f>
        <v>0</v>
      </c>
      <c r="AG63" s="26" t="s">
        <v>28</v>
      </c>
      <c r="AM63" s="27">
        <f>F63*AE63</f>
        <v>0</v>
      </c>
      <c r="AN63" s="27">
        <f>F63*AF63</f>
        <v>0</v>
      </c>
      <c r="AO63" s="28" t="s">
        <v>130</v>
      </c>
      <c r="AP63" s="28" t="s">
        <v>131</v>
      </c>
      <c r="AQ63" s="17" t="s">
        <v>35</v>
      </c>
      <c r="AS63" s="27">
        <f>AM63+AN63</f>
        <v>0</v>
      </c>
      <c r="AT63" s="27">
        <f>G63/(100-AU63)*100</f>
        <v>0</v>
      </c>
      <c r="AU63" s="27">
        <v>0</v>
      </c>
      <c r="AV63" s="27">
        <f>L63</f>
        <v>0.9113781599999999</v>
      </c>
    </row>
    <row r="64" spans="1:6" ht="12.75">
      <c r="A64" s="43"/>
      <c r="B64" s="43"/>
      <c r="C64" s="43"/>
      <c r="D64" s="31" t="s">
        <v>178</v>
      </c>
      <c r="E64" s="43"/>
      <c r="F64" s="43"/>
    </row>
    <row r="65" spans="1:37" ht="12.75">
      <c r="A65" s="29"/>
      <c r="B65" s="30"/>
      <c r="C65" s="30" t="s">
        <v>148</v>
      </c>
      <c r="D65" s="30" t="s">
        <v>179</v>
      </c>
      <c r="E65" s="29" t="s">
        <v>10</v>
      </c>
      <c r="F65" s="29" t="s">
        <v>10</v>
      </c>
      <c r="G65" s="48" t="s">
        <v>10</v>
      </c>
      <c r="H65" s="22">
        <f>SUM(H66:H66)</f>
        <v>0</v>
      </c>
      <c r="I65" s="22">
        <f>SUM(I66:I66)</f>
        <v>0</v>
      </c>
      <c r="J65" s="22">
        <f>H65+I65</f>
        <v>0</v>
      </c>
      <c r="K65" s="17"/>
      <c r="L65" s="22">
        <f>SUM(L66:L66)</f>
        <v>1.3776045000000001</v>
      </c>
      <c r="M65" s="17"/>
      <c r="Y65" s="17"/>
      <c r="AI65" s="22">
        <f>SUM(Z66:Z66)</f>
        <v>0</v>
      </c>
      <c r="AJ65" s="22">
        <f>SUM(AA66:AA66)</f>
        <v>0</v>
      </c>
      <c r="AK65" s="22">
        <f>SUM(AB66:AB66)</f>
        <v>0</v>
      </c>
    </row>
    <row r="66" spans="1:48" ht="12.75">
      <c r="A66" s="23" t="s">
        <v>180</v>
      </c>
      <c r="B66" s="23"/>
      <c r="C66" s="23" t="s">
        <v>181</v>
      </c>
      <c r="D66" s="23" t="s">
        <v>182</v>
      </c>
      <c r="E66" s="23" t="s">
        <v>41</v>
      </c>
      <c r="F66" s="24">
        <v>2.85</v>
      </c>
      <c r="G66" s="47">
        <v>0</v>
      </c>
      <c r="H66" s="25">
        <f>F66*AE66</f>
        <v>0</v>
      </c>
      <c r="I66" s="25">
        <f>J66-H66</f>
        <v>0</v>
      </c>
      <c r="J66" s="25">
        <f>F66*G66</f>
        <v>0</v>
      </c>
      <c r="K66" s="25">
        <v>0.48337</v>
      </c>
      <c r="L66" s="25">
        <f>F66*K66</f>
        <v>1.3776045000000001</v>
      </c>
      <c r="M66" s="26" t="s">
        <v>32</v>
      </c>
      <c r="P66" s="27">
        <f>IF(AG66="5",J66,0)</f>
        <v>0</v>
      </c>
      <c r="R66" s="27">
        <f>IF(AG66="1",H66,0)</f>
        <v>0</v>
      </c>
      <c r="S66" s="27">
        <f>IF(AG66="1",I66,0)</f>
        <v>0</v>
      </c>
      <c r="T66" s="27">
        <f>IF(AG66="7",H66,0)</f>
        <v>0</v>
      </c>
      <c r="U66" s="27">
        <f>IF(AG66="7",I66,0)</f>
        <v>0</v>
      </c>
      <c r="V66" s="27">
        <f>IF(AG66="2",H66,0)</f>
        <v>0</v>
      </c>
      <c r="W66" s="27">
        <f>IF(AG66="2",I66,0)</f>
        <v>0</v>
      </c>
      <c r="X66" s="27">
        <f>IF(AG66="0",J66,0)</f>
        <v>0</v>
      </c>
      <c r="Y66" s="17"/>
      <c r="Z66" s="25">
        <f>IF(AD66=0,J66,0)</f>
        <v>0</v>
      </c>
      <c r="AA66" s="25">
        <f>IF(AD66=15,J66,0)</f>
        <v>0</v>
      </c>
      <c r="AB66" s="25">
        <f>IF(AD66=21,J66,0)</f>
        <v>0</v>
      </c>
      <c r="AD66" s="27">
        <v>15</v>
      </c>
      <c r="AE66" s="27">
        <f>G66*0.517724137931034</f>
        <v>0</v>
      </c>
      <c r="AF66" s="27">
        <f>G66*(1-0.517724137931034)</f>
        <v>0</v>
      </c>
      <c r="AG66" s="26" t="s">
        <v>28</v>
      </c>
      <c r="AM66" s="27">
        <f>F66*AE66</f>
        <v>0</v>
      </c>
      <c r="AN66" s="27">
        <f>F66*AF66</f>
        <v>0</v>
      </c>
      <c r="AO66" s="28" t="s">
        <v>183</v>
      </c>
      <c r="AP66" s="28" t="s">
        <v>131</v>
      </c>
      <c r="AQ66" s="17" t="s">
        <v>35</v>
      </c>
      <c r="AS66" s="27">
        <f>AM66+AN66</f>
        <v>0</v>
      </c>
      <c r="AT66" s="27">
        <f>G66/(100-AU66)*100</f>
        <v>0</v>
      </c>
      <c r="AU66" s="27">
        <v>0</v>
      </c>
      <c r="AV66" s="27">
        <f>L66</f>
        <v>1.3776045000000001</v>
      </c>
    </row>
    <row r="67" spans="1:6" ht="12.75">
      <c r="A67" s="43"/>
      <c r="B67" s="43"/>
      <c r="C67" s="43"/>
      <c r="D67" s="31" t="s">
        <v>184</v>
      </c>
      <c r="E67" s="43"/>
      <c r="F67" s="43"/>
    </row>
    <row r="68" spans="1:37" ht="12.75">
      <c r="A68" s="29"/>
      <c r="B68" s="30"/>
      <c r="C68" s="30" t="s">
        <v>151</v>
      </c>
      <c r="D68" s="30" t="s">
        <v>185</v>
      </c>
      <c r="E68" s="29" t="s">
        <v>10</v>
      </c>
      <c r="F68" s="29" t="s">
        <v>10</v>
      </c>
      <c r="G68" s="48" t="s">
        <v>10</v>
      </c>
      <c r="H68" s="22">
        <f>SUM(H69:H84)</f>
        <v>0</v>
      </c>
      <c r="I68" s="22">
        <f>SUM(I69:I84)</f>
        <v>0</v>
      </c>
      <c r="J68" s="22">
        <f>H68+I68</f>
        <v>0</v>
      </c>
      <c r="K68" s="17"/>
      <c r="L68" s="22">
        <f>SUM(L69:L84)</f>
        <v>15.663780799999998</v>
      </c>
      <c r="M68" s="17"/>
      <c r="Y68" s="17"/>
      <c r="AI68" s="22">
        <f>SUM(Z69:Z84)</f>
        <v>0</v>
      </c>
      <c r="AJ68" s="22">
        <f>SUM(AA69:AA84)</f>
        <v>0</v>
      </c>
      <c r="AK68" s="22">
        <f>SUM(AB69:AB84)</f>
        <v>0</v>
      </c>
    </row>
    <row r="69" spans="1:48" ht="12.75">
      <c r="A69" s="23" t="s">
        <v>186</v>
      </c>
      <c r="B69" s="23"/>
      <c r="C69" s="23" t="s">
        <v>187</v>
      </c>
      <c r="D69" s="23" t="s">
        <v>188</v>
      </c>
      <c r="E69" s="23" t="s">
        <v>75</v>
      </c>
      <c r="F69" s="24">
        <v>139.59</v>
      </c>
      <c r="G69" s="47">
        <v>0</v>
      </c>
      <c r="H69" s="25">
        <f>F69*AE69</f>
        <v>0</v>
      </c>
      <c r="I69" s="25">
        <f>J69-H69</f>
        <v>0</v>
      </c>
      <c r="J69" s="25">
        <f>F69*G69</f>
        <v>0</v>
      </c>
      <c r="K69" s="25">
        <v>0.08924</v>
      </c>
      <c r="L69" s="25">
        <f>F69*K69</f>
        <v>12.4570116</v>
      </c>
      <c r="M69" s="26" t="s">
        <v>32</v>
      </c>
      <c r="P69" s="27">
        <f>IF(AG69="5",J69,0)</f>
        <v>0</v>
      </c>
      <c r="R69" s="27">
        <f>IF(AG69="1",H69,0)</f>
        <v>0</v>
      </c>
      <c r="S69" s="27">
        <f>IF(AG69="1",I69,0)</f>
        <v>0</v>
      </c>
      <c r="T69" s="27">
        <f>IF(AG69="7",H69,0)</f>
        <v>0</v>
      </c>
      <c r="U69" s="27">
        <f>IF(AG69="7",I69,0)</f>
        <v>0</v>
      </c>
      <c r="V69" s="27">
        <f>IF(AG69="2",H69,0)</f>
        <v>0</v>
      </c>
      <c r="W69" s="27">
        <f>IF(AG69="2",I69,0)</f>
        <v>0</v>
      </c>
      <c r="X69" s="27">
        <f>IF(AG69="0",J69,0)</f>
        <v>0</v>
      </c>
      <c r="Y69" s="17"/>
      <c r="Z69" s="25">
        <f>IF(AD69=0,J69,0)</f>
        <v>0</v>
      </c>
      <c r="AA69" s="25">
        <f>IF(AD69=15,J69,0)</f>
        <v>0</v>
      </c>
      <c r="AB69" s="25">
        <f>IF(AD69=21,J69,0)</f>
        <v>0</v>
      </c>
      <c r="AD69" s="27">
        <v>15</v>
      </c>
      <c r="AE69" s="27">
        <f>G69*0.619479353680431</f>
        <v>0</v>
      </c>
      <c r="AF69" s="27">
        <f>G69*(1-0.619479353680431)</f>
        <v>0</v>
      </c>
      <c r="AG69" s="26" t="s">
        <v>28</v>
      </c>
      <c r="AM69" s="27">
        <f>F69*AE69</f>
        <v>0</v>
      </c>
      <c r="AN69" s="27">
        <f>F69*AF69</f>
        <v>0</v>
      </c>
      <c r="AO69" s="28" t="s">
        <v>189</v>
      </c>
      <c r="AP69" s="28" t="s">
        <v>131</v>
      </c>
      <c r="AQ69" s="17" t="s">
        <v>35</v>
      </c>
      <c r="AS69" s="27">
        <f>AM69+AN69</f>
        <v>0</v>
      </c>
      <c r="AT69" s="27">
        <f>G69/(100-AU69)*100</f>
        <v>0</v>
      </c>
      <c r="AU69" s="27">
        <v>0</v>
      </c>
      <c r="AV69" s="27">
        <f>L69</f>
        <v>12.4570116</v>
      </c>
    </row>
    <row r="70" spans="1:48" ht="12.75">
      <c r="A70" s="23" t="s">
        <v>190</v>
      </c>
      <c r="B70" s="23"/>
      <c r="C70" s="23" t="s">
        <v>191</v>
      </c>
      <c r="D70" s="23" t="s">
        <v>192</v>
      </c>
      <c r="E70" s="23" t="s">
        <v>75</v>
      </c>
      <c r="F70" s="24">
        <v>62.7</v>
      </c>
      <c r="G70" s="47">
        <v>0</v>
      </c>
      <c r="H70" s="25">
        <f>F70*AE70</f>
        <v>0</v>
      </c>
      <c r="I70" s="25">
        <f>J70-H70</f>
        <v>0</v>
      </c>
      <c r="J70" s="25">
        <f>F70*G70</f>
        <v>0</v>
      </c>
      <c r="K70" s="25">
        <v>0.01373</v>
      </c>
      <c r="L70" s="25">
        <f>F70*K70</f>
        <v>0.8608709999999999</v>
      </c>
      <c r="M70" s="26" t="s">
        <v>32</v>
      </c>
      <c r="P70" s="27">
        <f>IF(AG70="5",J70,0)</f>
        <v>0</v>
      </c>
      <c r="R70" s="27">
        <f>IF(AG70="1",H70,0)</f>
        <v>0</v>
      </c>
      <c r="S70" s="27">
        <f>IF(AG70="1",I70,0)</f>
        <v>0</v>
      </c>
      <c r="T70" s="27">
        <f>IF(AG70="7",H70,0)</f>
        <v>0</v>
      </c>
      <c r="U70" s="27">
        <f>IF(AG70="7",I70,0)</f>
        <v>0</v>
      </c>
      <c r="V70" s="27">
        <f>IF(AG70="2",H70,0)</f>
        <v>0</v>
      </c>
      <c r="W70" s="27">
        <f>IF(AG70="2",I70,0)</f>
        <v>0</v>
      </c>
      <c r="X70" s="27">
        <f>IF(AG70="0",J70,0)</f>
        <v>0</v>
      </c>
      <c r="Y70" s="17"/>
      <c r="Z70" s="25">
        <f>IF(AD70=0,J70,0)</f>
        <v>0</v>
      </c>
      <c r="AA70" s="25">
        <f>IF(AD70=15,J70,0)</f>
        <v>0</v>
      </c>
      <c r="AB70" s="25">
        <f>IF(AD70=21,J70,0)</f>
        <v>0</v>
      </c>
      <c r="AD70" s="27">
        <v>15</v>
      </c>
      <c r="AE70" s="27">
        <f>G70*0.335775862068966</f>
        <v>0</v>
      </c>
      <c r="AF70" s="27">
        <f>G70*(1-0.335775862068966)</f>
        <v>0</v>
      </c>
      <c r="AG70" s="26" t="s">
        <v>28</v>
      </c>
      <c r="AM70" s="27">
        <f>F70*AE70</f>
        <v>0</v>
      </c>
      <c r="AN70" s="27">
        <f>F70*AF70</f>
        <v>0</v>
      </c>
      <c r="AO70" s="28" t="s">
        <v>189</v>
      </c>
      <c r="AP70" s="28" t="s">
        <v>131</v>
      </c>
      <c r="AQ70" s="17" t="s">
        <v>35</v>
      </c>
      <c r="AS70" s="27">
        <f>AM70+AN70</f>
        <v>0</v>
      </c>
      <c r="AT70" s="27">
        <f>G70/(100-AU70)*100</f>
        <v>0</v>
      </c>
      <c r="AU70" s="27">
        <v>0</v>
      </c>
      <c r="AV70" s="27">
        <f>L70</f>
        <v>0.8608709999999999</v>
      </c>
    </row>
    <row r="71" spans="1:6" ht="12.75">
      <c r="A71" s="43"/>
      <c r="B71" s="43"/>
      <c r="C71" s="43"/>
      <c r="D71" s="31" t="s">
        <v>193</v>
      </c>
      <c r="E71" s="43"/>
      <c r="F71" s="43"/>
    </row>
    <row r="72" spans="1:48" ht="12.75">
      <c r="A72" s="23" t="s">
        <v>194</v>
      </c>
      <c r="B72" s="23"/>
      <c r="C72" s="23" t="s">
        <v>195</v>
      </c>
      <c r="D72" s="23" t="s">
        <v>192</v>
      </c>
      <c r="E72" s="23" t="s">
        <v>75</v>
      </c>
      <c r="F72" s="24">
        <v>17.9</v>
      </c>
      <c r="G72" s="47">
        <v>0</v>
      </c>
      <c r="H72" s="25">
        <f>F72*AE72</f>
        <v>0</v>
      </c>
      <c r="I72" s="25">
        <f>J72-H72</f>
        <v>0</v>
      </c>
      <c r="J72" s="25">
        <f>F72*G72</f>
        <v>0</v>
      </c>
      <c r="K72" s="25">
        <v>0.01373</v>
      </c>
      <c r="L72" s="25">
        <f>F72*K72</f>
        <v>0.24576699999999996</v>
      </c>
      <c r="M72" s="26" t="s">
        <v>32</v>
      </c>
      <c r="P72" s="27">
        <f>IF(AG72="5",J72,0)</f>
        <v>0</v>
      </c>
      <c r="R72" s="27">
        <f>IF(AG72="1",H72,0)</f>
        <v>0</v>
      </c>
      <c r="S72" s="27">
        <f>IF(AG72="1",I72,0)</f>
        <v>0</v>
      </c>
      <c r="T72" s="27">
        <f>IF(AG72="7",H72,0)</f>
        <v>0</v>
      </c>
      <c r="U72" s="27">
        <f>IF(AG72="7",I72,0)</f>
        <v>0</v>
      </c>
      <c r="V72" s="27">
        <f>IF(AG72="2",H72,0)</f>
        <v>0</v>
      </c>
      <c r="W72" s="27">
        <f>IF(AG72="2",I72,0)</f>
        <v>0</v>
      </c>
      <c r="X72" s="27">
        <f>IF(AG72="0",J72,0)</f>
        <v>0</v>
      </c>
      <c r="Y72" s="17"/>
      <c r="Z72" s="25">
        <f>IF(AD72=0,J72,0)</f>
        <v>0</v>
      </c>
      <c r="AA72" s="25">
        <f>IF(AD72=15,J72,0)</f>
        <v>0</v>
      </c>
      <c r="AB72" s="25">
        <f>IF(AD72=21,J72,0)</f>
        <v>0</v>
      </c>
      <c r="AD72" s="27">
        <v>15</v>
      </c>
      <c r="AE72" s="27">
        <f>G72*0.376618122977346</f>
        <v>0</v>
      </c>
      <c r="AF72" s="27">
        <f>G72*(1-0.376618122977346)</f>
        <v>0</v>
      </c>
      <c r="AG72" s="26" t="s">
        <v>28</v>
      </c>
      <c r="AM72" s="27">
        <f>F72*AE72</f>
        <v>0</v>
      </c>
      <c r="AN72" s="27">
        <f>F72*AF72</f>
        <v>0</v>
      </c>
      <c r="AO72" s="28" t="s">
        <v>189</v>
      </c>
      <c r="AP72" s="28" t="s">
        <v>131</v>
      </c>
      <c r="AQ72" s="17" t="s">
        <v>35</v>
      </c>
      <c r="AS72" s="27">
        <f>AM72+AN72</f>
        <v>0</v>
      </c>
      <c r="AT72" s="27">
        <f>G72/(100-AU72)*100</f>
        <v>0</v>
      </c>
      <c r="AU72" s="27">
        <v>0</v>
      </c>
      <c r="AV72" s="27">
        <f>L72</f>
        <v>0.24576699999999996</v>
      </c>
    </row>
    <row r="73" spans="1:6" ht="12.75">
      <c r="A73" s="43"/>
      <c r="B73" s="43"/>
      <c r="C73" s="43"/>
      <c r="D73" s="31" t="s">
        <v>196</v>
      </c>
      <c r="E73" s="43"/>
      <c r="F73" s="43"/>
    </row>
    <row r="74" spans="1:48" ht="12.75">
      <c r="A74" s="23" t="s">
        <v>197</v>
      </c>
      <c r="B74" s="23"/>
      <c r="C74" s="23" t="s">
        <v>198</v>
      </c>
      <c r="D74" s="23" t="s">
        <v>199</v>
      </c>
      <c r="E74" s="23" t="s">
        <v>75</v>
      </c>
      <c r="F74" s="24">
        <v>80.6</v>
      </c>
      <c r="G74" s="47">
        <v>0</v>
      </c>
      <c r="H74" s="25">
        <f>F74*AE74</f>
        <v>0</v>
      </c>
      <c r="I74" s="25">
        <f>J74-H74</f>
        <v>0</v>
      </c>
      <c r="J74" s="25">
        <f>F74*G74</f>
        <v>0</v>
      </c>
      <c r="K74" s="25">
        <v>0.00414</v>
      </c>
      <c r="L74" s="25">
        <f>F74*K74</f>
        <v>0.3336839999999999</v>
      </c>
      <c r="M74" s="26" t="s">
        <v>32</v>
      </c>
      <c r="P74" s="27">
        <f>IF(AG74="5",J74,0)</f>
        <v>0</v>
      </c>
      <c r="R74" s="27">
        <f>IF(AG74="1",H74,0)</f>
        <v>0</v>
      </c>
      <c r="S74" s="27">
        <f>IF(AG74="1",I74,0)</f>
        <v>0</v>
      </c>
      <c r="T74" s="27">
        <f>IF(AG74="7",H74,0)</f>
        <v>0</v>
      </c>
      <c r="U74" s="27">
        <f>IF(AG74="7",I74,0)</f>
        <v>0</v>
      </c>
      <c r="V74" s="27">
        <f>IF(AG74="2",H74,0)</f>
        <v>0</v>
      </c>
      <c r="W74" s="27">
        <f>IF(AG74="2",I74,0)</f>
        <v>0</v>
      </c>
      <c r="X74" s="27">
        <f>IF(AG74="0",J74,0)</f>
        <v>0</v>
      </c>
      <c r="Y74" s="17"/>
      <c r="Z74" s="25">
        <f>IF(AD74=0,J74,0)</f>
        <v>0</v>
      </c>
      <c r="AA74" s="25">
        <f>IF(AD74=15,J74,0)</f>
        <v>0</v>
      </c>
      <c r="AB74" s="25">
        <f>IF(AD74=21,J74,0)</f>
        <v>0</v>
      </c>
      <c r="AD74" s="27">
        <v>15</v>
      </c>
      <c r="AE74" s="27">
        <f>G74*0.671636363636364</f>
        <v>0</v>
      </c>
      <c r="AF74" s="27">
        <f>G74*(1-0.671636363636364)</f>
        <v>0</v>
      </c>
      <c r="AG74" s="26" t="s">
        <v>28</v>
      </c>
      <c r="AM74" s="27">
        <f>F74*AE74</f>
        <v>0</v>
      </c>
      <c r="AN74" s="27">
        <f>F74*AF74</f>
        <v>0</v>
      </c>
      <c r="AO74" s="28" t="s">
        <v>189</v>
      </c>
      <c r="AP74" s="28" t="s">
        <v>131</v>
      </c>
      <c r="AQ74" s="17" t="s">
        <v>35</v>
      </c>
      <c r="AS74" s="27">
        <f>AM74+AN74</f>
        <v>0</v>
      </c>
      <c r="AT74" s="27">
        <f>G74/(100-AU74)*100</f>
        <v>0</v>
      </c>
      <c r="AU74" s="27">
        <v>0</v>
      </c>
      <c r="AV74" s="27">
        <f>L74</f>
        <v>0.3336839999999999</v>
      </c>
    </row>
    <row r="75" spans="1:48" ht="12.75">
      <c r="A75" s="23" t="s">
        <v>200</v>
      </c>
      <c r="B75" s="23"/>
      <c r="C75" s="23" t="s">
        <v>201</v>
      </c>
      <c r="D75" s="23" t="s">
        <v>202</v>
      </c>
      <c r="E75" s="23" t="s">
        <v>75</v>
      </c>
      <c r="F75" s="24">
        <v>18</v>
      </c>
      <c r="G75" s="47">
        <v>0</v>
      </c>
      <c r="H75" s="25">
        <f>F75*AE75</f>
        <v>0</v>
      </c>
      <c r="I75" s="25">
        <f>J75-H75</f>
        <v>0</v>
      </c>
      <c r="J75" s="25">
        <f>F75*G75</f>
        <v>0</v>
      </c>
      <c r="K75" s="25">
        <v>0</v>
      </c>
      <c r="L75" s="25">
        <f>F75*K75</f>
        <v>0</v>
      </c>
      <c r="M75" s="26" t="s">
        <v>32</v>
      </c>
      <c r="P75" s="27">
        <f>IF(AG75="5",J75,0)</f>
        <v>0</v>
      </c>
      <c r="R75" s="27">
        <f>IF(AG75="1",H75,0)</f>
        <v>0</v>
      </c>
      <c r="S75" s="27">
        <f>IF(AG75="1",I75,0)</f>
        <v>0</v>
      </c>
      <c r="T75" s="27">
        <f>IF(AG75="7",H75,0)</f>
        <v>0</v>
      </c>
      <c r="U75" s="27">
        <f>IF(AG75="7",I75,0)</f>
        <v>0</v>
      </c>
      <c r="V75" s="27">
        <f>IF(AG75="2",H75,0)</f>
        <v>0</v>
      </c>
      <c r="W75" s="27">
        <f>IF(AG75="2",I75,0)</f>
        <v>0</v>
      </c>
      <c r="X75" s="27">
        <f>IF(AG75="0",J75,0)</f>
        <v>0</v>
      </c>
      <c r="Y75" s="17"/>
      <c r="Z75" s="25">
        <f>IF(AD75=0,J75,0)</f>
        <v>0</v>
      </c>
      <c r="AA75" s="25">
        <f>IF(AD75=15,J75,0)</f>
        <v>0</v>
      </c>
      <c r="AB75" s="25">
        <f>IF(AD75=21,J75,0)</f>
        <v>0</v>
      </c>
      <c r="AD75" s="27">
        <v>15</v>
      </c>
      <c r="AE75" s="27">
        <f>G75*0</f>
        <v>0</v>
      </c>
      <c r="AF75" s="27">
        <f>G75*(1-0)</f>
        <v>0</v>
      </c>
      <c r="AG75" s="26" t="s">
        <v>28</v>
      </c>
      <c r="AM75" s="27">
        <f>F75*AE75</f>
        <v>0</v>
      </c>
      <c r="AN75" s="27">
        <f>F75*AF75</f>
        <v>0</v>
      </c>
      <c r="AO75" s="28" t="s">
        <v>189</v>
      </c>
      <c r="AP75" s="28" t="s">
        <v>131</v>
      </c>
      <c r="AQ75" s="17" t="s">
        <v>35</v>
      </c>
      <c r="AS75" s="27">
        <f>AM75+AN75</f>
        <v>0</v>
      </c>
      <c r="AT75" s="27">
        <f>G75/(100-AU75)*100</f>
        <v>0</v>
      </c>
      <c r="AU75" s="27">
        <v>0</v>
      </c>
      <c r="AV75" s="27">
        <f>L75</f>
        <v>0</v>
      </c>
    </row>
    <row r="76" spans="1:6" ht="12.75">
      <c r="A76" s="43"/>
      <c r="B76" s="43"/>
      <c r="C76" s="43"/>
      <c r="D76" s="31" t="s">
        <v>203</v>
      </c>
      <c r="E76" s="43"/>
      <c r="F76" s="43"/>
    </row>
    <row r="77" spans="1:48" ht="12.75">
      <c r="A77" s="23" t="s">
        <v>204</v>
      </c>
      <c r="B77" s="23"/>
      <c r="C77" s="23" t="s">
        <v>205</v>
      </c>
      <c r="D77" s="23" t="s">
        <v>202</v>
      </c>
      <c r="E77" s="23" t="s">
        <v>75</v>
      </c>
      <c r="F77" s="24">
        <v>8.4</v>
      </c>
      <c r="G77" s="47">
        <v>0</v>
      </c>
      <c r="H77" s="25">
        <f>F77*AE77</f>
        <v>0</v>
      </c>
      <c r="I77" s="25">
        <f>J77-H77</f>
        <v>0</v>
      </c>
      <c r="J77" s="25">
        <f>F77*G77</f>
        <v>0</v>
      </c>
      <c r="K77" s="25">
        <v>0</v>
      </c>
      <c r="L77" s="25">
        <f>F77*K77</f>
        <v>0</v>
      </c>
      <c r="M77" s="26" t="s">
        <v>32</v>
      </c>
      <c r="P77" s="27">
        <f>IF(AG77="5",J77,0)</f>
        <v>0</v>
      </c>
      <c r="R77" s="27">
        <f>IF(AG77="1",H77,0)</f>
        <v>0</v>
      </c>
      <c r="S77" s="27">
        <f>IF(AG77="1",I77,0)</f>
        <v>0</v>
      </c>
      <c r="T77" s="27">
        <f>IF(AG77="7",H77,0)</f>
        <v>0</v>
      </c>
      <c r="U77" s="27">
        <f>IF(AG77="7",I77,0)</f>
        <v>0</v>
      </c>
      <c r="V77" s="27">
        <f>IF(AG77="2",H77,0)</f>
        <v>0</v>
      </c>
      <c r="W77" s="27">
        <f>IF(AG77="2",I77,0)</f>
        <v>0</v>
      </c>
      <c r="X77" s="27">
        <f>IF(AG77="0",J77,0)</f>
        <v>0</v>
      </c>
      <c r="Y77" s="17"/>
      <c r="Z77" s="25">
        <f>IF(AD77=0,J77,0)</f>
        <v>0</v>
      </c>
      <c r="AA77" s="25">
        <f>IF(AD77=15,J77,0)</f>
        <v>0</v>
      </c>
      <c r="AB77" s="25">
        <f>IF(AD77=21,J77,0)</f>
        <v>0</v>
      </c>
      <c r="AD77" s="27">
        <v>15</v>
      </c>
      <c r="AE77" s="27">
        <f>G77*0</f>
        <v>0</v>
      </c>
      <c r="AF77" s="27">
        <f>G77*(1-0)</f>
        <v>0</v>
      </c>
      <c r="AG77" s="26" t="s">
        <v>28</v>
      </c>
      <c r="AM77" s="27">
        <f>F77*AE77</f>
        <v>0</v>
      </c>
      <c r="AN77" s="27">
        <f>F77*AF77</f>
        <v>0</v>
      </c>
      <c r="AO77" s="28" t="s">
        <v>189</v>
      </c>
      <c r="AP77" s="28" t="s">
        <v>131</v>
      </c>
      <c r="AQ77" s="17" t="s">
        <v>35</v>
      </c>
      <c r="AS77" s="27">
        <f>AM77+AN77</f>
        <v>0</v>
      </c>
      <c r="AT77" s="27">
        <f>G77/(100-AU77)*100</f>
        <v>0</v>
      </c>
      <c r="AU77" s="27">
        <v>0</v>
      </c>
      <c r="AV77" s="27">
        <f>L77</f>
        <v>0</v>
      </c>
    </row>
    <row r="78" spans="1:6" ht="12.75">
      <c r="A78" s="43"/>
      <c r="B78" s="43"/>
      <c r="C78" s="43"/>
      <c r="D78" s="31" t="s">
        <v>206</v>
      </c>
      <c r="E78" s="43"/>
      <c r="F78" s="43"/>
    </row>
    <row r="79" spans="1:48" ht="12.75">
      <c r="A79" s="23" t="s">
        <v>207</v>
      </c>
      <c r="B79" s="23"/>
      <c r="C79" s="23" t="s">
        <v>208</v>
      </c>
      <c r="D79" s="23" t="s">
        <v>209</v>
      </c>
      <c r="E79" s="23" t="s">
        <v>75</v>
      </c>
      <c r="F79" s="24">
        <v>75.02</v>
      </c>
      <c r="G79" s="47">
        <v>0</v>
      </c>
      <c r="H79" s="25">
        <f>F79*AE79</f>
        <v>0</v>
      </c>
      <c r="I79" s="25">
        <f>J79-H79</f>
        <v>0</v>
      </c>
      <c r="J79" s="25">
        <f>F79*G79</f>
        <v>0</v>
      </c>
      <c r="K79" s="25">
        <v>0.01522</v>
      </c>
      <c r="L79" s="25">
        <f>F79*K79</f>
        <v>1.1418043999999998</v>
      </c>
      <c r="M79" s="26" t="s">
        <v>32</v>
      </c>
      <c r="P79" s="27">
        <f>IF(AG79="5",J79,0)</f>
        <v>0</v>
      </c>
      <c r="R79" s="27">
        <f>IF(AG79="1",H79,0)</f>
        <v>0</v>
      </c>
      <c r="S79" s="27">
        <f>IF(AG79="1",I79,0)</f>
        <v>0</v>
      </c>
      <c r="T79" s="27">
        <f>IF(AG79="7",H79,0)</f>
        <v>0</v>
      </c>
      <c r="U79" s="27">
        <f>IF(AG79="7",I79,0)</f>
        <v>0</v>
      </c>
      <c r="V79" s="27">
        <f>IF(AG79="2",H79,0)</f>
        <v>0</v>
      </c>
      <c r="W79" s="27">
        <f>IF(AG79="2",I79,0)</f>
        <v>0</v>
      </c>
      <c r="X79" s="27">
        <f>IF(AG79="0",J79,0)</f>
        <v>0</v>
      </c>
      <c r="Y79" s="17"/>
      <c r="Z79" s="25">
        <f>IF(AD79=0,J79,0)</f>
        <v>0</v>
      </c>
      <c r="AA79" s="25">
        <f>IF(AD79=15,J79,0)</f>
        <v>0</v>
      </c>
      <c r="AB79" s="25">
        <f>IF(AD79=21,J79,0)</f>
        <v>0</v>
      </c>
      <c r="AD79" s="27">
        <v>15</v>
      </c>
      <c r="AE79" s="27">
        <f>G79*0.323672627235213</f>
        <v>0</v>
      </c>
      <c r="AF79" s="27">
        <f>G79*(1-0.323672627235213)</f>
        <v>0</v>
      </c>
      <c r="AG79" s="26" t="s">
        <v>28</v>
      </c>
      <c r="AM79" s="27">
        <f>F79*AE79</f>
        <v>0</v>
      </c>
      <c r="AN79" s="27">
        <f>F79*AF79</f>
        <v>0</v>
      </c>
      <c r="AO79" s="28" t="s">
        <v>189</v>
      </c>
      <c r="AP79" s="28" t="s">
        <v>131</v>
      </c>
      <c r="AQ79" s="17" t="s">
        <v>35</v>
      </c>
      <c r="AS79" s="27">
        <f>AM79+AN79</f>
        <v>0</v>
      </c>
      <c r="AT79" s="27">
        <f>G79/(100-AU79)*100</f>
        <v>0</v>
      </c>
      <c r="AU79" s="27">
        <v>0</v>
      </c>
      <c r="AV79" s="27">
        <f>L79</f>
        <v>1.1418043999999998</v>
      </c>
    </row>
    <row r="80" spans="1:6" ht="12.75">
      <c r="A80" s="43"/>
      <c r="B80" s="43"/>
      <c r="C80" s="43"/>
      <c r="D80" s="31" t="s">
        <v>193</v>
      </c>
      <c r="E80" s="43"/>
      <c r="F80" s="43"/>
    </row>
    <row r="81" spans="1:48" ht="12.75">
      <c r="A81" s="23" t="s">
        <v>210</v>
      </c>
      <c r="B81" s="23"/>
      <c r="C81" s="23" t="s">
        <v>211</v>
      </c>
      <c r="D81" s="23" t="s">
        <v>209</v>
      </c>
      <c r="E81" s="23" t="s">
        <v>75</v>
      </c>
      <c r="F81" s="24">
        <v>11.5</v>
      </c>
      <c r="G81" s="47">
        <v>0</v>
      </c>
      <c r="H81" s="25">
        <f>F81*AE81</f>
        <v>0</v>
      </c>
      <c r="I81" s="25">
        <f>J81-H81</f>
        <v>0</v>
      </c>
      <c r="J81" s="25">
        <f>F81*G81</f>
        <v>0</v>
      </c>
      <c r="K81" s="25">
        <v>0.01522</v>
      </c>
      <c r="L81" s="25">
        <f>F81*K81</f>
        <v>0.17503</v>
      </c>
      <c r="M81" s="26" t="s">
        <v>32</v>
      </c>
      <c r="P81" s="27">
        <f>IF(AG81="5",J81,0)</f>
        <v>0</v>
      </c>
      <c r="R81" s="27">
        <f>IF(AG81="1",H81,0)</f>
        <v>0</v>
      </c>
      <c r="S81" s="27">
        <f>IF(AG81="1",I81,0)</f>
        <v>0</v>
      </c>
      <c r="T81" s="27">
        <f>IF(AG81="7",H81,0)</f>
        <v>0</v>
      </c>
      <c r="U81" s="27">
        <f>IF(AG81="7",I81,0)</f>
        <v>0</v>
      </c>
      <c r="V81" s="27">
        <f>IF(AG81="2",H81,0)</f>
        <v>0</v>
      </c>
      <c r="W81" s="27">
        <f>IF(AG81="2",I81,0)</f>
        <v>0</v>
      </c>
      <c r="X81" s="27">
        <f>IF(AG81="0",J81,0)</f>
        <v>0</v>
      </c>
      <c r="Y81" s="17"/>
      <c r="Z81" s="25">
        <f>IF(AD81=0,J81,0)</f>
        <v>0</v>
      </c>
      <c r="AA81" s="25">
        <f>IF(AD81=15,J81,0)</f>
        <v>0</v>
      </c>
      <c r="AB81" s="25">
        <f>IF(AD81=21,J81,0)</f>
        <v>0</v>
      </c>
      <c r="AD81" s="27">
        <v>15</v>
      </c>
      <c r="AE81" s="27">
        <f>G81*0.356426701570681</f>
        <v>0</v>
      </c>
      <c r="AF81" s="27">
        <f>G81*(1-0.356426701570681)</f>
        <v>0</v>
      </c>
      <c r="AG81" s="26" t="s">
        <v>28</v>
      </c>
      <c r="AM81" s="27">
        <f>F81*AE81</f>
        <v>0</v>
      </c>
      <c r="AN81" s="27">
        <f>F81*AF81</f>
        <v>0</v>
      </c>
      <c r="AO81" s="28" t="s">
        <v>189</v>
      </c>
      <c r="AP81" s="28" t="s">
        <v>131</v>
      </c>
      <c r="AQ81" s="17" t="s">
        <v>35</v>
      </c>
      <c r="AS81" s="27">
        <f>AM81+AN81</f>
        <v>0</v>
      </c>
      <c r="AT81" s="27">
        <f>G81/(100-AU81)*100</f>
        <v>0</v>
      </c>
      <c r="AU81" s="27">
        <v>0</v>
      </c>
      <c r="AV81" s="27">
        <f>L81</f>
        <v>0.17503</v>
      </c>
    </row>
    <row r="82" spans="1:6" ht="12.75">
      <c r="A82" s="43"/>
      <c r="B82" s="43"/>
      <c r="C82" s="43"/>
      <c r="D82" s="31" t="s">
        <v>196</v>
      </c>
      <c r="E82" s="43"/>
      <c r="F82" s="43"/>
    </row>
    <row r="83" spans="1:48" ht="12.75">
      <c r="A83" s="23" t="s">
        <v>212</v>
      </c>
      <c r="B83" s="23"/>
      <c r="C83" s="23" t="s">
        <v>198</v>
      </c>
      <c r="D83" s="23" t="s">
        <v>199</v>
      </c>
      <c r="E83" s="23" t="s">
        <v>75</v>
      </c>
      <c r="F83" s="24">
        <v>86.52</v>
      </c>
      <c r="G83" s="47">
        <v>0</v>
      </c>
      <c r="H83" s="25">
        <f>F83*AE83</f>
        <v>0</v>
      </c>
      <c r="I83" s="25">
        <f>J83-H83</f>
        <v>0</v>
      </c>
      <c r="J83" s="25">
        <f>F83*G83</f>
        <v>0</v>
      </c>
      <c r="K83" s="25">
        <v>0.00414</v>
      </c>
      <c r="L83" s="25">
        <f>F83*K83</f>
        <v>0.3581927999999999</v>
      </c>
      <c r="M83" s="26" t="s">
        <v>32</v>
      </c>
      <c r="P83" s="27">
        <f>IF(AG83="5",J83,0)</f>
        <v>0</v>
      </c>
      <c r="R83" s="27">
        <f>IF(AG83="1",H83,0)</f>
        <v>0</v>
      </c>
      <c r="S83" s="27">
        <f>IF(AG83="1",I83,0)</f>
        <v>0</v>
      </c>
      <c r="T83" s="27">
        <f>IF(AG83="7",H83,0)</f>
        <v>0</v>
      </c>
      <c r="U83" s="27">
        <f>IF(AG83="7",I83,0)</f>
        <v>0</v>
      </c>
      <c r="V83" s="27">
        <f>IF(AG83="2",H83,0)</f>
        <v>0</v>
      </c>
      <c r="W83" s="27">
        <f>IF(AG83="2",I83,0)</f>
        <v>0</v>
      </c>
      <c r="X83" s="27">
        <f>IF(AG83="0",J83,0)</f>
        <v>0</v>
      </c>
      <c r="Y83" s="17"/>
      <c r="Z83" s="25">
        <f>IF(AD83=0,J83,0)</f>
        <v>0</v>
      </c>
      <c r="AA83" s="25">
        <f>IF(AD83=15,J83,0)</f>
        <v>0</v>
      </c>
      <c r="AB83" s="25">
        <f>IF(AD83=21,J83,0)</f>
        <v>0</v>
      </c>
      <c r="AD83" s="27">
        <v>15</v>
      </c>
      <c r="AE83" s="27">
        <f>G83*0.671636363636363</f>
        <v>0</v>
      </c>
      <c r="AF83" s="27">
        <f>G83*(1-0.671636363636363)</f>
        <v>0</v>
      </c>
      <c r="AG83" s="26" t="s">
        <v>28</v>
      </c>
      <c r="AM83" s="27">
        <f>F83*AE83</f>
        <v>0</v>
      </c>
      <c r="AN83" s="27">
        <f>F83*AF83</f>
        <v>0</v>
      </c>
      <c r="AO83" s="28" t="s">
        <v>189</v>
      </c>
      <c r="AP83" s="28" t="s">
        <v>131</v>
      </c>
      <c r="AQ83" s="17" t="s">
        <v>35</v>
      </c>
      <c r="AS83" s="27">
        <f>AM83+AN83</f>
        <v>0</v>
      </c>
      <c r="AT83" s="27">
        <f>G83/(100-AU83)*100</f>
        <v>0</v>
      </c>
      <c r="AU83" s="27">
        <v>0</v>
      </c>
      <c r="AV83" s="27">
        <f>L83</f>
        <v>0.3581927999999999</v>
      </c>
    </row>
    <row r="84" spans="1:48" ht="12.75">
      <c r="A84" s="23" t="s">
        <v>213</v>
      </c>
      <c r="B84" s="23"/>
      <c r="C84" s="23" t="s">
        <v>214</v>
      </c>
      <c r="D84" s="23" t="s">
        <v>215</v>
      </c>
      <c r="E84" s="23" t="s">
        <v>41</v>
      </c>
      <c r="F84" s="24">
        <v>7</v>
      </c>
      <c r="G84" s="47">
        <v>0</v>
      </c>
      <c r="H84" s="25">
        <f>F84*AE84</f>
        <v>0</v>
      </c>
      <c r="I84" s="25">
        <f>J84-H84</f>
        <v>0</v>
      </c>
      <c r="J84" s="25">
        <f>F84*G84</f>
        <v>0</v>
      </c>
      <c r="K84" s="25">
        <v>0.01306</v>
      </c>
      <c r="L84" s="25">
        <f>F84*K84</f>
        <v>0.09142</v>
      </c>
      <c r="M84" s="26" t="s">
        <v>32</v>
      </c>
      <c r="P84" s="27">
        <f>IF(AG84="5",J84,0)</f>
        <v>0</v>
      </c>
      <c r="R84" s="27">
        <f>IF(AG84="1",H84,0)</f>
        <v>0</v>
      </c>
      <c r="S84" s="27">
        <f>IF(AG84="1",I84,0)</f>
        <v>0</v>
      </c>
      <c r="T84" s="27">
        <f>IF(AG84="7",H84,0)</f>
        <v>0</v>
      </c>
      <c r="U84" s="27">
        <f>IF(AG84="7",I84,0)</f>
        <v>0</v>
      </c>
      <c r="V84" s="27">
        <f>IF(AG84="2",H84,0)</f>
        <v>0</v>
      </c>
      <c r="W84" s="27">
        <f>IF(AG84="2",I84,0)</f>
        <v>0</v>
      </c>
      <c r="X84" s="27">
        <f>IF(AG84="0",J84,0)</f>
        <v>0</v>
      </c>
      <c r="Y84" s="17"/>
      <c r="Z84" s="25">
        <f>IF(AD84=0,J84,0)</f>
        <v>0</v>
      </c>
      <c r="AA84" s="25">
        <f>IF(AD84=15,J84,0)</f>
        <v>0</v>
      </c>
      <c r="AB84" s="25">
        <f>IF(AD84=21,J84,0)</f>
        <v>0</v>
      </c>
      <c r="AD84" s="27">
        <v>15</v>
      </c>
      <c r="AE84" s="27">
        <f>G84*0.155651612903226</f>
        <v>0</v>
      </c>
      <c r="AF84" s="27">
        <f>G84*(1-0.155651612903226)</f>
        <v>0</v>
      </c>
      <c r="AG84" s="26" t="s">
        <v>28</v>
      </c>
      <c r="AM84" s="27">
        <f>F84*AE84</f>
        <v>0</v>
      </c>
      <c r="AN84" s="27">
        <f>F84*AF84</f>
        <v>0</v>
      </c>
      <c r="AO84" s="28" t="s">
        <v>189</v>
      </c>
      <c r="AP84" s="28" t="s">
        <v>131</v>
      </c>
      <c r="AQ84" s="17" t="s">
        <v>35</v>
      </c>
      <c r="AS84" s="27">
        <f>AM84+AN84</f>
        <v>0</v>
      </c>
      <c r="AT84" s="27">
        <f>G84/(100-AU84)*100</f>
        <v>0</v>
      </c>
      <c r="AU84" s="27">
        <v>0</v>
      </c>
      <c r="AV84" s="27">
        <f>L84</f>
        <v>0.09142</v>
      </c>
    </row>
    <row r="85" spans="1:6" ht="12.75">
      <c r="A85" s="43"/>
      <c r="B85" s="43"/>
      <c r="C85" s="43"/>
      <c r="D85" s="31" t="s">
        <v>216</v>
      </c>
      <c r="E85" s="43"/>
      <c r="F85" s="43"/>
    </row>
    <row r="86" spans="1:37" ht="12.75">
      <c r="A86" s="29"/>
      <c r="B86" s="30"/>
      <c r="C86" s="30" t="s">
        <v>172</v>
      </c>
      <c r="D86" s="30" t="s">
        <v>217</v>
      </c>
      <c r="E86" s="29" t="s">
        <v>10</v>
      </c>
      <c r="F86" s="29" t="s">
        <v>10</v>
      </c>
      <c r="G86" s="48" t="s">
        <v>10</v>
      </c>
      <c r="H86" s="22">
        <f>SUM(H87:H103)</f>
        <v>0</v>
      </c>
      <c r="I86" s="22">
        <f>SUM(I87:I103)</f>
        <v>0</v>
      </c>
      <c r="J86" s="22">
        <f>H86+I86</f>
        <v>0</v>
      </c>
      <c r="K86" s="17"/>
      <c r="L86" s="22">
        <f>SUM(L87:L103)</f>
        <v>20.41884228</v>
      </c>
      <c r="M86" s="17"/>
      <c r="Y86" s="17"/>
      <c r="AI86" s="22">
        <f>SUM(Z87:Z103)</f>
        <v>0</v>
      </c>
      <c r="AJ86" s="22">
        <f>SUM(AA87:AA103)</f>
        <v>0</v>
      </c>
      <c r="AK86" s="22">
        <f>SUM(AB87:AB103)</f>
        <v>0</v>
      </c>
    </row>
    <row r="87" spans="1:48" ht="12.75">
      <c r="A87" s="23" t="s">
        <v>218</v>
      </c>
      <c r="B87" s="23"/>
      <c r="C87" s="23" t="s">
        <v>219</v>
      </c>
      <c r="D87" s="23" t="s">
        <v>220</v>
      </c>
      <c r="E87" s="23" t="s">
        <v>31</v>
      </c>
      <c r="F87" s="24">
        <v>4.704</v>
      </c>
      <c r="G87" s="47">
        <v>0</v>
      </c>
      <c r="H87" s="25">
        <f>F87*AE87</f>
        <v>0</v>
      </c>
      <c r="I87" s="25">
        <f>J87-H87</f>
        <v>0</v>
      </c>
      <c r="J87" s="25">
        <f>F87*G87</f>
        <v>0</v>
      </c>
      <c r="K87" s="25">
        <v>2.52511</v>
      </c>
      <c r="L87" s="25">
        <f>F87*K87</f>
        <v>11.87811744</v>
      </c>
      <c r="M87" s="26" t="s">
        <v>32</v>
      </c>
      <c r="P87" s="27">
        <f>IF(AG87="5",J87,0)</f>
        <v>0</v>
      </c>
      <c r="R87" s="27">
        <f>IF(AG87="1",H87,0)</f>
        <v>0</v>
      </c>
      <c r="S87" s="27">
        <f>IF(AG87="1",I87,0)</f>
        <v>0</v>
      </c>
      <c r="T87" s="27">
        <f>IF(AG87="7",H87,0)</f>
        <v>0</v>
      </c>
      <c r="U87" s="27">
        <f>IF(AG87="7",I87,0)</f>
        <v>0</v>
      </c>
      <c r="V87" s="27">
        <f>IF(AG87="2",H87,0)</f>
        <v>0</v>
      </c>
      <c r="W87" s="27">
        <f>IF(AG87="2",I87,0)</f>
        <v>0</v>
      </c>
      <c r="X87" s="27">
        <f>IF(AG87="0",J87,0)</f>
        <v>0</v>
      </c>
      <c r="Y87" s="17"/>
      <c r="Z87" s="25">
        <f>IF(AD87=0,J87,0)</f>
        <v>0</v>
      </c>
      <c r="AA87" s="25">
        <f>IF(AD87=15,J87,0)</f>
        <v>0</v>
      </c>
      <c r="AB87" s="25">
        <f>IF(AD87=21,J87,0)</f>
        <v>0</v>
      </c>
      <c r="AD87" s="27">
        <v>15</v>
      </c>
      <c r="AE87" s="27">
        <f>G87*0.801127853667125</f>
        <v>0</v>
      </c>
      <c r="AF87" s="27">
        <f>G87*(1-0.801127853667125)</f>
        <v>0</v>
      </c>
      <c r="AG87" s="26" t="s">
        <v>28</v>
      </c>
      <c r="AM87" s="27">
        <f>F87*AE87</f>
        <v>0</v>
      </c>
      <c r="AN87" s="27">
        <f>F87*AF87</f>
        <v>0</v>
      </c>
      <c r="AO87" s="28" t="s">
        <v>221</v>
      </c>
      <c r="AP87" s="28" t="s">
        <v>222</v>
      </c>
      <c r="AQ87" s="17" t="s">
        <v>35</v>
      </c>
      <c r="AS87" s="27">
        <f>AM87+AN87</f>
        <v>0</v>
      </c>
      <c r="AT87" s="27">
        <f>G87/(100-AU87)*100</f>
        <v>0</v>
      </c>
      <c r="AU87" s="27">
        <v>0</v>
      </c>
      <c r="AV87" s="27">
        <f>L87</f>
        <v>11.87811744</v>
      </c>
    </row>
    <row r="88" spans="1:6" ht="12.75">
      <c r="A88" s="43"/>
      <c r="B88" s="43"/>
      <c r="C88" s="43"/>
      <c r="D88" s="31" t="s">
        <v>223</v>
      </c>
      <c r="E88" s="43"/>
      <c r="F88" s="43"/>
    </row>
    <row r="89" spans="1:48" ht="12.75">
      <c r="A89" s="23" t="s">
        <v>224</v>
      </c>
      <c r="B89" s="23"/>
      <c r="C89" s="23" t="s">
        <v>225</v>
      </c>
      <c r="D89" s="23" t="s">
        <v>226</v>
      </c>
      <c r="E89" s="23" t="s">
        <v>75</v>
      </c>
      <c r="F89" s="24">
        <v>36.681</v>
      </c>
      <c r="G89" s="47">
        <v>0</v>
      </c>
      <c r="H89" s="25">
        <f>F89*AE89</f>
        <v>0</v>
      </c>
      <c r="I89" s="25">
        <f>J89-H89</f>
        <v>0</v>
      </c>
      <c r="J89" s="25">
        <f>F89*G89</f>
        <v>0</v>
      </c>
      <c r="K89" s="25">
        <v>0.00782</v>
      </c>
      <c r="L89" s="25">
        <f>F89*K89</f>
        <v>0.28684542</v>
      </c>
      <c r="M89" s="26" t="s">
        <v>32</v>
      </c>
      <c r="P89" s="27">
        <f>IF(AG89="5",J89,0)</f>
        <v>0</v>
      </c>
      <c r="R89" s="27">
        <f>IF(AG89="1",H89,0)</f>
        <v>0</v>
      </c>
      <c r="S89" s="27">
        <f>IF(AG89="1",I89,0)</f>
        <v>0</v>
      </c>
      <c r="T89" s="27">
        <f>IF(AG89="7",H89,0)</f>
        <v>0</v>
      </c>
      <c r="U89" s="27">
        <f>IF(AG89="7",I89,0)</f>
        <v>0</v>
      </c>
      <c r="V89" s="27">
        <f>IF(AG89="2",H89,0)</f>
        <v>0</v>
      </c>
      <c r="W89" s="27">
        <f>IF(AG89="2",I89,0)</f>
        <v>0</v>
      </c>
      <c r="X89" s="27">
        <f>IF(AG89="0",J89,0)</f>
        <v>0</v>
      </c>
      <c r="Y89" s="17"/>
      <c r="Z89" s="25">
        <f>IF(AD89=0,J89,0)</f>
        <v>0</v>
      </c>
      <c r="AA89" s="25">
        <f>IF(AD89=15,J89,0)</f>
        <v>0</v>
      </c>
      <c r="AB89" s="25">
        <f>IF(AD89=21,J89,0)</f>
        <v>0</v>
      </c>
      <c r="AD89" s="27">
        <v>15</v>
      </c>
      <c r="AE89" s="27">
        <f>G89*0.25578928627067</f>
        <v>0</v>
      </c>
      <c r="AF89" s="27">
        <f>G89*(1-0.25578928627067)</f>
        <v>0</v>
      </c>
      <c r="AG89" s="26" t="s">
        <v>28</v>
      </c>
      <c r="AM89" s="27">
        <f>F89*AE89</f>
        <v>0</v>
      </c>
      <c r="AN89" s="27">
        <f>F89*AF89</f>
        <v>0</v>
      </c>
      <c r="AO89" s="28" t="s">
        <v>221</v>
      </c>
      <c r="AP89" s="28" t="s">
        <v>222</v>
      </c>
      <c r="AQ89" s="17" t="s">
        <v>35</v>
      </c>
      <c r="AS89" s="27">
        <f>AM89+AN89</f>
        <v>0</v>
      </c>
      <c r="AT89" s="27">
        <f>G89/(100-AU89)*100</f>
        <v>0</v>
      </c>
      <c r="AU89" s="27">
        <v>0</v>
      </c>
      <c r="AV89" s="27">
        <f>L89</f>
        <v>0.28684542</v>
      </c>
    </row>
    <row r="90" spans="1:48" ht="12.75">
      <c r="A90" s="23" t="s">
        <v>227</v>
      </c>
      <c r="B90" s="23"/>
      <c r="C90" s="23" t="s">
        <v>228</v>
      </c>
      <c r="D90" s="23" t="s">
        <v>229</v>
      </c>
      <c r="E90" s="23" t="s">
        <v>75</v>
      </c>
      <c r="F90" s="24">
        <v>36.681</v>
      </c>
      <c r="G90" s="47">
        <v>0</v>
      </c>
      <c r="H90" s="25">
        <f>F90*AE90</f>
        <v>0</v>
      </c>
      <c r="I90" s="25">
        <f>J90-H90</f>
        <v>0</v>
      </c>
      <c r="J90" s="25">
        <f>F90*G90</f>
        <v>0</v>
      </c>
      <c r="K90" s="25">
        <v>0</v>
      </c>
      <c r="L90" s="25">
        <f>F90*K90</f>
        <v>0</v>
      </c>
      <c r="M90" s="26" t="s">
        <v>32</v>
      </c>
      <c r="P90" s="27">
        <f>IF(AG90="5",J90,0)</f>
        <v>0</v>
      </c>
      <c r="R90" s="27">
        <f>IF(AG90="1",H90,0)</f>
        <v>0</v>
      </c>
      <c r="S90" s="27">
        <f>IF(AG90="1",I90,0)</f>
        <v>0</v>
      </c>
      <c r="T90" s="27">
        <f>IF(AG90="7",H90,0)</f>
        <v>0</v>
      </c>
      <c r="U90" s="27">
        <f>IF(AG90="7",I90,0)</f>
        <v>0</v>
      </c>
      <c r="V90" s="27">
        <f>IF(AG90="2",H90,0)</f>
        <v>0</v>
      </c>
      <c r="W90" s="27">
        <f>IF(AG90="2",I90,0)</f>
        <v>0</v>
      </c>
      <c r="X90" s="27">
        <f>IF(AG90="0",J90,0)</f>
        <v>0</v>
      </c>
      <c r="Y90" s="17"/>
      <c r="Z90" s="25">
        <f>IF(AD90=0,J90,0)</f>
        <v>0</v>
      </c>
      <c r="AA90" s="25">
        <f>IF(AD90=15,J90,0)</f>
        <v>0</v>
      </c>
      <c r="AB90" s="25">
        <f>IF(AD90=21,J90,0)</f>
        <v>0</v>
      </c>
      <c r="AD90" s="27">
        <v>15</v>
      </c>
      <c r="AE90" s="27">
        <f>G90*0</f>
        <v>0</v>
      </c>
      <c r="AF90" s="27">
        <f>G90*(1-0)</f>
        <v>0</v>
      </c>
      <c r="AG90" s="26" t="s">
        <v>28</v>
      </c>
      <c r="AM90" s="27">
        <f>F90*AE90</f>
        <v>0</v>
      </c>
      <c r="AN90" s="27">
        <f>F90*AF90</f>
        <v>0</v>
      </c>
      <c r="AO90" s="28" t="s">
        <v>221</v>
      </c>
      <c r="AP90" s="28" t="s">
        <v>222</v>
      </c>
      <c r="AQ90" s="17" t="s">
        <v>35</v>
      </c>
      <c r="AS90" s="27">
        <f>AM90+AN90</f>
        <v>0</v>
      </c>
      <c r="AT90" s="27">
        <f>G90/(100-AU90)*100</f>
        <v>0</v>
      </c>
      <c r="AU90" s="27">
        <v>0</v>
      </c>
      <c r="AV90" s="27">
        <f>L90</f>
        <v>0</v>
      </c>
    </row>
    <row r="91" spans="1:48" ht="12.75">
      <c r="A91" s="23" t="s">
        <v>230</v>
      </c>
      <c r="B91" s="23"/>
      <c r="C91" s="23" t="s">
        <v>231</v>
      </c>
      <c r="D91" s="23" t="s">
        <v>232</v>
      </c>
      <c r="E91" s="23" t="s">
        <v>109</v>
      </c>
      <c r="F91" s="24">
        <v>0.549</v>
      </c>
      <c r="G91" s="47">
        <v>0</v>
      </c>
      <c r="H91" s="25">
        <f>F91*AE91</f>
        <v>0</v>
      </c>
      <c r="I91" s="25">
        <f>J91-H91</f>
        <v>0</v>
      </c>
      <c r="J91" s="25">
        <f>F91*G91</f>
        <v>0</v>
      </c>
      <c r="K91" s="25">
        <v>1.01665</v>
      </c>
      <c r="L91" s="25">
        <f>F91*K91</f>
        <v>0.55814085</v>
      </c>
      <c r="M91" s="26" t="s">
        <v>32</v>
      </c>
      <c r="P91" s="27">
        <f>IF(AG91="5",J91,0)</f>
        <v>0</v>
      </c>
      <c r="R91" s="27">
        <f>IF(AG91="1",H91,0)</f>
        <v>0</v>
      </c>
      <c r="S91" s="27">
        <f>IF(AG91="1",I91,0)</f>
        <v>0</v>
      </c>
      <c r="T91" s="27">
        <f>IF(AG91="7",H91,0)</f>
        <v>0</v>
      </c>
      <c r="U91" s="27">
        <f>IF(AG91="7",I91,0)</f>
        <v>0</v>
      </c>
      <c r="V91" s="27">
        <f>IF(AG91="2",H91,0)</f>
        <v>0</v>
      </c>
      <c r="W91" s="27">
        <f>IF(AG91="2",I91,0)</f>
        <v>0</v>
      </c>
      <c r="X91" s="27">
        <f>IF(AG91="0",J91,0)</f>
        <v>0</v>
      </c>
      <c r="Y91" s="17"/>
      <c r="Z91" s="25">
        <f>IF(AD91=0,J91,0)</f>
        <v>0</v>
      </c>
      <c r="AA91" s="25">
        <f>IF(AD91=15,J91,0)</f>
        <v>0</v>
      </c>
      <c r="AB91" s="25">
        <f>IF(AD91=21,J91,0)</f>
        <v>0</v>
      </c>
      <c r="AD91" s="27">
        <v>15</v>
      </c>
      <c r="AE91" s="27">
        <f>G91*0.642672870020355</f>
        <v>0</v>
      </c>
      <c r="AF91" s="27">
        <f>G91*(1-0.642672870020355)</f>
        <v>0</v>
      </c>
      <c r="AG91" s="26" t="s">
        <v>28</v>
      </c>
      <c r="AM91" s="27">
        <f>F91*AE91</f>
        <v>0</v>
      </c>
      <c r="AN91" s="27">
        <f>F91*AF91</f>
        <v>0</v>
      </c>
      <c r="AO91" s="28" t="s">
        <v>221</v>
      </c>
      <c r="AP91" s="28" t="s">
        <v>222</v>
      </c>
      <c r="AQ91" s="17" t="s">
        <v>35</v>
      </c>
      <c r="AS91" s="27">
        <f>AM91+AN91</f>
        <v>0</v>
      </c>
      <c r="AT91" s="27">
        <f>G91/(100-AU91)*100</f>
        <v>0</v>
      </c>
      <c r="AU91" s="27">
        <v>0</v>
      </c>
      <c r="AV91" s="27">
        <f>L91</f>
        <v>0.55814085</v>
      </c>
    </row>
    <row r="92" spans="1:48" ht="12.75">
      <c r="A92" s="23" t="s">
        <v>233</v>
      </c>
      <c r="B92" s="23"/>
      <c r="C92" s="23" t="s">
        <v>219</v>
      </c>
      <c r="D92" s="23" t="s">
        <v>220</v>
      </c>
      <c r="E92" s="23" t="s">
        <v>31</v>
      </c>
      <c r="F92" s="24">
        <v>2.406</v>
      </c>
      <c r="G92" s="47">
        <v>0</v>
      </c>
      <c r="H92" s="25">
        <f>F92*AE92</f>
        <v>0</v>
      </c>
      <c r="I92" s="25">
        <f>J92-H92</f>
        <v>0</v>
      </c>
      <c r="J92" s="25">
        <f>F92*G92</f>
        <v>0</v>
      </c>
      <c r="K92" s="25">
        <v>2.52511</v>
      </c>
      <c r="L92" s="25">
        <f>F92*K92</f>
        <v>6.075414660000001</v>
      </c>
      <c r="M92" s="26" t="s">
        <v>32</v>
      </c>
      <c r="P92" s="27">
        <f>IF(AG92="5",J92,0)</f>
        <v>0</v>
      </c>
      <c r="R92" s="27">
        <f>IF(AG92="1",H92,0)</f>
        <v>0</v>
      </c>
      <c r="S92" s="27">
        <f>IF(AG92="1",I92,0)</f>
        <v>0</v>
      </c>
      <c r="T92" s="27">
        <f>IF(AG92="7",H92,0)</f>
        <v>0</v>
      </c>
      <c r="U92" s="27">
        <f>IF(AG92="7",I92,0)</f>
        <v>0</v>
      </c>
      <c r="V92" s="27">
        <f>IF(AG92="2",H92,0)</f>
        <v>0</v>
      </c>
      <c r="W92" s="27">
        <f>IF(AG92="2",I92,0)</f>
        <v>0</v>
      </c>
      <c r="X92" s="27">
        <f>IF(AG92="0",J92,0)</f>
        <v>0</v>
      </c>
      <c r="Y92" s="17"/>
      <c r="Z92" s="25">
        <f>IF(AD92=0,J92,0)</f>
        <v>0</v>
      </c>
      <c r="AA92" s="25">
        <f>IF(AD92=15,J92,0)</f>
        <v>0</v>
      </c>
      <c r="AB92" s="25">
        <f>IF(AD92=21,J92,0)</f>
        <v>0</v>
      </c>
      <c r="AD92" s="27">
        <v>15</v>
      </c>
      <c r="AE92" s="27">
        <f>G92*0.801127182427243</f>
        <v>0</v>
      </c>
      <c r="AF92" s="27">
        <f>G92*(1-0.801127182427243)</f>
        <v>0</v>
      </c>
      <c r="AG92" s="26" t="s">
        <v>28</v>
      </c>
      <c r="AM92" s="27">
        <f>F92*AE92</f>
        <v>0</v>
      </c>
      <c r="AN92" s="27">
        <f>F92*AF92</f>
        <v>0</v>
      </c>
      <c r="AO92" s="28" t="s">
        <v>221</v>
      </c>
      <c r="AP92" s="28" t="s">
        <v>222</v>
      </c>
      <c r="AQ92" s="17" t="s">
        <v>35</v>
      </c>
      <c r="AS92" s="27">
        <f>AM92+AN92</f>
        <v>0</v>
      </c>
      <c r="AT92" s="27">
        <f>G92/(100-AU92)*100</f>
        <v>0</v>
      </c>
      <c r="AU92" s="27">
        <v>0</v>
      </c>
      <c r="AV92" s="27">
        <f>L92</f>
        <v>6.075414660000001</v>
      </c>
    </row>
    <row r="93" spans="1:6" ht="12.75">
      <c r="A93" s="43"/>
      <c r="B93" s="43"/>
      <c r="C93" s="43"/>
      <c r="D93" s="31" t="s">
        <v>234</v>
      </c>
      <c r="E93" s="43"/>
      <c r="F93" s="43"/>
    </row>
    <row r="94" spans="1:48" ht="12.75">
      <c r="A94" s="23" t="s">
        <v>235</v>
      </c>
      <c r="B94" s="23"/>
      <c r="C94" s="23" t="s">
        <v>225</v>
      </c>
      <c r="D94" s="23" t="s">
        <v>226</v>
      </c>
      <c r="E94" s="23" t="s">
        <v>75</v>
      </c>
      <c r="F94" s="24">
        <v>19.25</v>
      </c>
      <c r="G94" s="47">
        <v>0</v>
      </c>
      <c r="H94" s="25">
        <f>F94*AE94</f>
        <v>0</v>
      </c>
      <c r="I94" s="25">
        <f>J94-H94</f>
        <v>0</v>
      </c>
      <c r="J94" s="25">
        <f>F94*G94</f>
        <v>0</v>
      </c>
      <c r="K94" s="25">
        <v>0.00782</v>
      </c>
      <c r="L94" s="25">
        <f>F94*K94</f>
        <v>0.150535</v>
      </c>
      <c r="M94" s="26" t="s">
        <v>32</v>
      </c>
      <c r="P94" s="27">
        <f>IF(AG94="5",J94,0)</f>
        <v>0</v>
      </c>
      <c r="R94" s="27">
        <f>IF(AG94="1",H94,0)</f>
        <v>0</v>
      </c>
      <c r="S94" s="27">
        <f>IF(AG94="1",I94,0)</f>
        <v>0</v>
      </c>
      <c r="T94" s="27">
        <f>IF(AG94="7",H94,0)</f>
        <v>0</v>
      </c>
      <c r="U94" s="27">
        <f>IF(AG94="7",I94,0)</f>
        <v>0</v>
      </c>
      <c r="V94" s="27">
        <f>IF(AG94="2",H94,0)</f>
        <v>0</v>
      </c>
      <c r="W94" s="27">
        <f>IF(AG94="2",I94,0)</f>
        <v>0</v>
      </c>
      <c r="X94" s="27">
        <f>IF(AG94="0",J94,0)</f>
        <v>0</v>
      </c>
      <c r="Y94" s="17"/>
      <c r="Z94" s="25">
        <f>IF(AD94=0,J94,0)</f>
        <v>0</v>
      </c>
      <c r="AA94" s="25">
        <f>IF(AD94=15,J94,0)</f>
        <v>0</v>
      </c>
      <c r="AB94" s="25">
        <f>IF(AD94=21,J94,0)</f>
        <v>0</v>
      </c>
      <c r="AD94" s="27">
        <v>15</v>
      </c>
      <c r="AE94" s="27">
        <f>G94*0.255789363572881</f>
        <v>0</v>
      </c>
      <c r="AF94" s="27">
        <f>G94*(1-0.255789363572881)</f>
        <v>0</v>
      </c>
      <c r="AG94" s="26" t="s">
        <v>28</v>
      </c>
      <c r="AM94" s="27">
        <f>F94*AE94</f>
        <v>0</v>
      </c>
      <c r="AN94" s="27">
        <f>F94*AF94</f>
        <v>0</v>
      </c>
      <c r="AO94" s="28" t="s">
        <v>221</v>
      </c>
      <c r="AP94" s="28" t="s">
        <v>222</v>
      </c>
      <c r="AQ94" s="17" t="s">
        <v>35</v>
      </c>
      <c r="AS94" s="27">
        <f>AM94+AN94</f>
        <v>0</v>
      </c>
      <c r="AT94" s="27">
        <f>G94/(100-AU94)*100</f>
        <v>0</v>
      </c>
      <c r="AU94" s="27">
        <v>0</v>
      </c>
      <c r="AV94" s="27">
        <f>L94</f>
        <v>0.150535</v>
      </c>
    </row>
    <row r="95" spans="1:48" ht="12.75">
      <c r="A95" s="23" t="s">
        <v>236</v>
      </c>
      <c r="B95" s="23"/>
      <c r="C95" s="23" t="s">
        <v>228</v>
      </c>
      <c r="D95" s="23" t="s">
        <v>229</v>
      </c>
      <c r="E95" s="23" t="s">
        <v>75</v>
      </c>
      <c r="F95" s="24">
        <v>19.25</v>
      </c>
      <c r="G95" s="47">
        <v>0</v>
      </c>
      <c r="H95" s="25">
        <f>F95*AE95</f>
        <v>0</v>
      </c>
      <c r="I95" s="25">
        <f>J95-H95</f>
        <v>0</v>
      </c>
      <c r="J95" s="25">
        <f>F95*G95</f>
        <v>0</v>
      </c>
      <c r="K95" s="25">
        <v>0</v>
      </c>
      <c r="L95" s="25">
        <f>F95*K95</f>
        <v>0</v>
      </c>
      <c r="M95" s="26" t="s">
        <v>32</v>
      </c>
      <c r="P95" s="27">
        <f>IF(AG95="5",J95,0)</f>
        <v>0</v>
      </c>
      <c r="R95" s="27">
        <f>IF(AG95="1",H95,0)</f>
        <v>0</v>
      </c>
      <c r="S95" s="27">
        <f>IF(AG95="1",I95,0)</f>
        <v>0</v>
      </c>
      <c r="T95" s="27">
        <f>IF(AG95="7",H95,0)</f>
        <v>0</v>
      </c>
      <c r="U95" s="27">
        <f>IF(AG95="7",I95,0)</f>
        <v>0</v>
      </c>
      <c r="V95" s="27">
        <f>IF(AG95="2",H95,0)</f>
        <v>0</v>
      </c>
      <c r="W95" s="27">
        <f>IF(AG95="2",I95,0)</f>
        <v>0</v>
      </c>
      <c r="X95" s="27">
        <f>IF(AG95="0",J95,0)</f>
        <v>0</v>
      </c>
      <c r="Y95" s="17"/>
      <c r="Z95" s="25">
        <f>IF(AD95=0,J95,0)</f>
        <v>0</v>
      </c>
      <c r="AA95" s="25">
        <f>IF(AD95=15,J95,0)</f>
        <v>0</v>
      </c>
      <c r="AB95" s="25">
        <f>IF(AD95=21,J95,0)</f>
        <v>0</v>
      </c>
      <c r="AD95" s="27">
        <v>15</v>
      </c>
      <c r="AE95" s="27">
        <f>G95*0</f>
        <v>0</v>
      </c>
      <c r="AF95" s="27">
        <f>G95*(1-0)</f>
        <v>0</v>
      </c>
      <c r="AG95" s="26" t="s">
        <v>28</v>
      </c>
      <c r="AM95" s="27">
        <f>F95*AE95</f>
        <v>0</v>
      </c>
      <c r="AN95" s="27">
        <f>F95*AF95</f>
        <v>0</v>
      </c>
      <c r="AO95" s="28" t="s">
        <v>221</v>
      </c>
      <c r="AP95" s="28" t="s">
        <v>222</v>
      </c>
      <c r="AQ95" s="17" t="s">
        <v>35</v>
      </c>
      <c r="AS95" s="27">
        <f>AM95+AN95</f>
        <v>0</v>
      </c>
      <c r="AT95" s="27">
        <f>G95/(100-AU95)*100</f>
        <v>0</v>
      </c>
      <c r="AU95" s="27">
        <v>0</v>
      </c>
      <c r="AV95" s="27">
        <f>L95</f>
        <v>0</v>
      </c>
    </row>
    <row r="96" spans="1:48" ht="12.75">
      <c r="A96" s="23" t="s">
        <v>237</v>
      </c>
      <c r="B96" s="23"/>
      <c r="C96" s="23" t="s">
        <v>231</v>
      </c>
      <c r="D96" s="23" t="s">
        <v>232</v>
      </c>
      <c r="E96" s="23" t="s">
        <v>109</v>
      </c>
      <c r="F96" s="24">
        <v>0.262</v>
      </c>
      <c r="G96" s="47">
        <v>0</v>
      </c>
      <c r="H96" s="25">
        <f>F96*AE96</f>
        <v>0</v>
      </c>
      <c r="I96" s="25">
        <f>J96-H96</f>
        <v>0</v>
      </c>
      <c r="J96" s="25">
        <f>F96*G96</f>
        <v>0</v>
      </c>
      <c r="K96" s="25">
        <v>1.01665</v>
      </c>
      <c r="L96" s="25">
        <f>F96*K96</f>
        <v>0.26636230000000005</v>
      </c>
      <c r="M96" s="26" t="s">
        <v>32</v>
      </c>
      <c r="P96" s="27">
        <f>IF(AG96="5",J96,0)</f>
        <v>0</v>
      </c>
      <c r="R96" s="27">
        <f>IF(AG96="1",H96,0)</f>
        <v>0</v>
      </c>
      <c r="S96" s="27">
        <f>IF(AG96="1",I96,0)</f>
        <v>0</v>
      </c>
      <c r="T96" s="27">
        <f>IF(AG96="7",H96,0)</f>
        <v>0</v>
      </c>
      <c r="U96" s="27">
        <f>IF(AG96="7",I96,0)</f>
        <v>0</v>
      </c>
      <c r="V96" s="27">
        <f>IF(AG96="2",H96,0)</f>
        <v>0</v>
      </c>
      <c r="W96" s="27">
        <f>IF(AG96="2",I96,0)</f>
        <v>0</v>
      </c>
      <c r="X96" s="27">
        <f>IF(AG96="0",J96,0)</f>
        <v>0</v>
      </c>
      <c r="Y96" s="17"/>
      <c r="Z96" s="25">
        <f>IF(AD96=0,J96,0)</f>
        <v>0</v>
      </c>
      <c r="AA96" s="25">
        <f>IF(AD96=15,J96,0)</f>
        <v>0</v>
      </c>
      <c r="AB96" s="25">
        <f>IF(AD96=21,J96,0)</f>
        <v>0</v>
      </c>
      <c r="AD96" s="27">
        <v>15</v>
      </c>
      <c r="AE96" s="27">
        <f>G96*0.642672870020355</f>
        <v>0</v>
      </c>
      <c r="AF96" s="27">
        <f>G96*(1-0.642672870020355)</f>
        <v>0</v>
      </c>
      <c r="AG96" s="26" t="s">
        <v>28</v>
      </c>
      <c r="AM96" s="27">
        <f>F96*AE96</f>
        <v>0</v>
      </c>
      <c r="AN96" s="27">
        <f>F96*AF96</f>
        <v>0</v>
      </c>
      <c r="AO96" s="28" t="s">
        <v>221</v>
      </c>
      <c r="AP96" s="28" t="s">
        <v>222</v>
      </c>
      <c r="AQ96" s="17" t="s">
        <v>35</v>
      </c>
      <c r="AS96" s="27">
        <f>AM96+AN96</f>
        <v>0</v>
      </c>
      <c r="AT96" s="27">
        <f>G96/(100-AU96)*100</f>
        <v>0</v>
      </c>
      <c r="AU96" s="27">
        <v>0</v>
      </c>
      <c r="AV96" s="27">
        <f>L96</f>
        <v>0.26636230000000005</v>
      </c>
    </row>
    <row r="97" spans="1:48" ht="12.75">
      <c r="A97" s="23" t="s">
        <v>238</v>
      </c>
      <c r="B97" s="23"/>
      <c r="C97" s="23" t="s">
        <v>239</v>
      </c>
      <c r="D97" s="23" t="s">
        <v>240</v>
      </c>
      <c r="E97" s="23" t="s">
        <v>241</v>
      </c>
      <c r="F97" s="24">
        <v>124.404</v>
      </c>
      <c r="G97" s="47">
        <v>0</v>
      </c>
      <c r="H97" s="25">
        <f>F97*AE97</f>
        <v>0</v>
      </c>
      <c r="I97" s="25">
        <f>J97-H97</f>
        <v>0</v>
      </c>
      <c r="J97" s="25">
        <f>F97*G97</f>
        <v>0</v>
      </c>
      <c r="K97" s="25">
        <v>0</v>
      </c>
      <c r="L97" s="25">
        <f>F97*K97</f>
        <v>0</v>
      </c>
      <c r="M97" s="26"/>
      <c r="P97" s="27">
        <f>IF(AG97="5",J97,0)</f>
        <v>0</v>
      </c>
      <c r="R97" s="27">
        <f>IF(AG97="1",H97,0)</f>
        <v>0</v>
      </c>
      <c r="S97" s="27">
        <f>IF(AG97="1",I97,0)</f>
        <v>0</v>
      </c>
      <c r="T97" s="27">
        <f>IF(AG97="7",H97,0)</f>
        <v>0</v>
      </c>
      <c r="U97" s="27">
        <f>IF(AG97="7",I97,0)</f>
        <v>0</v>
      </c>
      <c r="V97" s="27">
        <f>IF(AG97="2",H97,0)</f>
        <v>0</v>
      </c>
      <c r="W97" s="27">
        <f>IF(AG97="2",I97,0)</f>
        <v>0</v>
      </c>
      <c r="X97" s="27">
        <f>IF(AG97="0",J97,0)</f>
        <v>0</v>
      </c>
      <c r="Y97" s="17"/>
      <c r="Z97" s="25">
        <f>IF(AD97=0,J97,0)</f>
        <v>0</v>
      </c>
      <c r="AA97" s="25">
        <f>IF(AD97=15,J97,0)</f>
        <v>0</v>
      </c>
      <c r="AB97" s="25">
        <f>IF(AD97=21,J97,0)</f>
        <v>0</v>
      </c>
      <c r="AD97" s="27">
        <v>15</v>
      </c>
      <c r="AE97" s="27">
        <f>G97*0.769225</f>
        <v>0</v>
      </c>
      <c r="AF97" s="27">
        <f>G97*(1-0.769225)</f>
        <v>0</v>
      </c>
      <c r="AG97" s="26" t="s">
        <v>28</v>
      </c>
      <c r="AM97" s="27">
        <f>F97*AE97</f>
        <v>0</v>
      </c>
      <c r="AN97" s="27">
        <f>F97*AF97</f>
        <v>0</v>
      </c>
      <c r="AO97" s="28" t="s">
        <v>221</v>
      </c>
      <c r="AP97" s="28" t="s">
        <v>222</v>
      </c>
      <c r="AQ97" s="17" t="s">
        <v>35</v>
      </c>
      <c r="AS97" s="27">
        <f>AM97+AN97</f>
        <v>0</v>
      </c>
      <c r="AT97" s="27">
        <f>G97/(100-AU97)*100</f>
        <v>0</v>
      </c>
      <c r="AU97" s="27">
        <v>0</v>
      </c>
      <c r="AV97" s="27">
        <f>L97</f>
        <v>0</v>
      </c>
    </row>
    <row r="98" spans="1:6" ht="12.75">
      <c r="A98" s="43"/>
      <c r="B98" s="43"/>
      <c r="C98" s="43"/>
      <c r="D98" s="31" t="s">
        <v>242</v>
      </c>
      <c r="E98" s="43"/>
      <c r="F98" s="43"/>
    </row>
    <row r="99" spans="1:48" ht="12.75">
      <c r="A99" s="23" t="s">
        <v>243</v>
      </c>
      <c r="B99" s="23"/>
      <c r="C99" s="23" t="s">
        <v>244</v>
      </c>
      <c r="D99" s="23" t="s">
        <v>245</v>
      </c>
      <c r="E99" s="23" t="s">
        <v>109</v>
      </c>
      <c r="F99" s="24">
        <v>0.06</v>
      </c>
      <c r="G99" s="47">
        <v>0</v>
      </c>
      <c r="H99" s="25">
        <f>F99*AE99</f>
        <v>0</v>
      </c>
      <c r="I99" s="25">
        <f>J99-H99</f>
        <v>0</v>
      </c>
      <c r="J99" s="25">
        <f>F99*G99</f>
        <v>0</v>
      </c>
      <c r="K99" s="25">
        <v>1.09188</v>
      </c>
      <c r="L99" s="25">
        <f>F99*K99</f>
        <v>0.0655128</v>
      </c>
      <c r="M99" s="26" t="s">
        <v>32</v>
      </c>
      <c r="P99" s="27">
        <f>IF(AG99="5",J99,0)</f>
        <v>0</v>
      </c>
      <c r="R99" s="27">
        <f>IF(AG99="1",H99,0)</f>
        <v>0</v>
      </c>
      <c r="S99" s="27">
        <f>IF(AG99="1",I99,0)</f>
        <v>0</v>
      </c>
      <c r="T99" s="27">
        <f>IF(AG99="7",H99,0)</f>
        <v>0</v>
      </c>
      <c r="U99" s="27">
        <f>IF(AG99="7",I99,0)</f>
        <v>0</v>
      </c>
      <c r="V99" s="27">
        <f>IF(AG99="2",H99,0)</f>
        <v>0</v>
      </c>
      <c r="W99" s="27">
        <f>IF(AG99="2",I99,0)</f>
        <v>0</v>
      </c>
      <c r="X99" s="27">
        <f>IF(AG99="0",J99,0)</f>
        <v>0</v>
      </c>
      <c r="Y99" s="17"/>
      <c r="Z99" s="25">
        <f>IF(AD99=0,J99,0)</f>
        <v>0</v>
      </c>
      <c r="AA99" s="25">
        <f>IF(AD99=15,J99,0)</f>
        <v>0</v>
      </c>
      <c r="AB99" s="25">
        <f>IF(AD99=21,J99,0)</f>
        <v>0</v>
      </c>
      <c r="AD99" s="27">
        <v>15</v>
      </c>
      <c r="AE99" s="27">
        <f>G99*0.722224008207934</f>
        <v>0</v>
      </c>
      <c r="AF99" s="27">
        <f>G99*(1-0.722224008207934)</f>
        <v>0</v>
      </c>
      <c r="AG99" s="26" t="s">
        <v>28</v>
      </c>
      <c r="AM99" s="27">
        <f>F99*AE99</f>
        <v>0</v>
      </c>
      <c r="AN99" s="27">
        <f>F99*AF99</f>
        <v>0</v>
      </c>
      <c r="AO99" s="28" t="s">
        <v>221</v>
      </c>
      <c r="AP99" s="28" t="s">
        <v>222</v>
      </c>
      <c r="AQ99" s="17" t="s">
        <v>35</v>
      </c>
      <c r="AS99" s="27">
        <f>AM99+AN99</f>
        <v>0</v>
      </c>
      <c r="AT99" s="27">
        <f>G99/(100-AU99)*100</f>
        <v>0</v>
      </c>
      <c r="AU99" s="27">
        <v>0</v>
      </c>
      <c r="AV99" s="27">
        <f>L99</f>
        <v>0.0655128</v>
      </c>
    </row>
    <row r="100" spans="1:6" ht="12.75">
      <c r="A100" s="43"/>
      <c r="B100" s="43"/>
      <c r="C100" s="43"/>
      <c r="D100" s="31" t="s">
        <v>246</v>
      </c>
      <c r="E100" s="43"/>
      <c r="F100" s="43"/>
    </row>
    <row r="101" spans="1:48" ht="12.75">
      <c r="A101" s="23" t="s">
        <v>247</v>
      </c>
      <c r="B101" s="23"/>
      <c r="C101" s="23" t="s">
        <v>248</v>
      </c>
      <c r="D101" s="23" t="s">
        <v>245</v>
      </c>
      <c r="E101" s="23" t="s">
        <v>109</v>
      </c>
      <c r="F101" s="24">
        <v>0.177</v>
      </c>
      <c r="G101" s="47">
        <v>0</v>
      </c>
      <c r="H101" s="25">
        <f>F101*AE101</f>
        <v>0</v>
      </c>
      <c r="I101" s="25">
        <f>J101-H101</f>
        <v>0</v>
      </c>
      <c r="J101" s="25">
        <f>F101*G101</f>
        <v>0</v>
      </c>
      <c r="K101" s="25">
        <v>0.01188</v>
      </c>
      <c r="L101" s="25">
        <f>F101*K101</f>
        <v>0.00210276</v>
      </c>
      <c r="M101" s="26" t="s">
        <v>32</v>
      </c>
      <c r="P101" s="27">
        <f>IF(AG101="5",J101,0)</f>
        <v>0</v>
      </c>
      <c r="R101" s="27">
        <f>IF(AG101="1",H101,0)</f>
        <v>0</v>
      </c>
      <c r="S101" s="27">
        <f>IF(AG101="1",I101,0)</f>
        <v>0</v>
      </c>
      <c r="T101" s="27">
        <f>IF(AG101="7",H101,0)</f>
        <v>0</v>
      </c>
      <c r="U101" s="27">
        <f>IF(AG101="7",I101,0)</f>
        <v>0</v>
      </c>
      <c r="V101" s="27">
        <f>IF(AG101="2",H101,0)</f>
        <v>0</v>
      </c>
      <c r="W101" s="27">
        <f>IF(AG101="2",I101,0)</f>
        <v>0</v>
      </c>
      <c r="X101" s="27">
        <f>IF(AG101="0",J101,0)</f>
        <v>0</v>
      </c>
      <c r="Y101" s="17"/>
      <c r="Z101" s="25">
        <f>IF(AD101=0,J101,0)</f>
        <v>0</v>
      </c>
      <c r="AA101" s="25">
        <f>IF(AD101=15,J101,0)</f>
        <v>0</v>
      </c>
      <c r="AB101" s="25">
        <f>IF(AD101=21,J101,0)</f>
        <v>0</v>
      </c>
      <c r="AD101" s="27">
        <v>15</v>
      </c>
      <c r="AE101" s="27">
        <f>G101*0.00192997542997543</f>
        <v>0</v>
      </c>
      <c r="AF101" s="27">
        <f>G101*(1-0.00192997542997543)</f>
        <v>0</v>
      </c>
      <c r="AG101" s="26" t="s">
        <v>28</v>
      </c>
      <c r="AM101" s="27">
        <f>F101*AE101</f>
        <v>0</v>
      </c>
      <c r="AN101" s="27">
        <f>F101*AF101</f>
        <v>0</v>
      </c>
      <c r="AO101" s="28" t="s">
        <v>221</v>
      </c>
      <c r="AP101" s="28" t="s">
        <v>222</v>
      </c>
      <c r="AQ101" s="17" t="s">
        <v>35</v>
      </c>
      <c r="AS101" s="27">
        <f>AM101+AN101</f>
        <v>0</v>
      </c>
      <c r="AT101" s="27">
        <f>G101/(100-AU101)*100</f>
        <v>0</v>
      </c>
      <c r="AU101" s="27">
        <v>0</v>
      </c>
      <c r="AV101" s="27">
        <f>L101</f>
        <v>0.00210276</v>
      </c>
    </row>
    <row r="102" spans="1:48" ht="12.75">
      <c r="A102" s="32" t="s">
        <v>249</v>
      </c>
      <c r="B102" s="32"/>
      <c r="C102" s="32" t="s">
        <v>250</v>
      </c>
      <c r="D102" s="32" t="s">
        <v>251</v>
      </c>
      <c r="E102" s="32" t="s">
        <v>109</v>
      </c>
      <c r="F102" s="33">
        <v>0.191</v>
      </c>
      <c r="G102" s="50">
        <v>0</v>
      </c>
      <c r="H102" s="34">
        <f>F102*AE102</f>
        <v>0</v>
      </c>
      <c r="I102" s="34">
        <f>J102-H102</f>
        <v>0</v>
      </c>
      <c r="J102" s="34">
        <f>F102*G102</f>
        <v>0</v>
      </c>
      <c r="K102" s="34">
        <v>1</v>
      </c>
      <c r="L102" s="34">
        <f>F102*K102</f>
        <v>0.191</v>
      </c>
      <c r="M102" s="35" t="s">
        <v>32</v>
      </c>
      <c r="P102" s="27">
        <f>IF(AG102="5",J102,0)</f>
        <v>0</v>
      </c>
      <c r="R102" s="27">
        <f>IF(AG102="1",H102,0)</f>
        <v>0</v>
      </c>
      <c r="S102" s="27">
        <f>IF(AG102="1",I102,0)</f>
        <v>0</v>
      </c>
      <c r="T102" s="27">
        <f>IF(AG102="7",H102,0)</f>
        <v>0</v>
      </c>
      <c r="U102" s="27">
        <f>IF(AG102="7",I102,0)</f>
        <v>0</v>
      </c>
      <c r="V102" s="27">
        <f>IF(AG102="2",H102,0)</f>
        <v>0</v>
      </c>
      <c r="W102" s="27">
        <f>IF(AG102="2",I102,0)</f>
        <v>0</v>
      </c>
      <c r="X102" s="27">
        <f>IF(AG102="0",J102,0)</f>
        <v>0</v>
      </c>
      <c r="Y102" s="17"/>
      <c r="Z102" s="34">
        <f>IF(AD102=0,J102,0)</f>
        <v>0</v>
      </c>
      <c r="AA102" s="34">
        <f>IF(AD102=15,J102,0)</f>
        <v>0</v>
      </c>
      <c r="AB102" s="34">
        <f>IF(AD102=21,J102,0)</f>
        <v>0</v>
      </c>
      <c r="AD102" s="27">
        <v>15</v>
      </c>
      <c r="AE102" s="27">
        <f>G102*1</f>
        <v>0</v>
      </c>
      <c r="AF102" s="27">
        <f>G102*(1-1)</f>
        <v>0</v>
      </c>
      <c r="AG102" s="35" t="s">
        <v>28</v>
      </c>
      <c r="AM102" s="27">
        <f>F102*AE102</f>
        <v>0</v>
      </c>
      <c r="AN102" s="27">
        <f>F102*AF102</f>
        <v>0</v>
      </c>
      <c r="AO102" s="28" t="s">
        <v>221</v>
      </c>
      <c r="AP102" s="28" t="s">
        <v>222</v>
      </c>
      <c r="AQ102" s="17" t="s">
        <v>35</v>
      </c>
      <c r="AS102" s="27">
        <f>AM102+AN102</f>
        <v>0</v>
      </c>
      <c r="AT102" s="27">
        <f>G102/(100-AU102)*100</f>
        <v>0</v>
      </c>
      <c r="AU102" s="27">
        <v>0</v>
      </c>
      <c r="AV102" s="27">
        <f>L102</f>
        <v>0.191</v>
      </c>
    </row>
    <row r="103" spans="1:48" ht="12.75">
      <c r="A103" s="23" t="s">
        <v>252</v>
      </c>
      <c r="B103" s="23"/>
      <c r="C103" s="23" t="s">
        <v>253</v>
      </c>
      <c r="D103" s="23" t="s">
        <v>254</v>
      </c>
      <c r="E103" s="23" t="s">
        <v>75</v>
      </c>
      <c r="F103" s="24">
        <v>2.335</v>
      </c>
      <c r="G103" s="47">
        <v>0</v>
      </c>
      <c r="H103" s="25">
        <f>F103*AE103</f>
        <v>0</v>
      </c>
      <c r="I103" s="25">
        <f>J103-H103</f>
        <v>0</v>
      </c>
      <c r="J103" s="25">
        <f>F103*G103</f>
        <v>0</v>
      </c>
      <c r="K103" s="25">
        <v>0.40463</v>
      </c>
      <c r="L103" s="25">
        <f>F103*K103</f>
        <v>0.94481105</v>
      </c>
      <c r="M103" s="26" t="s">
        <v>32</v>
      </c>
      <c r="P103" s="27">
        <f>IF(AG103="5",J103,0)</f>
        <v>0</v>
      </c>
      <c r="R103" s="27">
        <f>IF(AG103="1",H103,0)</f>
        <v>0</v>
      </c>
      <c r="S103" s="27">
        <f>IF(AG103="1",I103,0)</f>
        <v>0</v>
      </c>
      <c r="T103" s="27">
        <f>IF(AG103="7",H103,0)</f>
        <v>0</v>
      </c>
      <c r="U103" s="27">
        <f>IF(AG103="7",I103,0)</f>
        <v>0</v>
      </c>
      <c r="V103" s="27">
        <f>IF(AG103="2",H103,0)</f>
        <v>0</v>
      </c>
      <c r="W103" s="27">
        <f>IF(AG103="2",I103,0)</f>
        <v>0</v>
      </c>
      <c r="X103" s="27">
        <f>IF(AG103="0",J103,0)</f>
        <v>0</v>
      </c>
      <c r="Y103" s="17"/>
      <c r="Z103" s="25">
        <f>IF(AD103=0,J103,0)</f>
        <v>0</v>
      </c>
      <c r="AA103" s="25">
        <f>IF(AD103=15,J103,0)</f>
        <v>0</v>
      </c>
      <c r="AB103" s="25">
        <f>IF(AD103=21,J103,0)</f>
        <v>0</v>
      </c>
      <c r="AD103" s="27">
        <v>15</v>
      </c>
      <c r="AE103" s="27">
        <f>G103*0.356801695680878</f>
        <v>0</v>
      </c>
      <c r="AF103" s="27">
        <f>G103*(1-0.356801695680878)</f>
        <v>0</v>
      </c>
      <c r="AG103" s="26" t="s">
        <v>28</v>
      </c>
      <c r="AM103" s="27">
        <f>F103*AE103</f>
        <v>0</v>
      </c>
      <c r="AN103" s="27">
        <f>F103*AF103</f>
        <v>0</v>
      </c>
      <c r="AO103" s="28" t="s">
        <v>221</v>
      </c>
      <c r="AP103" s="28" t="s">
        <v>222</v>
      </c>
      <c r="AQ103" s="17" t="s">
        <v>35</v>
      </c>
      <c r="AS103" s="27">
        <f>AM103+AN103</f>
        <v>0</v>
      </c>
      <c r="AT103" s="27">
        <f>G103/(100-AU103)*100</f>
        <v>0</v>
      </c>
      <c r="AU103" s="27">
        <v>0</v>
      </c>
      <c r="AV103" s="27">
        <f>L103</f>
        <v>0.94481105</v>
      </c>
    </row>
    <row r="104" spans="1:6" ht="12.75">
      <c r="A104" s="43"/>
      <c r="B104" s="43"/>
      <c r="C104" s="43"/>
      <c r="D104" s="31" t="s">
        <v>255</v>
      </c>
      <c r="E104" s="43"/>
      <c r="F104" s="43"/>
    </row>
    <row r="105" spans="1:37" ht="12.75">
      <c r="A105" s="29"/>
      <c r="B105" s="30"/>
      <c r="C105" s="30" t="s">
        <v>256</v>
      </c>
      <c r="D105" s="30" t="s">
        <v>257</v>
      </c>
      <c r="E105" s="29" t="s">
        <v>10</v>
      </c>
      <c r="F105" s="29" t="s">
        <v>10</v>
      </c>
      <c r="G105" s="48" t="s">
        <v>10</v>
      </c>
      <c r="H105" s="22">
        <f>SUM(H106:H106)</f>
        <v>0</v>
      </c>
      <c r="I105" s="22">
        <f>SUM(I106:I106)</f>
        <v>0</v>
      </c>
      <c r="J105" s="22">
        <f>H105+I105</f>
        <v>0</v>
      </c>
      <c r="K105" s="17"/>
      <c r="L105" s="22">
        <f>SUM(L106:L106)</f>
        <v>0</v>
      </c>
      <c r="M105" s="17"/>
      <c r="Y105" s="17"/>
      <c r="AI105" s="22">
        <f>SUM(Z106:Z106)</f>
        <v>0</v>
      </c>
      <c r="AJ105" s="22">
        <f>SUM(AA106:AA106)</f>
        <v>0</v>
      </c>
      <c r="AK105" s="22">
        <f>SUM(AB106:AB106)</f>
        <v>0</v>
      </c>
    </row>
    <row r="106" spans="1:48" ht="12.75">
      <c r="A106" s="23" t="s">
        <v>258</v>
      </c>
      <c r="B106" s="23"/>
      <c r="C106" s="23" t="s">
        <v>259</v>
      </c>
      <c r="D106" s="23" t="s">
        <v>260</v>
      </c>
      <c r="E106" s="23" t="s">
        <v>170</v>
      </c>
      <c r="F106" s="24">
        <v>1</v>
      </c>
      <c r="G106" s="47">
        <v>0</v>
      </c>
      <c r="H106" s="25">
        <f>F106*AE106</f>
        <v>0</v>
      </c>
      <c r="I106" s="25">
        <f>J106-H106</f>
        <v>0</v>
      </c>
      <c r="J106" s="25">
        <f>F106*G106</f>
        <v>0</v>
      </c>
      <c r="K106" s="25">
        <v>0</v>
      </c>
      <c r="L106" s="25">
        <f>F106*K106</f>
        <v>0</v>
      </c>
      <c r="M106" s="26"/>
      <c r="P106" s="27">
        <f>IF(AG106="5",J106,0)</f>
        <v>0</v>
      </c>
      <c r="R106" s="27">
        <f>IF(AG106="1",H106,0)</f>
        <v>0</v>
      </c>
      <c r="S106" s="27">
        <f>IF(AG106="1",I106,0)</f>
        <v>0</v>
      </c>
      <c r="T106" s="27">
        <f>IF(AG106="7",H106,0)</f>
        <v>0</v>
      </c>
      <c r="U106" s="27">
        <f>IF(AG106="7",I106,0)</f>
        <v>0</v>
      </c>
      <c r="V106" s="27">
        <f>IF(AG106="2",H106,0)</f>
        <v>0</v>
      </c>
      <c r="W106" s="27">
        <f>IF(AG106="2",I106,0)</f>
        <v>0</v>
      </c>
      <c r="X106" s="27">
        <f>IF(AG106="0",J106,0)</f>
        <v>0</v>
      </c>
      <c r="Y106" s="17"/>
      <c r="Z106" s="25">
        <f>IF(AD106=0,J106,0)</f>
        <v>0</v>
      </c>
      <c r="AA106" s="25">
        <f>IF(AD106=15,J106,0)</f>
        <v>0</v>
      </c>
      <c r="AB106" s="25">
        <f>IF(AD106=21,J106,0)</f>
        <v>0</v>
      </c>
      <c r="AD106" s="27">
        <v>15</v>
      </c>
      <c r="AE106" s="27">
        <f>G106*0.769230823529412</f>
        <v>0</v>
      </c>
      <c r="AF106" s="27">
        <f>G106*(1-0.769230823529412)</f>
        <v>0</v>
      </c>
      <c r="AG106" s="26" t="s">
        <v>28</v>
      </c>
      <c r="AM106" s="27">
        <f>F106*AE106</f>
        <v>0</v>
      </c>
      <c r="AN106" s="27">
        <f>F106*AF106</f>
        <v>0</v>
      </c>
      <c r="AO106" s="28" t="s">
        <v>261</v>
      </c>
      <c r="AP106" s="28" t="s">
        <v>222</v>
      </c>
      <c r="AQ106" s="17" t="s">
        <v>35</v>
      </c>
      <c r="AS106" s="27">
        <f>AM106+AN106</f>
        <v>0</v>
      </c>
      <c r="AT106" s="27">
        <f>G106/(100-AU106)*100</f>
        <v>0</v>
      </c>
      <c r="AU106" s="27">
        <v>0</v>
      </c>
      <c r="AV106" s="27">
        <f>L106</f>
        <v>0</v>
      </c>
    </row>
    <row r="107" spans="1:6" ht="12.75">
      <c r="A107" s="43"/>
      <c r="B107" s="43"/>
      <c r="C107" s="43"/>
      <c r="D107" s="31" t="s">
        <v>262</v>
      </c>
      <c r="E107" s="43"/>
      <c r="F107" s="43"/>
    </row>
    <row r="108" spans="1:37" ht="12.75">
      <c r="A108" s="29"/>
      <c r="B108" s="30"/>
      <c r="C108" s="30" t="s">
        <v>235</v>
      </c>
      <c r="D108" s="30" t="s">
        <v>263</v>
      </c>
      <c r="E108" s="29" t="s">
        <v>10</v>
      </c>
      <c r="F108" s="29" t="s">
        <v>10</v>
      </c>
      <c r="G108" s="48" t="s">
        <v>10</v>
      </c>
      <c r="H108" s="22">
        <f>SUM(H109:H121)</f>
        <v>0</v>
      </c>
      <c r="I108" s="22">
        <f>SUM(I109:I121)</f>
        <v>0</v>
      </c>
      <c r="J108" s="22">
        <f>H108+I108</f>
        <v>0</v>
      </c>
      <c r="K108" s="17"/>
      <c r="L108" s="22">
        <f>SUM(L109:L121)</f>
        <v>71.194812</v>
      </c>
      <c r="M108" s="17"/>
      <c r="Y108" s="17"/>
      <c r="AI108" s="22">
        <f>SUM(Z109:Z121)</f>
        <v>0</v>
      </c>
      <c r="AJ108" s="22">
        <f>SUM(AA109:AA121)</f>
        <v>0</v>
      </c>
      <c r="AK108" s="22">
        <f>SUM(AB109:AB121)</f>
        <v>0</v>
      </c>
    </row>
    <row r="109" spans="1:48" ht="12.75">
      <c r="A109" s="23" t="s">
        <v>264</v>
      </c>
      <c r="B109" s="23"/>
      <c r="C109" s="23" t="s">
        <v>265</v>
      </c>
      <c r="D109" s="23" t="s">
        <v>266</v>
      </c>
      <c r="E109" s="23" t="s">
        <v>75</v>
      </c>
      <c r="F109" s="24">
        <v>12.4</v>
      </c>
      <c r="G109" s="47">
        <v>0</v>
      </c>
      <c r="H109" s="25">
        <f>F109*AE109</f>
        <v>0</v>
      </c>
      <c r="I109" s="25">
        <f>J109-H109</f>
        <v>0</v>
      </c>
      <c r="J109" s="25">
        <f>F109*G109</f>
        <v>0</v>
      </c>
      <c r="K109" s="25">
        <v>0.05545</v>
      </c>
      <c r="L109" s="25">
        <f>F109*K109</f>
        <v>0.68758</v>
      </c>
      <c r="M109" s="26" t="s">
        <v>32</v>
      </c>
      <c r="P109" s="27">
        <f>IF(AG109="5",J109,0)</f>
        <v>0</v>
      </c>
      <c r="R109" s="27">
        <f>IF(AG109="1",H109,0)</f>
        <v>0</v>
      </c>
      <c r="S109" s="27">
        <f>IF(AG109="1",I109,0)</f>
        <v>0</v>
      </c>
      <c r="T109" s="27">
        <f>IF(AG109="7",H109,0)</f>
        <v>0</v>
      </c>
      <c r="U109" s="27">
        <f>IF(AG109="7",I109,0)</f>
        <v>0</v>
      </c>
      <c r="V109" s="27">
        <f>IF(AG109="2",H109,0)</f>
        <v>0</v>
      </c>
      <c r="W109" s="27">
        <f>IF(AG109="2",I109,0)</f>
        <v>0</v>
      </c>
      <c r="X109" s="27">
        <f>IF(AG109="0",J109,0)</f>
        <v>0</v>
      </c>
      <c r="Y109" s="17"/>
      <c r="Z109" s="25">
        <f>IF(AD109=0,J109,0)</f>
        <v>0</v>
      </c>
      <c r="AA109" s="25">
        <f>IF(AD109=15,J109,0)</f>
        <v>0</v>
      </c>
      <c r="AB109" s="25">
        <f>IF(AD109=21,J109,0)</f>
        <v>0</v>
      </c>
      <c r="AD109" s="27">
        <v>15</v>
      </c>
      <c r="AE109" s="27">
        <f>G109*0.132105436474674</f>
        <v>0</v>
      </c>
      <c r="AF109" s="27">
        <f>G109*(1-0.132105436474674)</f>
        <v>0</v>
      </c>
      <c r="AG109" s="26" t="s">
        <v>28</v>
      </c>
      <c r="AM109" s="27">
        <f>F109*AE109</f>
        <v>0</v>
      </c>
      <c r="AN109" s="27">
        <f>F109*AF109</f>
        <v>0</v>
      </c>
      <c r="AO109" s="28" t="s">
        <v>267</v>
      </c>
      <c r="AP109" s="28" t="s">
        <v>268</v>
      </c>
      <c r="AQ109" s="17" t="s">
        <v>35</v>
      </c>
      <c r="AS109" s="27">
        <f>AM109+AN109</f>
        <v>0</v>
      </c>
      <c r="AT109" s="27">
        <f>G109/(100-AU109)*100</f>
        <v>0</v>
      </c>
      <c r="AU109" s="27">
        <v>0</v>
      </c>
      <c r="AV109" s="27">
        <f>L109</f>
        <v>0.68758</v>
      </c>
    </row>
    <row r="110" spans="1:6" ht="12.75">
      <c r="A110" s="43"/>
      <c r="B110" s="43"/>
      <c r="C110" s="43"/>
      <c r="D110" s="31" t="s">
        <v>269</v>
      </c>
      <c r="E110" s="43"/>
      <c r="F110" s="43"/>
    </row>
    <row r="111" spans="1:48" ht="12.75">
      <c r="A111" s="32" t="s">
        <v>270</v>
      </c>
      <c r="B111" s="32"/>
      <c r="C111" s="32" t="s">
        <v>271</v>
      </c>
      <c r="D111" s="32" t="s">
        <v>272</v>
      </c>
      <c r="E111" s="32" t="s">
        <v>75</v>
      </c>
      <c r="F111" s="33">
        <v>12.648</v>
      </c>
      <c r="G111" s="50">
        <v>0</v>
      </c>
      <c r="H111" s="34">
        <f>F111*AE111</f>
        <v>0</v>
      </c>
      <c r="I111" s="34">
        <f>J111-H111</f>
        <v>0</v>
      </c>
      <c r="J111" s="34">
        <f>F111*G111</f>
        <v>0</v>
      </c>
      <c r="K111" s="34">
        <v>0.131</v>
      </c>
      <c r="L111" s="34">
        <f>F111*K111</f>
        <v>1.656888</v>
      </c>
      <c r="M111" s="35" t="s">
        <v>32</v>
      </c>
      <c r="P111" s="27">
        <f>IF(AG111="5",J111,0)</f>
        <v>0</v>
      </c>
      <c r="R111" s="27">
        <f>IF(AG111="1",H111,0)</f>
        <v>0</v>
      </c>
      <c r="S111" s="27">
        <f>IF(AG111="1",I111,0)</f>
        <v>0</v>
      </c>
      <c r="T111" s="27">
        <f>IF(AG111="7",H111,0)</f>
        <v>0</v>
      </c>
      <c r="U111" s="27">
        <f>IF(AG111="7",I111,0)</f>
        <v>0</v>
      </c>
      <c r="V111" s="27">
        <f>IF(AG111="2",H111,0)</f>
        <v>0</v>
      </c>
      <c r="W111" s="27">
        <f>IF(AG111="2",I111,0)</f>
        <v>0</v>
      </c>
      <c r="X111" s="27">
        <f>IF(AG111="0",J111,0)</f>
        <v>0</v>
      </c>
      <c r="Y111" s="17"/>
      <c r="Z111" s="34">
        <f>IF(AD111=0,J111,0)</f>
        <v>0</v>
      </c>
      <c r="AA111" s="34">
        <f>IF(AD111=15,J111,0)</f>
        <v>0</v>
      </c>
      <c r="AB111" s="34">
        <f>IF(AD111=21,J111,0)</f>
        <v>0</v>
      </c>
      <c r="AD111" s="27">
        <v>15</v>
      </c>
      <c r="AE111" s="27">
        <f>G111*1</f>
        <v>0</v>
      </c>
      <c r="AF111" s="27">
        <f>G111*(1-1)</f>
        <v>0</v>
      </c>
      <c r="AG111" s="35" t="s">
        <v>28</v>
      </c>
      <c r="AM111" s="27">
        <f>F111*AE111</f>
        <v>0</v>
      </c>
      <c r="AN111" s="27">
        <f>F111*AF111</f>
        <v>0</v>
      </c>
      <c r="AO111" s="28" t="s">
        <v>267</v>
      </c>
      <c r="AP111" s="28" t="s">
        <v>268</v>
      </c>
      <c r="AQ111" s="17" t="s">
        <v>35</v>
      </c>
      <c r="AS111" s="27">
        <f>AM111+AN111</f>
        <v>0</v>
      </c>
      <c r="AT111" s="27">
        <f>G111/(100-AU111)*100</f>
        <v>0</v>
      </c>
      <c r="AU111" s="27">
        <v>0</v>
      </c>
      <c r="AV111" s="27">
        <f>L111</f>
        <v>1.656888</v>
      </c>
    </row>
    <row r="112" spans="1:48" ht="12.75">
      <c r="A112" s="23" t="s">
        <v>273</v>
      </c>
      <c r="B112" s="23"/>
      <c r="C112" s="23" t="s">
        <v>274</v>
      </c>
      <c r="D112" s="23" t="s">
        <v>275</v>
      </c>
      <c r="E112" s="23" t="s">
        <v>75</v>
      </c>
      <c r="F112" s="24">
        <v>12.4</v>
      </c>
      <c r="G112" s="47">
        <v>0</v>
      </c>
      <c r="H112" s="25">
        <f>F112*AE112</f>
        <v>0</v>
      </c>
      <c r="I112" s="25">
        <f>J112-H112</f>
        <v>0</v>
      </c>
      <c r="J112" s="25">
        <f>F112*G112</f>
        <v>0</v>
      </c>
      <c r="K112" s="25">
        <v>0.378</v>
      </c>
      <c r="L112" s="25">
        <f>F112*K112</f>
        <v>4.6872</v>
      </c>
      <c r="M112" s="26" t="s">
        <v>32</v>
      </c>
      <c r="P112" s="27">
        <f>IF(AG112="5",J112,0)</f>
        <v>0</v>
      </c>
      <c r="R112" s="27">
        <f>IF(AG112="1",H112,0)</f>
        <v>0</v>
      </c>
      <c r="S112" s="27">
        <f>IF(AG112="1",I112,0)</f>
        <v>0</v>
      </c>
      <c r="T112" s="27">
        <f>IF(AG112="7",H112,0)</f>
        <v>0</v>
      </c>
      <c r="U112" s="27">
        <f>IF(AG112="7",I112,0)</f>
        <v>0</v>
      </c>
      <c r="V112" s="27">
        <f>IF(AG112="2",H112,0)</f>
        <v>0</v>
      </c>
      <c r="W112" s="27">
        <f>IF(AG112="2",I112,0)</f>
        <v>0</v>
      </c>
      <c r="X112" s="27">
        <f>IF(AG112="0",J112,0)</f>
        <v>0</v>
      </c>
      <c r="Y112" s="17"/>
      <c r="Z112" s="25">
        <f>IF(AD112=0,J112,0)</f>
        <v>0</v>
      </c>
      <c r="AA112" s="25">
        <f>IF(AD112=15,J112,0)</f>
        <v>0</v>
      </c>
      <c r="AB112" s="25">
        <f>IF(AD112=21,J112,0)</f>
        <v>0</v>
      </c>
      <c r="AD112" s="27">
        <v>15</v>
      </c>
      <c r="AE112" s="27">
        <f>G112*0.856566302410292</f>
        <v>0</v>
      </c>
      <c r="AF112" s="27">
        <f>G112*(1-0.856566302410292)</f>
        <v>0</v>
      </c>
      <c r="AG112" s="26" t="s">
        <v>28</v>
      </c>
      <c r="AM112" s="27">
        <f>F112*AE112</f>
        <v>0</v>
      </c>
      <c r="AN112" s="27">
        <f>F112*AF112</f>
        <v>0</v>
      </c>
      <c r="AO112" s="28" t="s">
        <v>267</v>
      </c>
      <c r="AP112" s="28" t="s">
        <v>268</v>
      </c>
      <c r="AQ112" s="17" t="s">
        <v>35</v>
      </c>
      <c r="AS112" s="27">
        <f>AM112+AN112</f>
        <v>0</v>
      </c>
      <c r="AT112" s="27">
        <f>G112/(100-AU112)*100</f>
        <v>0</v>
      </c>
      <c r="AU112" s="27">
        <v>0</v>
      </c>
      <c r="AV112" s="27">
        <f>L112</f>
        <v>4.6872</v>
      </c>
    </row>
    <row r="113" spans="1:6" ht="12.75">
      <c r="A113" s="43"/>
      <c r="B113" s="43"/>
      <c r="C113" s="43"/>
      <c r="D113" s="31" t="s">
        <v>276</v>
      </c>
      <c r="E113" s="43"/>
      <c r="F113" s="43"/>
    </row>
    <row r="114" spans="1:48" ht="12.75">
      <c r="A114" s="23" t="s">
        <v>277</v>
      </c>
      <c r="B114" s="23"/>
      <c r="C114" s="23" t="s">
        <v>278</v>
      </c>
      <c r="D114" s="23" t="s">
        <v>279</v>
      </c>
      <c r="E114" s="23" t="s">
        <v>75</v>
      </c>
      <c r="F114" s="24">
        <v>54</v>
      </c>
      <c r="G114" s="47">
        <v>0</v>
      </c>
      <c r="H114" s="25">
        <f>F114*AE114</f>
        <v>0</v>
      </c>
      <c r="I114" s="25">
        <f>J114-H114</f>
        <v>0</v>
      </c>
      <c r="J114" s="25">
        <f>F114*G114</f>
        <v>0</v>
      </c>
      <c r="K114" s="25">
        <v>0.0739</v>
      </c>
      <c r="L114" s="25">
        <f>F114*K114</f>
        <v>3.9905999999999997</v>
      </c>
      <c r="M114" s="26" t="s">
        <v>32</v>
      </c>
      <c r="P114" s="27">
        <f>IF(AG114="5",J114,0)</f>
        <v>0</v>
      </c>
      <c r="R114" s="27">
        <f>IF(AG114="1",H114,0)</f>
        <v>0</v>
      </c>
      <c r="S114" s="27">
        <f>IF(AG114="1",I114,0)</f>
        <v>0</v>
      </c>
      <c r="T114" s="27">
        <f>IF(AG114="7",H114,0)</f>
        <v>0</v>
      </c>
      <c r="U114" s="27">
        <f>IF(AG114="7",I114,0)</f>
        <v>0</v>
      </c>
      <c r="V114" s="27">
        <f>IF(AG114="2",H114,0)</f>
        <v>0</v>
      </c>
      <c r="W114" s="27">
        <f>IF(AG114="2",I114,0)</f>
        <v>0</v>
      </c>
      <c r="X114" s="27">
        <f>IF(AG114="0",J114,0)</f>
        <v>0</v>
      </c>
      <c r="Y114" s="17"/>
      <c r="Z114" s="25">
        <f>IF(AD114=0,J114,0)</f>
        <v>0</v>
      </c>
      <c r="AA114" s="25">
        <f>IF(AD114=15,J114,0)</f>
        <v>0</v>
      </c>
      <c r="AB114" s="25">
        <f>IF(AD114=21,J114,0)</f>
        <v>0</v>
      </c>
      <c r="AD114" s="27">
        <v>15</v>
      </c>
      <c r="AE114" s="27">
        <f>G114*0.1577896968941</f>
        <v>0</v>
      </c>
      <c r="AF114" s="27">
        <f>G114*(1-0.1577896968941)</f>
        <v>0</v>
      </c>
      <c r="AG114" s="26" t="s">
        <v>28</v>
      </c>
      <c r="AM114" s="27">
        <f>F114*AE114</f>
        <v>0</v>
      </c>
      <c r="AN114" s="27">
        <f>F114*AF114</f>
        <v>0</v>
      </c>
      <c r="AO114" s="28" t="s">
        <v>267</v>
      </c>
      <c r="AP114" s="28" t="s">
        <v>268</v>
      </c>
      <c r="AQ114" s="17" t="s">
        <v>35</v>
      </c>
      <c r="AS114" s="27">
        <f>AM114+AN114</f>
        <v>0</v>
      </c>
      <c r="AT114" s="27">
        <f>G114/(100-AU114)*100</f>
        <v>0</v>
      </c>
      <c r="AU114" s="27">
        <v>0</v>
      </c>
      <c r="AV114" s="27">
        <f>L114</f>
        <v>3.9905999999999997</v>
      </c>
    </row>
    <row r="115" spans="1:6" ht="12.75">
      <c r="A115" s="43"/>
      <c r="B115" s="43"/>
      <c r="C115" s="43"/>
      <c r="D115" s="31" t="s">
        <v>280</v>
      </c>
      <c r="E115" s="43"/>
      <c r="F115" s="43"/>
    </row>
    <row r="116" spans="1:48" ht="12.75">
      <c r="A116" s="32" t="s">
        <v>281</v>
      </c>
      <c r="B116" s="32"/>
      <c r="C116" s="32" t="s">
        <v>282</v>
      </c>
      <c r="D116" s="32" t="s">
        <v>283</v>
      </c>
      <c r="E116" s="32" t="s">
        <v>75</v>
      </c>
      <c r="F116" s="33">
        <v>56.119</v>
      </c>
      <c r="G116" s="50">
        <v>0</v>
      </c>
      <c r="H116" s="34">
        <f>F116*AE116</f>
        <v>0</v>
      </c>
      <c r="I116" s="34">
        <f>J116-H116</f>
        <v>0</v>
      </c>
      <c r="J116" s="34">
        <f>F116*G116</f>
        <v>0</v>
      </c>
      <c r="K116" s="34">
        <v>0.176</v>
      </c>
      <c r="L116" s="34">
        <f>F116*K116</f>
        <v>9.876944</v>
      </c>
      <c r="M116" s="35" t="s">
        <v>32</v>
      </c>
      <c r="P116" s="27">
        <f>IF(AG116="5",J116,0)</f>
        <v>0</v>
      </c>
      <c r="R116" s="27">
        <f>IF(AG116="1",H116,0)</f>
        <v>0</v>
      </c>
      <c r="S116" s="27">
        <f>IF(AG116="1",I116,0)</f>
        <v>0</v>
      </c>
      <c r="T116" s="27">
        <f>IF(AG116="7",H116,0)</f>
        <v>0</v>
      </c>
      <c r="U116" s="27">
        <f>IF(AG116="7",I116,0)</f>
        <v>0</v>
      </c>
      <c r="V116" s="27">
        <f>IF(AG116="2",H116,0)</f>
        <v>0</v>
      </c>
      <c r="W116" s="27">
        <f>IF(AG116="2",I116,0)</f>
        <v>0</v>
      </c>
      <c r="X116" s="27">
        <f>IF(AG116="0",J116,0)</f>
        <v>0</v>
      </c>
      <c r="Y116" s="17"/>
      <c r="Z116" s="34">
        <f>IF(AD116=0,J116,0)</f>
        <v>0</v>
      </c>
      <c r="AA116" s="34">
        <f>IF(AD116=15,J116,0)</f>
        <v>0</v>
      </c>
      <c r="AB116" s="34">
        <f>IF(AD116=21,J116,0)</f>
        <v>0</v>
      </c>
      <c r="AD116" s="27">
        <v>15</v>
      </c>
      <c r="AE116" s="27">
        <f>G116*1</f>
        <v>0</v>
      </c>
      <c r="AF116" s="27">
        <f>G116*(1-1)</f>
        <v>0</v>
      </c>
      <c r="AG116" s="35" t="s">
        <v>28</v>
      </c>
      <c r="AM116" s="27">
        <f>F116*AE116</f>
        <v>0</v>
      </c>
      <c r="AN116" s="27">
        <f>F116*AF116</f>
        <v>0</v>
      </c>
      <c r="AO116" s="28" t="s">
        <v>267</v>
      </c>
      <c r="AP116" s="28" t="s">
        <v>268</v>
      </c>
      <c r="AQ116" s="17" t="s">
        <v>35</v>
      </c>
      <c r="AS116" s="27">
        <f>AM116+AN116</f>
        <v>0</v>
      </c>
      <c r="AT116" s="27">
        <f>G116/(100-AU116)*100</f>
        <v>0</v>
      </c>
      <c r="AU116" s="27">
        <v>0</v>
      </c>
      <c r="AV116" s="27">
        <f>L116</f>
        <v>9.876944</v>
      </c>
    </row>
    <row r="117" spans="1:48" ht="12.75">
      <c r="A117" s="23" t="s">
        <v>284</v>
      </c>
      <c r="B117" s="23"/>
      <c r="C117" s="23" t="s">
        <v>285</v>
      </c>
      <c r="D117" s="23" t="s">
        <v>286</v>
      </c>
      <c r="E117" s="23" t="s">
        <v>75</v>
      </c>
      <c r="F117" s="24">
        <v>54</v>
      </c>
      <c r="G117" s="47">
        <v>0</v>
      </c>
      <c r="H117" s="25">
        <f>F117*AE117</f>
        <v>0</v>
      </c>
      <c r="I117" s="25">
        <f>J117-H117</f>
        <v>0</v>
      </c>
      <c r="J117" s="25">
        <f>F117*G117</f>
        <v>0</v>
      </c>
      <c r="K117" s="25">
        <v>0.288</v>
      </c>
      <c r="L117" s="25">
        <f>F117*K117</f>
        <v>15.552</v>
      </c>
      <c r="M117" s="26" t="s">
        <v>32</v>
      </c>
      <c r="P117" s="27">
        <f>IF(AG117="5",J117,0)</f>
        <v>0</v>
      </c>
      <c r="R117" s="27">
        <f>IF(AG117="1",H117,0)</f>
        <v>0</v>
      </c>
      <c r="S117" s="27">
        <f>IF(AG117="1",I117,0)</f>
        <v>0</v>
      </c>
      <c r="T117" s="27">
        <f>IF(AG117="7",H117,0)</f>
        <v>0</v>
      </c>
      <c r="U117" s="27">
        <f>IF(AG117="7",I117,0)</f>
        <v>0</v>
      </c>
      <c r="V117" s="27">
        <f>IF(AG117="2",H117,0)</f>
        <v>0</v>
      </c>
      <c r="W117" s="27">
        <f>IF(AG117="2",I117,0)</f>
        <v>0</v>
      </c>
      <c r="X117" s="27">
        <f>IF(AG117="0",J117,0)</f>
        <v>0</v>
      </c>
      <c r="Y117" s="17"/>
      <c r="Z117" s="25">
        <f>IF(AD117=0,J117,0)</f>
        <v>0</v>
      </c>
      <c r="AA117" s="25">
        <f>IF(AD117=15,J117,0)</f>
        <v>0</v>
      </c>
      <c r="AB117" s="25">
        <f>IF(AD117=21,J117,0)</f>
        <v>0</v>
      </c>
      <c r="AD117" s="27">
        <v>15</v>
      </c>
      <c r="AE117" s="27">
        <f>G117*0.842400186784964</f>
        <v>0</v>
      </c>
      <c r="AF117" s="27">
        <f>G117*(1-0.842400186784964)</f>
        <v>0</v>
      </c>
      <c r="AG117" s="26" t="s">
        <v>28</v>
      </c>
      <c r="AM117" s="27">
        <f>F117*AE117</f>
        <v>0</v>
      </c>
      <c r="AN117" s="27">
        <f>F117*AF117</f>
        <v>0</v>
      </c>
      <c r="AO117" s="28" t="s">
        <v>267</v>
      </c>
      <c r="AP117" s="28" t="s">
        <v>268</v>
      </c>
      <c r="AQ117" s="17" t="s">
        <v>35</v>
      </c>
      <c r="AS117" s="27">
        <f>AM117+AN117</f>
        <v>0</v>
      </c>
      <c r="AT117" s="27">
        <f>G117/(100-AU117)*100</f>
        <v>0</v>
      </c>
      <c r="AU117" s="27">
        <v>0</v>
      </c>
      <c r="AV117" s="27">
        <f>L117</f>
        <v>15.552</v>
      </c>
    </row>
    <row r="118" spans="1:6" ht="12.75">
      <c r="A118" s="43"/>
      <c r="B118" s="43"/>
      <c r="C118" s="43"/>
      <c r="D118" s="31" t="s">
        <v>276</v>
      </c>
      <c r="E118" s="43"/>
      <c r="F118" s="43"/>
    </row>
    <row r="119" spans="1:48" ht="12.75">
      <c r="A119" s="23" t="s">
        <v>287</v>
      </c>
      <c r="B119" s="23"/>
      <c r="C119" s="23" t="s">
        <v>288</v>
      </c>
      <c r="D119" s="23" t="s">
        <v>289</v>
      </c>
      <c r="E119" s="23" t="s">
        <v>75</v>
      </c>
      <c r="F119" s="24">
        <v>54</v>
      </c>
      <c r="G119" s="47">
        <v>0</v>
      </c>
      <c r="H119" s="25">
        <f>F119*AE119</f>
        <v>0</v>
      </c>
      <c r="I119" s="25">
        <f>J119-H119</f>
        <v>0</v>
      </c>
      <c r="J119" s="25">
        <f>F119*G119</f>
        <v>0</v>
      </c>
      <c r="K119" s="25">
        <v>0.441</v>
      </c>
      <c r="L119" s="25">
        <f>F119*K119</f>
        <v>23.814</v>
      </c>
      <c r="M119" s="26" t="s">
        <v>32</v>
      </c>
      <c r="P119" s="27">
        <f>IF(AG119="5",J119,0)</f>
        <v>0</v>
      </c>
      <c r="R119" s="27">
        <f>IF(AG119="1",H119,0)</f>
        <v>0</v>
      </c>
      <c r="S119" s="27">
        <f>IF(AG119="1",I119,0)</f>
        <v>0</v>
      </c>
      <c r="T119" s="27">
        <f>IF(AG119="7",H119,0)</f>
        <v>0</v>
      </c>
      <c r="U119" s="27">
        <f>IF(AG119="7",I119,0)</f>
        <v>0</v>
      </c>
      <c r="V119" s="27">
        <f>IF(AG119="2",H119,0)</f>
        <v>0</v>
      </c>
      <c r="W119" s="27">
        <f>IF(AG119="2",I119,0)</f>
        <v>0</v>
      </c>
      <c r="X119" s="27">
        <f>IF(AG119="0",J119,0)</f>
        <v>0</v>
      </c>
      <c r="Y119" s="17"/>
      <c r="Z119" s="25">
        <f>IF(AD119=0,J119,0)</f>
        <v>0</v>
      </c>
      <c r="AA119" s="25">
        <f>IF(AD119=15,J119,0)</f>
        <v>0</v>
      </c>
      <c r="AB119" s="25">
        <f>IF(AD119=21,J119,0)</f>
        <v>0</v>
      </c>
      <c r="AD119" s="27">
        <v>15</v>
      </c>
      <c r="AE119" s="27">
        <f>G119*0.857172310705634</f>
        <v>0</v>
      </c>
      <c r="AF119" s="27">
        <f>G119*(1-0.857172310705634)</f>
        <v>0</v>
      </c>
      <c r="AG119" s="26" t="s">
        <v>28</v>
      </c>
      <c r="AM119" s="27">
        <f>F119*AE119</f>
        <v>0</v>
      </c>
      <c r="AN119" s="27">
        <f>F119*AF119</f>
        <v>0</v>
      </c>
      <c r="AO119" s="28" t="s">
        <v>267</v>
      </c>
      <c r="AP119" s="28" t="s">
        <v>268</v>
      </c>
      <c r="AQ119" s="17" t="s">
        <v>35</v>
      </c>
      <c r="AS119" s="27">
        <f>AM119+AN119</f>
        <v>0</v>
      </c>
      <c r="AT119" s="27">
        <f>G119/(100-AU119)*100</f>
        <v>0</v>
      </c>
      <c r="AU119" s="27">
        <v>0</v>
      </c>
      <c r="AV119" s="27">
        <f>L119</f>
        <v>23.814</v>
      </c>
    </row>
    <row r="120" spans="1:6" ht="12.75">
      <c r="A120" s="43"/>
      <c r="B120" s="43"/>
      <c r="C120" s="43"/>
      <c r="D120" s="31" t="s">
        <v>290</v>
      </c>
      <c r="E120" s="43"/>
      <c r="F120" s="43"/>
    </row>
    <row r="121" spans="1:48" ht="12.75">
      <c r="A121" s="23" t="s">
        <v>291</v>
      </c>
      <c r="B121" s="23"/>
      <c r="C121" s="23" t="s">
        <v>292</v>
      </c>
      <c r="D121" s="23" t="s">
        <v>293</v>
      </c>
      <c r="E121" s="23" t="s">
        <v>75</v>
      </c>
      <c r="F121" s="24">
        <v>54</v>
      </c>
      <c r="G121" s="47">
        <v>0</v>
      </c>
      <c r="H121" s="25">
        <f>F121*AE121</f>
        <v>0</v>
      </c>
      <c r="I121" s="25">
        <f>J121-H121</f>
        <v>0</v>
      </c>
      <c r="J121" s="25">
        <f>F121*G121</f>
        <v>0</v>
      </c>
      <c r="K121" s="25">
        <v>0.2024</v>
      </c>
      <c r="L121" s="25">
        <f>F121*K121</f>
        <v>10.9296</v>
      </c>
      <c r="M121" s="26" t="s">
        <v>32</v>
      </c>
      <c r="P121" s="27">
        <f>IF(AG121="5",J121,0)</f>
        <v>0</v>
      </c>
      <c r="R121" s="27">
        <f>IF(AG121="1",H121,0)</f>
        <v>0</v>
      </c>
      <c r="S121" s="27">
        <f>IF(AG121="1",I121,0)</f>
        <v>0</v>
      </c>
      <c r="T121" s="27">
        <f>IF(AG121="7",H121,0)</f>
        <v>0</v>
      </c>
      <c r="U121" s="27">
        <f>IF(AG121="7",I121,0)</f>
        <v>0</v>
      </c>
      <c r="V121" s="27">
        <f>IF(AG121="2",H121,0)</f>
        <v>0</v>
      </c>
      <c r="W121" s="27">
        <f>IF(AG121="2",I121,0)</f>
        <v>0</v>
      </c>
      <c r="X121" s="27">
        <f>IF(AG121="0",J121,0)</f>
        <v>0</v>
      </c>
      <c r="Y121" s="17"/>
      <c r="Z121" s="25">
        <f>IF(AD121=0,J121,0)</f>
        <v>0</v>
      </c>
      <c r="AA121" s="25">
        <f>IF(AD121=15,J121,0)</f>
        <v>0</v>
      </c>
      <c r="AB121" s="25">
        <f>IF(AD121=21,J121,0)</f>
        <v>0</v>
      </c>
      <c r="AD121" s="27">
        <v>15</v>
      </c>
      <c r="AE121" s="27">
        <f>G121*0.824756606397775</f>
        <v>0</v>
      </c>
      <c r="AF121" s="27">
        <f>G121*(1-0.824756606397775)</f>
        <v>0</v>
      </c>
      <c r="AG121" s="26" t="s">
        <v>28</v>
      </c>
      <c r="AM121" s="27">
        <f>F121*AE121</f>
        <v>0</v>
      </c>
      <c r="AN121" s="27">
        <f>F121*AF121</f>
        <v>0</v>
      </c>
      <c r="AO121" s="28" t="s">
        <v>267</v>
      </c>
      <c r="AP121" s="28" t="s">
        <v>268</v>
      </c>
      <c r="AQ121" s="17" t="s">
        <v>35</v>
      </c>
      <c r="AS121" s="27">
        <f>AM121+AN121</f>
        <v>0</v>
      </c>
      <c r="AT121" s="27">
        <f>G121/(100-AU121)*100</f>
        <v>0</v>
      </c>
      <c r="AU121" s="27">
        <v>0</v>
      </c>
      <c r="AV121" s="27">
        <f>L121</f>
        <v>10.9296</v>
      </c>
    </row>
    <row r="122" spans="1:37" ht="12.75">
      <c r="A122" s="29"/>
      <c r="B122" s="30"/>
      <c r="C122" s="30" t="s">
        <v>237</v>
      </c>
      <c r="D122" s="30" t="s">
        <v>294</v>
      </c>
      <c r="E122" s="29" t="s">
        <v>10</v>
      </c>
      <c r="F122" s="29" t="s">
        <v>10</v>
      </c>
      <c r="G122" s="48" t="s">
        <v>10</v>
      </c>
      <c r="H122" s="22">
        <f>SUM(H123:H132)</f>
        <v>0</v>
      </c>
      <c r="I122" s="22">
        <f>SUM(I123:I132)</f>
        <v>0</v>
      </c>
      <c r="J122" s="22">
        <f>H122+I122</f>
        <v>0</v>
      </c>
      <c r="K122" s="17"/>
      <c r="L122" s="22">
        <f>SUM(L123:L132)</f>
        <v>29.14289158</v>
      </c>
      <c r="M122" s="17"/>
      <c r="Y122" s="17"/>
      <c r="AI122" s="22">
        <f>SUM(Z123:Z132)</f>
        <v>0</v>
      </c>
      <c r="AJ122" s="22">
        <f>SUM(AA123:AA132)</f>
        <v>0</v>
      </c>
      <c r="AK122" s="22">
        <f>SUM(AB123:AB132)</f>
        <v>0</v>
      </c>
    </row>
    <row r="123" spans="1:48" ht="12.75">
      <c r="A123" s="23" t="s">
        <v>295</v>
      </c>
      <c r="B123" s="23"/>
      <c r="C123" s="23" t="s">
        <v>296</v>
      </c>
      <c r="D123" s="23" t="s">
        <v>297</v>
      </c>
      <c r="E123" s="23" t="s">
        <v>75</v>
      </c>
      <c r="F123" s="24">
        <v>31</v>
      </c>
      <c r="G123" s="47">
        <v>0</v>
      </c>
      <c r="H123" s="25">
        <f>F123*AE123</f>
        <v>0</v>
      </c>
      <c r="I123" s="25">
        <f>J123-H123</f>
        <v>0</v>
      </c>
      <c r="J123" s="25">
        <f>F123*G123</f>
        <v>0</v>
      </c>
      <c r="K123" s="25">
        <v>0.05123</v>
      </c>
      <c r="L123" s="25">
        <f>F123*K123</f>
        <v>1.58813</v>
      </c>
      <c r="M123" s="26" t="s">
        <v>32</v>
      </c>
      <c r="P123" s="27">
        <f>IF(AG123="5",J123,0)</f>
        <v>0</v>
      </c>
      <c r="R123" s="27">
        <f>IF(AG123="1",H123,0)</f>
        <v>0</v>
      </c>
      <c r="S123" s="27">
        <f>IF(AG123="1",I123,0)</f>
        <v>0</v>
      </c>
      <c r="T123" s="27">
        <f>IF(AG123="7",H123,0)</f>
        <v>0</v>
      </c>
      <c r="U123" s="27">
        <f>IF(AG123="7",I123,0)</f>
        <v>0</v>
      </c>
      <c r="V123" s="27">
        <f>IF(AG123="2",H123,0)</f>
        <v>0</v>
      </c>
      <c r="W123" s="27">
        <f>IF(AG123="2",I123,0)</f>
        <v>0</v>
      </c>
      <c r="X123" s="27">
        <f>IF(AG123="0",J123,0)</f>
        <v>0</v>
      </c>
      <c r="Y123" s="17"/>
      <c r="Z123" s="25">
        <f>IF(AD123=0,J123,0)</f>
        <v>0</v>
      </c>
      <c r="AA123" s="25">
        <f>IF(AD123=15,J123,0)</f>
        <v>0</v>
      </c>
      <c r="AB123" s="25">
        <f>IF(AD123=21,J123,0)</f>
        <v>0</v>
      </c>
      <c r="AD123" s="27">
        <v>15</v>
      </c>
      <c r="AE123" s="27">
        <f>G123*0.165064605976838</f>
        <v>0</v>
      </c>
      <c r="AF123" s="27">
        <f>G123*(1-0.165064605976838)</f>
        <v>0</v>
      </c>
      <c r="AG123" s="26" t="s">
        <v>28</v>
      </c>
      <c r="AM123" s="27">
        <f>F123*AE123</f>
        <v>0</v>
      </c>
      <c r="AN123" s="27">
        <f>F123*AF123</f>
        <v>0</v>
      </c>
      <c r="AO123" s="28" t="s">
        <v>298</v>
      </c>
      <c r="AP123" s="28" t="s">
        <v>299</v>
      </c>
      <c r="AQ123" s="17" t="s">
        <v>35</v>
      </c>
      <c r="AS123" s="27">
        <f>AM123+AN123</f>
        <v>0</v>
      </c>
      <c r="AT123" s="27">
        <f>G123/(100-AU123)*100</f>
        <v>0</v>
      </c>
      <c r="AU123" s="27">
        <v>0</v>
      </c>
      <c r="AV123" s="27">
        <f>L123</f>
        <v>1.58813</v>
      </c>
    </row>
    <row r="124" spans="1:6" ht="12.75">
      <c r="A124" s="43"/>
      <c r="B124" s="43"/>
      <c r="C124" s="43"/>
      <c r="D124" s="31" t="s">
        <v>300</v>
      </c>
      <c r="E124" s="43"/>
      <c r="F124" s="43"/>
    </row>
    <row r="125" spans="1:48" ht="12.75">
      <c r="A125" s="23" t="s">
        <v>301</v>
      </c>
      <c r="B125" s="23"/>
      <c r="C125" s="23" t="s">
        <v>302</v>
      </c>
      <c r="D125" s="23" t="s">
        <v>303</v>
      </c>
      <c r="E125" s="23" t="s">
        <v>75</v>
      </c>
      <c r="F125" s="24">
        <v>86.855</v>
      </c>
      <c r="G125" s="47">
        <v>0</v>
      </c>
      <c r="H125" s="25">
        <f>F125*AE125</f>
        <v>0</v>
      </c>
      <c r="I125" s="25">
        <f>J125-H125</f>
        <v>0</v>
      </c>
      <c r="J125" s="25">
        <f>F125*G125</f>
        <v>0</v>
      </c>
      <c r="K125" s="25">
        <v>0.04414</v>
      </c>
      <c r="L125" s="25">
        <f>F125*K125</f>
        <v>3.8337797</v>
      </c>
      <c r="M125" s="26" t="s">
        <v>32</v>
      </c>
      <c r="P125" s="27">
        <f>IF(AG125="5",J125,0)</f>
        <v>0</v>
      </c>
      <c r="R125" s="27">
        <f>IF(AG125="1",H125,0)</f>
        <v>0</v>
      </c>
      <c r="S125" s="27">
        <f>IF(AG125="1",I125,0)</f>
        <v>0</v>
      </c>
      <c r="T125" s="27">
        <f>IF(AG125="7",H125,0)</f>
        <v>0</v>
      </c>
      <c r="U125" s="27">
        <f>IF(AG125="7",I125,0)</f>
        <v>0</v>
      </c>
      <c r="V125" s="27">
        <f>IF(AG125="2",H125,0)</f>
        <v>0</v>
      </c>
      <c r="W125" s="27">
        <f>IF(AG125="2",I125,0)</f>
        <v>0</v>
      </c>
      <c r="X125" s="27">
        <f>IF(AG125="0",J125,0)</f>
        <v>0</v>
      </c>
      <c r="Y125" s="17"/>
      <c r="Z125" s="25">
        <f>IF(AD125=0,J125,0)</f>
        <v>0</v>
      </c>
      <c r="AA125" s="25">
        <f>IF(AD125=15,J125,0)</f>
        <v>0</v>
      </c>
      <c r="AB125" s="25">
        <f>IF(AD125=21,J125,0)</f>
        <v>0</v>
      </c>
      <c r="AD125" s="27">
        <v>15</v>
      </c>
      <c r="AE125" s="27">
        <f>G125*0.171875</f>
        <v>0</v>
      </c>
      <c r="AF125" s="27">
        <f>G125*(1-0.171875)</f>
        <v>0</v>
      </c>
      <c r="AG125" s="26" t="s">
        <v>28</v>
      </c>
      <c r="AM125" s="27">
        <f>F125*AE125</f>
        <v>0</v>
      </c>
      <c r="AN125" s="27">
        <f>F125*AF125</f>
        <v>0</v>
      </c>
      <c r="AO125" s="28" t="s">
        <v>298</v>
      </c>
      <c r="AP125" s="28" t="s">
        <v>299</v>
      </c>
      <c r="AQ125" s="17" t="s">
        <v>35</v>
      </c>
      <c r="AS125" s="27">
        <f>AM125+AN125</f>
        <v>0</v>
      </c>
      <c r="AT125" s="27">
        <f>G125/(100-AU125)*100</f>
        <v>0</v>
      </c>
      <c r="AU125" s="27">
        <v>0</v>
      </c>
      <c r="AV125" s="27">
        <f>L125</f>
        <v>3.8337797</v>
      </c>
    </row>
    <row r="126" spans="1:6" ht="12.75">
      <c r="A126" s="43"/>
      <c r="B126" s="43"/>
      <c r="C126" s="43"/>
      <c r="D126" s="31" t="s">
        <v>304</v>
      </c>
      <c r="E126" s="43"/>
      <c r="F126" s="43"/>
    </row>
    <row r="127" spans="1:48" ht="12.75">
      <c r="A127" s="23" t="s">
        <v>305</v>
      </c>
      <c r="B127" s="23"/>
      <c r="C127" s="23" t="s">
        <v>306</v>
      </c>
      <c r="D127" s="23" t="s">
        <v>307</v>
      </c>
      <c r="E127" s="23" t="s">
        <v>75</v>
      </c>
      <c r="F127" s="24">
        <v>27.965</v>
      </c>
      <c r="G127" s="47">
        <v>0</v>
      </c>
      <c r="H127" s="25">
        <f>F127*AE127</f>
        <v>0</v>
      </c>
      <c r="I127" s="25">
        <f>J127-H127</f>
        <v>0</v>
      </c>
      <c r="J127" s="25">
        <f>F127*G127</f>
        <v>0</v>
      </c>
      <c r="K127" s="25">
        <v>0.06002</v>
      </c>
      <c r="L127" s="25">
        <f>F127*K127</f>
        <v>1.6784592999999999</v>
      </c>
      <c r="M127" s="26" t="s">
        <v>32</v>
      </c>
      <c r="P127" s="27">
        <f>IF(AG127="5",J127,0)</f>
        <v>0</v>
      </c>
      <c r="R127" s="27">
        <f>IF(AG127="1",H127,0)</f>
        <v>0</v>
      </c>
      <c r="S127" s="27">
        <f>IF(AG127="1",I127,0)</f>
        <v>0</v>
      </c>
      <c r="T127" s="27">
        <f>IF(AG127="7",H127,0)</f>
        <v>0</v>
      </c>
      <c r="U127" s="27">
        <f>IF(AG127="7",I127,0)</f>
        <v>0</v>
      </c>
      <c r="V127" s="27">
        <f>IF(AG127="2",H127,0)</f>
        <v>0</v>
      </c>
      <c r="W127" s="27">
        <f>IF(AG127="2",I127,0)</f>
        <v>0</v>
      </c>
      <c r="X127" s="27">
        <f>IF(AG127="0",J127,0)</f>
        <v>0</v>
      </c>
      <c r="Y127" s="17"/>
      <c r="Z127" s="25">
        <f>IF(AD127=0,J127,0)</f>
        <v>0</v>
      </c>
      <c r="AA127" s="25">
        <f>IF(AD127=15,J127,0)</f>
        <v>0</v>
      </c>
      <c r="AB127" s="25">
        <f>IF(AD127=21,J127,0)</f>
        <v>0</v>
      </c>
      <c r="AD127" s="27">
        <v>15</v>
      </c>
      <c r="AE127" s="27">
        <f>G127*0.140730285469485</f>
        <v>0</v>
      </c>
      <c r="AF127" s="27">
        <f>G127*(1-0.140730285469485)</f>
        <v>0</v>
      </c>
      <c r="AG127" s="26" t="s">
        <v>28</v>
      </c>
      <c r="AM127" s="27">
        <f>F127*AE127</f>
        <v>0</v>
      </c>
      <c r="AN127" s="27">
        <f>F127*AF127</f>
        <v>0</v>
      </c>
      <c r="AO127" s="28" t="s">
        <v>298</v>
      </c>
      <c r="AP127" s="28" t="s">
        <v>299</v>
      </c>
      <c r="AQ127" s="17" t="s">
        <v>35</v>
      </c>
      <c r="AS127" s="27">
        <f>AM127+AN127</f>
        <v>0</v>
      </c>
      <c r="AT127" s="27">
        <f>G127/(100-AU127)*100</f>
        <v>0</v>
      </c>
      <c r="AU127" s="27">
        <v>0</v>
      </c>
      <c r="AV127" s="27">
        <f>L127</f>
        <v>1.6784592999999999</v>
      </c>
    </row>
    <row r="128" spans="1:6" ht="12.75">
      <c r="A128" s="43"/>
      <c r="B128" s="43"/>
      <c r="C128" s="43"/>
      <c r="D128" s="31" t="s">
        <v>308</v>
      </c>
      <c r="E128" s="43"/>
      <c r="F128" s="43"/>
    </row>
    <row r="129" spans="1:48" ht="12.75">
      <c r="A129" s="23" t="s">
        <v>309</v>
      </c>
      <c r="B129" s="23"/>
      <c r="C129" s="23" t="s">
        <v>310</v>
      </c>
      <c r="D129" s="23" t="s">
        <v>311</v>
      </c>
      <c r="E129" s="23" t="s">
        <v>75</v>
      </c>
      <c r="F129" s="24">
        <v>435.968</v>
      </c>
      <c r="G129" s="47">
        <v>0</v>
      </c>
      <c r="H129" s="25">
        <f>F129*AE129</f>
        <v>0</v>
      </c>
      <c r="I129" s="25">
        <f>J129-H129</f>
        <v>0</v>
      </c>
      <c r="J129" s="25">
        <f>F129*G129</f>
        <v>0</v>
      </c>
      <c r="K129" s="25">
        <v>0.04766</v>
      </c>
      <c r="L129" s="25">
        <f>F129*K129</f>
        <v>20.778234880000003</v>
      </c>
      <c r="M129" s="26" t="s">
        <v>32</v>
      </c>
      <c r="P129" s="27">
        <f>IF(AG129="5",J129,0)</f>
        <v>0</v>
      </c>
      <c r="R129" s="27">
        <f>IF(AG129="1",H129,0)</f>
        <v>0</v>
      </c>
      <c r="S129" s="27">
        <f>IF(AG129="1",I129,0)</f>
        <v>0</v>
      </c>
      <c r="T129" s="27">
        <f>IF(AG129="7",H129,0)</f>
        <v>0</v>
      </c>
      <c r="U129" s="27">
        <f>IF(AG129="7",I129,0)</f>
        <v>0</v>
      </c>
      <c r="V129" s="27">
        <f>IF(AG129="2",H129,0)</f>
        <v>0</v>
      </c>
      <c r="W129" s="27">
        <f>IF(AG129="2",I129,0)</f>
        <v>0</v>
      </c>
      <c r="X129" s="27">
        <f>IF(AG129="0",J129,0)</f>
        <v>0</v>
      </c>
      <c r="Y129" s="17"/>
      <c r="Z129" s="25">
        <f>IF(AD129=0,J129,0)</f>
        <v>0</v>
      </c>
      <c r="AA129" s="25">
        <f>IF(AD129=15,J129,0)</f>
        <v>0</v>
      </c>
      <c r="AB129" s="25">
        <f>IF(AD129=21,J129,0)</f>
        <v>0</v>
      </c>
      <c r="AD129" s="27">
        <v>15</v>
      </c>
      <c r="AE129" s="27">
        <f>G129*0.136248112708243</f>
        <v>0</v>
      </c>
      <c r="AF129" s="27">
        <f>G129*(1-0.136248112708243)</f>
        <v>0</v>
      </c>
      <c r="AG129" s="26" t="s">
        <v>28</v>
      </c>
      <c r="AM129" s="27">
        <f>F129*AE129</f>
        <v>0</v>
      </c>
      <c r="AN129" s="27">
        <f>F129*AF129</f>
        <v>0</v>
      </c>
      <c r="AO129" s="28" t="s">
        <v>298</v>
      </c>
      <c r="AP129" s="28" t="s">
        <v>299</v>
      </c>
      <c r="AQ129" s="17" t="s">
        <v>35</v>
      </c>
      <c r="AS129" s="27">
        <f>AM129+AN129</f>
        <v>0</v>
      </c>
      <c r="AT129" s="27">
        <f>G129/(100-AU129)*100</f>
        <v>0</v>
      </c>
      <c r="AU129" s="27">
        <v>0</v>
      </c>
      <c r="AV129" s="27">
        <f>L129</f>
        <v>20.778234880000003</v>
      </c>
    </row>
    <row r="130" spans="1:48" ht="12.75">
      <c r="A130" s="23" t="s">
        <v>312</v>
      </c>
      <c r="B130" s="23"/>
      <c r="C130" s="23" t="s">
        <v>306</v>
      </c>
      <c r="D130" s="23" t="s">
        <v>307</v>
      </c>
      <c r="E130" s="23" t="s">
        <v>75</v>
      </c>
      <c r="F130" s="24">
        <v>15.08</v>
      </c>
      <c r="G130" s="47">
        <v>0</v>
      </c>
      <c r="H130" s="25">
        <f>F130*AE130</f>
        <v>0</v>
      </c>
      <c r="I130" s="25">
        <f>J130-H130</f>
        <v>0</v>
      </c>
      <c r="J130" s="25">
        <f>F130*G130</f>
        <v>0</v>
      </c>
      <c r="K130" s="25">
        <v>0.06002</v>
      </c>
      <c r="L130" s="25">
        <f>F130*K130</f>
        <v>0.9051016</v>
      </c>
      <c r="M130" s="26" t="s">
        <v>32</v>
      </c>
      <c r="P130" s="27">
        <f>IF(AG130="5",J130,0)</f>
        <v>0</v>
      </c>
      <c r="R130" s="27">
        <f>IF(AG130="1",H130,0)</f>
        <v>0</v>
      </c>
      <c r="S130" s="27">
        <f>IF(AG130="1",I130,0)</f>
        <v>0</v>
      </c>
      <c r="T130" s="27">
        <f>IF(AG130="7",H130,0)</f>
        <v>0</v>
      </c>
      <c r="U130" s="27">
        <f>IF(AG130="7",I130,0)</f>
        <v>0</v>
      </c>
      <c r="V130" s="27">
        <f>IF(AG130="2",H130,0)</f>
        <v>0</v>
      </c>
      <c r="W130" s="27">
        <f>IF(AG130="2",I130,0)</f>
        <v>0</v>
      </c>
      <c r="X130" s="27">
        <f>IF(AG130="0",J130,0)</f>
        <v>0</v>
      </c>
      <c r="Y130" s="17"/>
      <c r="Z130" s="25">
        <f>IF(AD130=0,J130,0)</f>
        <v>0</v>
      </c>
      <c r="AA130" s="25">
        <f>IF(AD130=15,J130,0)</f>
        <v>0</v>
      </c>
      <c r="AB130" s="25">
        <f>IF(AD130=21,J130,0)</f>
        <v>0</v>
      </c>
      <c r="AD130" s="27">
        <v>15</v>
      </c>
      <c r="AE130" s="27">
        <f>G130*0.140730325407154</f>
        <v>0</v>
      </c>
      <c r="AF130" s="27">
        <f>G130*(1-0.140730325407154)</f>
        <v>0</v>
      </c>
      <c r="AG130" s="26" t="s">
        <v>28</v>
      </c>
      <c r="AM130" s="27">
        <f>F130*AE130</f>
        <v>0</v>
      </c>
      <c r="AN130" s="27">
        <f>F130*AF130</f>
        <v>0</v>
      </c>
      <c r="AO130" s="28" t="s">
        <v>298</v>
      </c>
      <c r="AP130" s="28" t="s">
        <v>299</v>
      </c>
      <c r="AQ130" s="17" t="s">
        <v>35</v>
      </c>
      <c r="AS130" s="27">
        <f>AM130+AN130</f>
        <v>0</v>
      </c>
      <c r="AT130" s="27">
        <f>G130/(100-AU130)*100</f>
        <v>0</v>
      </c>
      <c r="AU130" s="27">
        <v>0</v>
      </c>
      <c r="AV130" s="27">
        <f>L130</f>
        <v>0.9051016</v>
      </c>
    </row>
    <row r="131" spans="1:6" ht="12.75">
      <c r="A131" s="43"/>
      <c r="B131" s="43"/>
      <c r="C131" s="43"/>
      <c r="D131" s="31" t="s">
        <v>313</v>
      </c>
      <c r="E131" s="43"/>
      <c r="F131" s="43"/>
    </row>
    <row r="132" spans="1:48" ht="12.75">
      <c r="A132" s="23" t="s">
        <v>314</v>
      </c>
      <c r="B132" s="23"/>
      <c r="C132" s="23" t="s">
        <v>315</v>
      </c>
      <c r="D132" s="23" t="s">
        <v>316</v>
      </c>
      <c r="E132" s="23" t="s">
        <v>75</v>
      </c>
      <c r="F132" s="24">
        <v>6.69</v>
      </c>
      <c r="G132" s="47">
        <v>0</v>
      </c>
      <c r="H132" s="25">
        <f>F132*AE132</f>
        <v>0</v>
      </c>
      <c r="I132" s="25">
        <f>J132-H132</f>
        <v>0</v>
      </c>
      <c r="J132" s="25">
        <f>F132*G132</f>
        <v>0</v>
      </c>
      <c r="K132" s="25">
        <v>0.05369</v>
      </c>
      <c r="L132" s="25">
        <f>F132*K132</f>
        <v>0.3591861</v>
      </c>
      <c r="M132" s="26" t="s">
        <v>32</v>
      </c>
      <c r="P132" s="27">
        <f>IF(AG132="5",J132,0)</f>
        <v>0</v>
      </c>
      <c r="R132" s="27">
        <f>IF(AG132="1",H132,0)</f>
        <v>0</v>
      </c>
      <c r="S132" s="27">
        <f>IF(AG132="1",I132,0)</f>
        <v>0</v>
      </c>
      <c r="T132" s="27">
        <f>IF(AG132="7",H132,0)</f>
        <v>0</v>
      </c>
      <c r="U132" s="27">
        <f>IF(AG132="7",I132,0)</f>
        <v>0</v>
      </c>
      <c r="V132" s="27">
        <f>IF(AG132="2",H132,0)</f>
        <v>0</v>
      </c>
      <c r="W132" s="27">
        <f>IF(AG132="2",I132,0)</f>
        <v>0</v>
      </c>
      <c r="X132" s="27">
        <f>IF(AG132="0",J132,0)</f>
        <v>0</v>
      </c>
      <c r="Y132" s="17"/>
      <c r="Z132" s="25">
        <f>IF(AD132=0,J132,0)</f>
        <v>0</v>
      </c>
      <c r="AA132" s="25">
        <f>IF(AD132=15,J132,0)</f>
        <v>0</v>
      </c>
      <c r="AB132" s="25">
        <f>IF(AD132=21,J132,0)</f>
        <v>0</v>
      </c>
      <c r="AD132" s="27">
        <v>15</v>
      </c>
      <c r="AE132" s="27">
        <f>G132*0.160186125211506</f>
        <v>0</v>
      </c>
      <c r="AF132" s="27">
        <f>G132*(1-0.160186125211506)</f>
        <v>0</v>
      </c>
      <c r="AG132" s="26" t="s">
        <v>28</v>
      </c>
      <c r="AM132" s="27">
        <f>F132*AE132</f>
        <v>0</v>
      </c>
      <c r="AN132" s="27">
        <f>F132*AF132</f>
        <v>0</v>
      </c>
      <c r="AO132" s="28" t="s">
        <v>298</v>
      </c>
      <c r="AP132" s="28" t="s">
        <v>299</v>
      </c>
      <c r="AQ132" s="17" t="s">
        <v>35</v>
      </c>
      <c r="AS132" s="27">
        <f>AM132+AN132</f>
        <v>0</v>
      </c>
      <c r="AT132" s="27">
        <f>G132/(100-AU132)*100</f>
        <v>0</v>
      </c>
      <c r="AU132" s="27">
        <v>0</v>
      </c>
      <c r="AV132" s="27">
        <f>L132</f>
        <v>0.3591861</v>
      </c>
    </row>
    <row r="133" spans="1:37" ht="12.75">
      <c r="A133" s="29"/>
      <c r="B133" s="30"/>
      <c r="C133" s="30" t="s">
        <v>238</v>
      </c>
      <c r="D133" s="30" t="s">
        <v>317</v>
      </c>
      <c r="E133" s="29" t="s">
        <v>10</v>
      </c>
      <c r="F133" s="29" t="s">
        <v>10</v>
      </c>
      <c r="G133" s="48" t="s">
        <v>10</v>
      </c>
      <c r="H133" s="22">
        <f>SUM(H134:H161)</f>
        <v>0</v>
      </c>
      <c r="I133" s="22">
        <f>SUM(I134:I161)</f>
        <v>0</v>
      </c>
      <c r="J133" s="22">
        <f>H133+I133</f>
        <v>0</v>
      </c>
      <c r="K133" s="17"/>
      <c r="L133" s="22">
        <f>SUM(L134:L161)</f>
        <v>8.123905130000002</v>
      </c>
      <c r="M133" s="17"/>
      <c r="Y133" s="17"/>
      <c r="AI133" s="22">
        <f>SUM(Z134:Z161)</f>
        <v>0</v>
      </c>
      <c r="AJ133" s="22">
        <f>SUM(AA134:AA161)</f>
        <v>0</v>
      </c>
      <c r="AK133" s="22">
        <f>SUM(AB134:AB161)</f>
        <v>0</v>
      </c>
    </row>
    <row r="134" spans="1:48" ht="12.75">
      <c r="A134" s="23" t="s">
        <v>318</v>
      </c>
      <c r="B134" s="23"/>
      <c r="C134" s="23" t="s">
        <v>319</v>
      </c>
      <c r="D134" s="23" t="s">
        <v>320</v>
      </c>
      <c r="E134" s="23" t="s">
        <v>75</v>
      </c>
      <c r="F134" s="24">
        <v>22.362</v>
      </c>
      <c r="G134" s="47">
        <v>0</v>
      </c>
      <c r="H134" s="25">
        <f>F134*AE134</f>
        <v>0</v>
      </c>
      <c r="I134" s="25">
        <f>J134-H134</f>
        <v>0</v>
      </c>
      <c r="J134" s="25">
        <f>F134*G134</f>
        <v>0</v>
      </c>
      <c r="K134" s="25">
        <v>0.00093</v>
      </c>
      <c r="L134" s="25">
        <f>F134*K134</f>
        <v>0.020796659999999998</v>
      </c>
      <c r="M134" s="26" t="s">
        <v>32</v>
      </c>
      <c r="P134" s="27">
        <f>IF(AG134="5",J134,0)</f>
        <v>0</v>
      </c>
      <c r="R134" s="27">
        <f>IF(AG134="1",H134,0)</f>
        <v>0</v>
      </c>
      <c r="S134" s="27">
        <f>IF(AG134="1",I134,0)</f>
        <v>0</v>
      </c>
      <c r="T134" s="27">
        <f>IF(AG134="7",H134,0)</f>
        <v>0</v>
      </c>
      <c r="U134" s="27">
        <f>IF(AG134="7",I134,0)</f>
        <v>0</v>
      </c>
      <c r="V134" s="27">
        <f>IF(AG134="2",H134,0)</f>
        <v>0</v>
      </c>
      <c r="W134" s="27">
        <f>IF(AG134="2",I134,0)</f>
        <v>0</v>
      </c>
      <c r="X134" s="27">
        <f>IF(AG134="0",J134,0)</f>
        <v>0</v>
      </c>
      <c r="Y134" s="17"/>
      <c r="Z134" s="25">
        <f>IF(AD134=0,J134,0)</f>
        <v>0</v>
      </c>
      <c r="AA134" s="25">
        <f>IF(AD134=15,J134,0)</f>
        <v>0</v>
      </c>
      <c r="AB134" s="25">
        <f>IF(AD134=21,J134,0)</f>
        <v>0</v>
      </c>
      <c r="AD134" s="27">
        <v>15</v>
      </c>
      <c r="AE134" s="27">
        <f>G134*0.462564220428943</f>
        <v>0</v>
      </c>
      <c r="AF134" s="27">
        <f>G134*(1-0.462564220428943)</f>
        <v>0</v>
      </c>
      <c r="AG134" s="26" t="s">
        <v>28</v>
      </c>
      <c r="AM134" s="27">
        <f>F134*AE134</f>
        <v>0</v>
      </c>
      <c r="AN134" s="27">
        <f>F134*AF134</f>
        <v>0</v>
      </c>
      <c r="AO134" s="28" t="s">
        <v>321</v>
      </c>
      <c r="AP134" s="28" t="s">
        <v>299</v>
      </c>
      <c r="AQ134" s="17" t="s">
        <v>35</v>
      </c>
      <c r="AS134" s="27">
        <f>AM134+AN134</f>
        <v>0</v>
      </c>
      <c r="AT134" s="27">
        <f>G134/(100-AU134)*100</f>
        <v>0</v>
      </c>
      <c r="AU134" s="27">
        <v>0</v>
      </c>
      <c r="AV134" s="27">
        <f>L134</f>
        <v>0.020796659999999998</v>
      </c>
    </row>
    <row r="135" spans="1:6" ht="12.75">
      <c r="A135" s="43"/>
      <c r="B135" s="43"/>
      <c r="C135" s="43"/>
      <c r="D135" s="31" t="s">
        <v>308</v>
      </c>
      <c r="E135" s="43"/>
      <c r="F135" s="43"/>
    </row>
    <row r="136" spans="1:48" ht="12.75">
      <c r="A136" s="23" t="s">
        <v>322</v>
      </c>
      <c r="B136" s="23"/>
      <c r="C136" s="23" t="s">
        <v>323</v>
      </c>
      <c r="D136" s="23" t="s">
        <v>324</v>
      </c>
      <c r="E136" s="23" t="s">
        <v>75</v>
      </c>
      <c r="F136" s="24">
        <v>13.305</v>
      </c>
      <c r="G136" s="47">
        <v>0</v>
      </c>
      <c r="H136" s="25">
        <f>F136*AE136</f>
        <v>0</v>
      </c>
      <c r="I136" s="25">
        <f>J136-H136</f>
        <v>0</v>
      </c>
      <c r="J136" s="25">
        <f>F136*G136</f>
        <v>0</v>
      </c>
      <c r="K136" s="25">
        <v>0.01642</v>
      </c>
      <c r="L136" s="25">
        <f>F136*K136</f>
        <v>0.2184681</v>
      </c>
      <c r="M136" s="26" t="s">
        <v>32</v>
      </c>
      <c r="P136" s="27">
        <f>IF(AG136="5",J136,0)</f>
        <v>0</v>
      </c>
      <c r="R136" s="27">
        <f>IF(AG136="1",H136,0)</f>
        <v>0</v>
      </c>
      <c r="S136" s="27">
        <f>IF(AG136="1",I136,0)</f>
        <v>0</v>
      </c>
      <c r="T136" s="27">
        <f>IF(AG136="7",H136,0)</f>
        <v>0</v>
      </c>
      <c r="U136" s="27">
        <f>IF(AG136="7",I136,0)</f>
        <v>0</v>
      </c>
      <c r="V136" s="27">
        <f>IF(AG136="2",H136,0)</f>
        <v>0</v>
      </c>
      <c r="W136" s="27">
        <f>IF(AG136="2",I136,0)</f>
        <v>0</v>
      </c>
      <c r="X136" s="27">
        <f>IF(AG136="0",J136,0)</f>
        <v>0</v>
      </c>
      <c r="Y136" s="17"/>
      <c r="Z136" s="25">
        <f>IF(AD136=0,J136,0)</f>
        <v>0</v>
      </c>
      <c r="AA136" s="25">
        <f>IF(AD136=15,J136,0)</f>
        <v>0</v>
      </c>
      <c r="AB136" s="25">
        <f>IF(AD136=21,J136,0)</f>
        <v>0</v>
      </c>
      <c r="AD136" s="27">
        <v>15</v>
      </c>
      <c r="AE136" s="27">
        <f>G136*0.599316064318476</f>
        <v>0</v>
      </c>
      <c r="AF136" s="27">
        <f>G136*(1-0.599316064318476)</f>
        <v>0</v>
      </c>
      <c r="AG136" s="26" t="s">
        <v>28</v>
      </c>
      <c r="AM136" s="27">
        <f>F136*AE136</f>
        <v>0</v>
      </c>
      <c r="AN136" s="27">
        <f>F136*AF136</f>
        <v>0</v>
      </c>
      <c r="AO136" s="28" t="s">
        <v>321</v>
      </c>
      <c r="AP136" s="28" t="s">
        <v>299</v>
      </c>
      <c r="AQ136" s="17" t="s">
        <v>35</v>
      </c>
      <c r="AS136" s="27">
        <f>AM136+AN136</f>
        <v>0</v>
      </c>
      <c r="AT136" s="27">
        <f>G136/(100-AU136)*100</f>
        <v>0</v>
      </c>
      <c r="AU136" s="27">
        <v>0</v>
      </c>
      <c r="AV136" s="27">
        <f>L136</f>
        <v>0.2184681</v>
      </c>
    </row>
    <row r="137" spans="1:6" ht="12.75">
      <c r="A137" s="43"/>
      <c r="B137" s="43"/>
      <c r="C137" s="43"/>
      <c r="D137" s="31" t="s">
        <v>325</v>
      </c>
      <c r="E137" s="43"/>
      <c r="F137" s="43"/>
    </row>
    <row r="138" spans="1:48" ht="12.75">
      <c r="A138" s="23" t="s">
        <v>326</v>
      </c>
      <c r="B138" s="23"/>
      <c r="C138" s="23" t="s">
        <v>327</v>
      </c>
      <c r="D138" s="23" t="s">
        <v>328</v>
      </c>
      <c r="E138" s="23" t="s">
        <v>75</v>
      </c>
      <c r="F138" s="24">
        <v>178.973</v>
      </c>
      <c r="G138" s="47">
        <v>0</v>
      </c>
      <c r="H138" s="25">
        <f>F138*AE138</f>
        <v>0</v>
      </c>
      <c r="I138" s="25">
        <f>J138-H138</f>
        <v>0</v>
      </c>
      <c r="J138" s="25">
        <f>F138*G138</f>
        <v>0</v>
      </c>
      <c r="K138" s="25">
        <v>0.03389</v>
      </c>
      <c r="L138" s="25">
        <f>F138*K138</f>
        <v>6.065394970000001</v>
      </c>
      <c r="M138" s="26" t="s">
        <v>32</v>
      </c>
      <c r="P138" s="27">
        <f>IF(AG138="5",J138,0)</f>
        <v>0</v>
      </c>
      <c r="R138" s="27">
        <f>IF(AG138="1",H138,0)</f>
        <v>0</v>
      </c>
      <c r="S138" s="27">
        <f>IF(AG138="1",I138,0)</f>
        <v>0</v>
      </c>
      <c r="T138" s="27">
        <f>IF(AG138="7",H138,0)</f>
        <v>0</v>
      </c>
      <c r="U138" s="27">
        <f>IF(AG138="7",I138,0)</f>
        <v>0</v>
      </c>
      <c r="V138" s="27">
        <f>IF(AG138="2",H138,0)</f>
        <v>0</v>
      </c>
      <c r="W138" s="27">
        <f>IF(AG138="2",I138,0)</f>
        <v>0</v>
      </c>
      <c r="X138" s="27">
        <f>IF(AG138="0",J138,0)</f>
        <v>0</v>
      </c>
      <c r="Y138" s="17"/>
      <c r="Z138" s="25">
        <f>IF(AD138=0,J138,0)</f>
        <v>0</v>
      </c>
      <c r="AA138" s="25">
        <f>IF(AD138=15,J138,0)</f>
        <v>0</v>
      </c>
      <c r="AB138" s="25">
        <f>IF(AD138=21,J138,0)</f>
        <v>0</v>
      </c>
      <c r="AD138" s="27">
        <v>15</v>
      </c>
      <c r="AE138" s="27">
        <f>G138*0.660181929212117</f>
        <v>0</v>
      </c>
      <c r="AF138" s="27">
        <f>G138*(1-0.660181929212117)</f>
        <v>0</v>
      </c>
      <c r="AG138" s="26" t="s">
        <v>28</v>
      </c>
      <c r="AM138" s="27">
        <f>F138*AE138</f>
        <v>0</v>
      </c>
      <c r="AN138" s="27">
        <f>F138*AF138</f>
        <v>0</v>
      </c>
      <c r="AO138" s="28" t="s">
        <v>321</v>
      </c>
      <c r="AP138" s="28" t="s">
        <v>299</v>
      </c>
      <c r="AQ138" s="17" t="s">
        <v>35</v>
      </c>
      <c r="AS138" s="27">
        <f>AM138+AN138</f>
        <v>0</v>
      </c>
      <c r="AT138" s="27">
        <f>G138/(100-AU138)*100</f>
        <v>0</v>
      </c>
      <c r="AU138" s="27">
        <v>0</v>
      </c>
      <c r="AV138" s="27">
        <f>L138</f>
        <v>6.065394970000001</v>
      </c>
    </row>
    <row r="139" spans="1:6" ht="12.75">
      <c r="A139" s="43"/>
      <c r="B139" s="43"/>
      <c r="C139" s="43"/>
      <c r="D139" s="31" t="s">
        <v>329</v>
      </c>
      <c r="E139" s="43"/>
      <c r="F139" s="43"/>
    </row>
    <row r="140" spans="1:48" ht="12.75">
      <c r="A140" s="23" t="s">
        <v>330</v>
      </c>
      <c r="B140" s="23"/>
      <c r="C140" s="23" t="s">
        <v>331</v>
      </c>
      <c r="D140" s="23" t="s">
        <v>332</v>
      </c>
      <c r="E140" s="23" t="s">
        <v>75</v>
      </c>
      <c r="F140" s="24">
        <v>3.99</v>
      </c>
      <c r="G140" s="47">
        <v>0</v>
      </c>
      <c r="H140" s="25">
        <f>F140*AE140</f>
        <v>0</v>
      </c>
      <c r="I140" s="25">
        <f>J140-H140</f>
        <v>0</v>
      </c>
      <c r="J140" s="25">
        <f>F140*G140</f>
        <v>0</v>
      </c>
      <c r="K140" s="25">
        <v>0.05258</v>
      </c>
      <c r="L140" s="25">
        <f>F140*K140</f>
        <v>0.20979420000000001</v>
      </c>
      <c r="M140" s="26" t="s">
        <v>32</v>
      </c>
      <c r="P140" s="27">
        <f>IF(AG140="5",J140,0)</f>
        <v>0</v>
      </c>
      <c r="R140" s="27">
        <f>IF(AG140="1",H140,0)</f>
        <v>0</v>
      </c>
      <c r="S140" s="27">
        <f>IF(AG140="1",I140,0)</f>
        <v>0</v>
      </c>
      <c r="T140" s="27">
        <f>IF(AG140="7",H140,0)</f>
        <v>0</v>
      </c>
      <c r="U140" s="27">
        <f>IF(AG140="7",I140,0)</f>
        <v>0</v>
      </c>
      <c r="V140" s="27">
        <f>IF(AG140="2",H140,0)</f>
        <v>0</v>
      </c>
      <c r="W140" s="27">
        <f>IF(AG140="2",I140,0)</f>
        <v>0</v>
      </c>
      <c r="X140" s="27">
        <f>IF(AG140="0",J140,0)</f>
        <v>0</v>
      </c>
      <c r="Y140" s="17"/>
      <c r="Z140" s="25">
        <f>IF(AD140=0,J140,0)</f>
        <v>0</v>
      </c>
      <c r="AA140" s="25">
        <f>IF(AD140=15,J140,0)</f>
        <v>0</v>
      </c>
      <c r="AB140" s="25">
        <f>IF(AD140=21,J140,0)</f>
        <v>0</v>
      </c>
      <c r="AD140" s="27">
        <v>15</v>
      </c>
      <c r="AE140" s="27">
        <f>G140*0.0858752166377816</f>
        <v>0</v>
      </c>
      <c r="AF140" s="27">
        <f>G140*(1-0.0858752166377816)</f>
        <v>0</v>
      </c>
      <c r="AG140" s="26" t="s">
        <v>28</v>
      </c>
      <c r="AM140" s="27">
        <f>F140*AE140</f>
        <v>0</v>
      </c>
      <c r="AN140" s="27">
        <f>F140*AF140</f>
        <v>0</v>
      </c>
      <c r="AO140" s="28" t="s">
        <v>321</v>
      </c>
      <c r="AP140" s="28" t="s">
        <v>299</v>
      </c>
      <c r="AQ140" s="17" t="s">
        <v>35</v>
      </c>
      <c r="AS140" s="27">
        <f>AM140+AN140</f>
        <v>0</v>
      </c>
      <c r="AT140" s="27">
        <f>G140/(100-AU140)*100</f>
        <v>0</v>
      </c>
      <c r="AU140" s="27">
        <v>0</v>
      </c>
      <c r="AV140" s="27">
        <f>L140</f>
        <v>0.20979420000000001</v>
      </c>
    </row>
    <row r="141" spans="1:48" ht="12.75">
      <c r="A141" s="23" t="s">
        <v>333</v>
      </c>
      <c r="B141" s="23"/>
      <c r="C141" s="23" t="s">
        <v>334</v>
      </c>
      <c r="D141" s="23" t="s">
        <v>335</v>
      </c>
      <c r="E141" s="23" t="s">
        <v>41</v>
      </c>
      <c r="F141" s="24">
        <v>44.35</v>
      </c>
      <c r="G141" s="47">
        <v>0</v>
      </c>
      <c r="H141" s="25">
        <f>F141*AE141</f>
        <v>0</v>
      </c>
      <c r="I141" s="25">
        <f>J141-H141</f>
        <v>0</v>
      </c>
      <c r="J141" s="25">
        <f>F141*G141</f>
        <v>0</v>
      </c>
      <c r="K141" s="25">
        <v>0.00037</v>
      </c>
      <c r="L141" s="25">
        <f>F141*K141</f>
        <v>0.0164095</v>
      </c>
      <c r="M141" s="26" t="s">
        <v>32</v>
      </c>
      <c r="P141" s="27">
        <f>IF(AG141="5",J141,0)</f>
        <v>0</v>
      </c>
      <c r="R141" s="27">
        <f>IF(AG141="1",H141,0)</f>
        <v>0</v>
      </c>
      <c r="S141" s="27">
        <f>IF(AG141="1",I141,0)</f>
        <v>0</v>
      </c>
      <c r="T141" s="27">
        <f>IF(AG141="7",H141,0)</f>
        <v>0</v>
      </c>
      <c r="U141" s="27">
        <f>IF(AG141="7",I141,0)</f>
        <v>0</v>
      </c>
      <c r="V141" s="27">
        <f>IF(AG141="2",H141,0)</f>
        <v>0</v>
      </c>
      <c r="W141" s="27">
        <f>IF(AG141="2",I141,0)</f>
        <v>0</v>
      </c>
      <c r="X141" s="27">
        <f>IF(AG141="0",J141,0)</f>
        <v>0</v>
      </c>
      <c r="Y141" s="17"/>
      <c r="Z141" s="25">
        <f>IF(AD141=0,J141,0)</f>
        <v>0</v>
      </c>
      <c r="AA141" s="25">
        <f>IF(AD141=15,J141,0)</f>
        <v>0</v>
      </c>
      <c r="AB141" s="25">
        <f>IF(AD141=21,J141,0)</f>
        <v>0</v>
      </c>
      <c r="AD141" s="27">
        <v>15</v>
      </c>
      <c r="AE141" s="27">
        <f>G141*0.5838145246211</f>
        <v>0</v>
      </c>
      <c r="AF141" s="27">
        <f>G141*(1-0.5838145246211)</f>
        <v>0</v>
      </c>
      <c r="AG141" s="26" t="s">
        <v>28</v>
      </c>
      <c r="AM141" s="27">
        <f>F141*AE141</f>
        <v>0</v>
      </c>
      <c r="AN141" s="27">
        <f>F141*AF141</f>
        <v>0</v>
      </c>
      <c r="AO141" s="28" t="s">
        <v>321</v>
      </c>
      <c r="AP141" s="28" t="s">
        <v>299</v>
      </c>
      <c r="AQ141" s="17" t="s">
        <v>35</v>
      </c>
      <c r="AS141" s="27">
        <f>AM141+AN141</f>
        <v>0</v>
      </c>
      <c r="AT141" s="27">
        <f>G141/(100-AU141)*100</f>
        <v>0</v>
      </c>
      <c r="AU141" s="27">
        <v>0</v>
      </c>
      <c r="AV141" s="27">
        <f>L141</f>
        <v>0.0164095</v>
      </c>
    </row>
    <row r="142" spans="1:48" ht="12.75">
      <c r="A142" s="23" t="s">
        <v>336</v>
      </c>
      <c r="B142" s="23"/>
      <c r="C142" s="23" t="s">
        <v>337</v>
      </c>
      <c r="D142" s="23" t="s">
        <v>338</v>
      </c>
      <c r="E142" s="23" t="s">
        <v>75</v>
      </c>
      <c r="F142" s="24">
        <v>47.969</v>
      </c>
      <c r="G142" s="47">
        <v>0</v>
      </c>
      <c r="H142" s="25">
        <f>F142*AE142</f>
        <v>0</v>
      </c>
      <c r="I142" s="25">
        <f>J142-H142</f>
        <v>0</v>
      </c>
      <c r="J142" s="25">
        <f>F142*G142</f>
        <v>0</v>
      </c>
      <c r="K142" s="25">
        <v>0.02309</v>
      </c>
      <c r="L142" s="25">
        <f>F142*K142</f>
        <v>1.10760421</v>
      </c>
      <c r="M142" s="26" t="s">
        <v>32</v>
      </c>
      <c r="P142" s="27">
        <f>IF(AG142="5",J142,0)</f>
        <v>0</v>
      </c>
      <c r="R142" s="27">
        <f>IF(AG142="1",H142,0)</f>
        <v>0</v>
      </c>
      <c r="S142" s="27">
        <f>IF(AG142="1",I142,0)</f>
        <v>0</v>
      </c>
      <c r="T142" s="27">
        <f>IF(AG142="7",H142,0)</f>
        <v>0</v>
      </c>
      <c r="U142" s="27">
        <f>IF(AG142="7",I142,0)</f>
        <v>0</v>
      </c>
      <c r="V142" s="27">
        <f>IF(AG142="2",H142,0)</f>
        <v>0</v>
      </c>
      <c r="W142" s="27">
        <f>IF(AG142="2",I142,0)</f>
        <v>0</v>
      </c>
      <c r="X142" s="27">
        <f>IF(AG142="0",J142,0)</f>
        <v>0</v>
      </c>
      <c r="Y142" s="17"/>
      <c r="Z142" s="25">
        <f>IF(AD142=0,J142,0)</f>
        <v>0</v>
      </c>
      <c r="AA142" s="25">
        <f>IF(AD142=15,J142,0)</f>
        <v>0</v>
      </c>
      <c r="AB142" s="25">
        <f>IF(AD142=21,J142,0)</f>
        <v>0</v>
      </c>
      <c r="AD142" s="27">
        <v>15</v>
      </c>
      <c r="AE142" s="27">
        <f>G142*0.532647305168677</f>
        <v>0</v>
      </c>
      <c r="AF142" s="27">
        <f>G142*(1-0.532647305168677)</f>
        <v>0</v>
      </c>
      <c r="AG142" s="26" t="s">
        <v>28</v>
      </c>
      <c r="AM142" s="27">
        <f>F142*AE142</f>
        <v>0</v>
      </c>
      <c r="AN142" s="27">
        <f>F142*AF142</f>
        <v>0</v>
      </c>
      <c r="AO142" s="28" t="s">
        <v>321</v>
      </c>
      <c r="AP142" s="28" t="s">
        <v>299</v>
      </c>
      <c r="AQ142" s="17" t="s">
        <v>35</v>
      </c>
      <c r="AS142" s="27">
        <f>AM142+AN142</f>
        <v>0</v>
      </c>
      <c r="AT142" s="27">
        <f>G142/(100-AU142)*100</f>
        <v>0</v>
      </c>
      <c r="AU142" s="27">
        <v>0</v>
      </c>
      <c r="AV142" s="27">
        <f>L142</f>
        <v>1.10760421</v>
      </c>
    </row>
    <row r="143" spans="1:6" ht="12.75">
      <c r="A143" s="43"/>
      <c r="B143" s="43"/>
      <c r="C143" s="43"/>
      <c r="D143" s="31" t="s">
        <v>329</v>
      </c>
      <c r="E143" s="43"/>
      <c r="F143" s="43"/>
    </row>
    <row r="144" spans="1:48" ht="12.75">
      <c r="A144" s="23" t="s">
        <v>339</v>
      </c>
      <c r="B144" s="23"/>
      <c r="C144" s="23" t="s">
        <v>340</v>
      </c>
      <c r="D144" s="23" t="s">
        <v>341</v>
      </c>
      <c r="E144" s="23" t="s">
        <v>75</v>
      </c>
      <c r="F144" s="24">
        <v>13.77</v>
      </c>
      <c r="G144" s="47">
        <v>0</v>
      </c>
      <c r="H144" s="25">
        <f>F144*AE144</f>
        <v>0</v>
      </c>
      <c r="I144" s="25">
        <f>J144-H144</f>
        <v>0</v>
      </c>
      <c r="J144" s="25">
        <f>F144*G144</f>
        <v>0</v>
      </c>
      <c r="K144" s="25">
        <v>0.01174</v>
      </c>
      <c r="L144" s="25">
        <f>F144*K144</f>
        <v>0.1616598</v>
      </c>
      <c r="M144" s="26" t="s">
        <v>32</v>
      </c>
      <c r="P144" s="27">
        <f>IF(AG144="5",J144,0)</f>
        <v>0</v>
      </c>
      <c r="R144" s="27">
        <f>IF(AG144="1",H144,0)</f>
        <v>0</v>
      </c>
      <c r="S144" s="27">
        <f>IF(AG144="1",I144,0)</f>
        <v>0</v>
      </c>
      <c r="T144" s="27">
        <f>IF(AG144="7",H144,0)</f>
        <v>0</v>
      </c>
      <c r="U144" s="27">
        <f>IF(AG144="7",I144,0)</f>
        <v>0</v>
      </c>
      <c r="V144" s="27">
        <f>IF(AG144="2",H144,0)</f>
        <v>0</v>
      </c>
      <c r="W144" s="27">
        <f>IF(AG144="2",I144,0)</f>
        <v>0</v>
      </c>
      <c r="X144" s="27">
        <f>IF(AG144="0",J144,0)</f>
        <v>0</v>
      </c>
      <c r="Y144" s="17"/>
      <c r="Z144" s="25">
        <f>IF(AD144=0,J144,0)</f>
        <v>0</v>
      </c>
      <c r="AA144" s="25">
        <f>IF(AD144=15,J144,0)</f>
        <v>0</v>
      </c>
      <c r="AB144" s="25">
        <f>IF(AD144=21,J144,0)</f>
        <v>0</v>
      </c>
      <c r="AD144" s="27">
        <v>15</v>
      </c>
      <c r="AE144" s="27">
        <f>G144*0.39816626814968</f>
        <v>0</v>
      </c>
      <c r="AF144" s="27">
        <f>G144*(1-0.39816626814968)</f>
        <v>0</v>
      </c>
      <c r="AG144" s="26" t="s">
        <v>28</v>
      </c>
      <c r="AM144" s="27">
        <f>F144*AE144</f>
        <v>0</v>
      </c>
      <c r="AN144" s="27">
        <f>F144*AF144</f>
        <v>0</v>
      </c>
      <c r="AO144" s="28" t="s">
        <v>321</v>
      </c>
      <c r="AP144" s="28" t="s">
        <v>299</v>
      </c>
      <c r="AQ144" s="17" t="s">
        <v>35</v>
      </c>
      <c r="AS144" s="27">
        <f>AM144+AN144</f>
        <v>0</v>
      </c>
      <c r="AT144" s="27">
        <f>G144/(100-AU144)*100</f>
        <v>0</v>
      </c>
      <c r="AU144" s="27">
        <v>0</v>
      </c>
      <c r="AV144" s="27">
        <f>L144</f>
        <v>0.1616598</v>
      </c>
    </row>
    <row r="145" spans="1:6" ht="12.75">
      <c r="A145" s="43"/>
      <c r="B145" s="43"/>
      <c r="C145" s="43"/>
      <c r="D145" s="31" t="s">
        <v>329</v>
      </c>
      <c r="E145" s="43"/>
      <c r="F145" s="43"/>
    </row>
    <row r="146" spans="1:48" ht="12.75">
      <c r="A146" s="23" t="s">
        <v>342</v>
      </c>
      <c r="B146" s="23"/>
      <c r="C146" s="23" t="s">
        <v>343</v>
      </c>
      <c r="D146" s="23" t="s">
        <v>344</v>
      </c>
      <c r="E146" s="23" t="s">
        <v>75</v>
      </c>
      <c r="F146" s="24">
        <v>4.339</v>
      </c>
      <c r="G146" s="47">
        <v>0</v>
      </c>
      <c r="H146" s="25">
        <f>F146*AE146</f>
        <v>0</v>
      </c>
      <c r="I146" s="25">
        <f>J146-H146</f>
        <v>0</v>
      </c>
      <c r="J146" s="25">
        <f>F146*G146</f>
        <v>0</v>
      </c>
      <c r="K146" s="25">
        <v>0.05258</v>
      </c>
      <c r="L146" s="25">
        <f>F146*K146</f>
        <v>0.22814462000000002</v>
      </c>
      <c r="M146" s="26" t="s">
        <v>32</v>
      </c>
      <c r="P146" s="27">
        <f>IF(AG146="5",J146,0)</f>
        <v>0</v>
      </c>
      <c r="R146" s="27">
        <f>IF(AG146="1",H146,0)</f>
        <v>0</v>
      </c>
      <c r="S146" s="27">
        <f>IF(AG146="1",I146,0)</f>
        <v>0</v>
      </c>
      <c r="T146" s="27">
        <f>IF(AG146="7",H146,0)</f>
        <v>0</v>
      </c>
      <c r="U146" s="27">
        <f>IF(AG146="7",I146,0)</f>
        <v>0</v>
      </c>
      <c r="V146" s="27">
        <f>IF(AG146="2",H146,0)</f>
        <v>0</v>
      </c>
      <c r="W146" s="27">
        <f>IF(AG146="2",I146,0)</f>
        <v>0</v>
      </c>
      <c r="X146" s="27">
        <f>IF(AG146="0",J146,0)</f>
        <v>0</v>
      </c>
      <c r="Y146" s="17"/>
      <c r="Z146" s="25">
        <f>IF(AD146=0,J146,0)</f>
        <v>0</v>
      </c>
      <c r="AA146" s="25">
        <f>IF(AD146=15,J146,0)</f>
        <v>0</v>
      </c>
      <c r="AB146" s="25">
        <f>IF(AD146=21,J146,0)</f>
        <v>0</v>
      </c>
      <c r="AD146" s="27">
        <v>15</v>
      </c>
      <c r="AE146" s="27">
        <f>G146*0.11035413832927</f>
        <v>0</v>
      </c>
      <c r="AF146" s="27">
        <f>G146*(1-0.11035413832927)</f>
        <v>0</v>
      </c>
      <c r="AG146" s="26" t="s">
        <v>28</v>
      </c>
      <c r="AM146" s="27">
        <f>F146*AE146</f>
        <v>0</v>
      </c>
      <c r="AN146" s="27">
        <f>F146*AF146</f>
        <v>0</v>
      </c>
      <c r="AO146" s="28" t="s">
        <v>321</v>
      </c>
      <c r="AP146" s="28" t="s">
        <v>299</v>
      </c>
      <c r="AQ146" s="17" t="s">
        <v>35</v>
      </c>
      <c r="AS146" s="27">
        <f>AM146+AN146</f>
        <v>0</v>
      </c>
      <c r="AT146" s="27">
        <f>G146/(100-AU146)*100</f>
        <v>0</v>
      </c>
      <c r="AU146" s="27">
        <v>0</v>
      </c>
      <c r="AV146" s="27">
        <f>L146</f>
        <v>0.22814462000000002</v>
      </c>
    </row>
    <row r="147" spans="1:6" ht="12.75">
      <c r="A147" s="43"/>
      <c r="B147" s="43"/>
      <c r="C147" s="43"/>
      <c r="D147" s="31" t="s">
        <v>178</v>
      </c>
      <c r="E147" s="43"/>
      <c r="F147" s="43"/>
    </row>
    <row r="148" spans="1:48" ht="12.75">
      <c r="A148" s="23" t="s">
        <v>345</v>
      </c>
      <c r="B148" s="23"/>
      <c r="C148" s="23" t="s">
        <v>346</v>
      </c>
      <c r="D148" s="23" t="s">
        <v>347</v>
      </c>
      <c r="E148" s="23" t="s">
        <v>41</v>
      </c>
      <c r="F148" s="24">
        <v>68.85</v>
      </c>
      <c r="G148" s="47">
        <v>0</v>
      </c>
      <c r="H148" s="25">
        <f>F148*AE148</f>
        <v>0</v>
      </c>
      <c r="I148" s="25">
        <f>J148-H148</f>
        <v>0</v>
      </c>
      <c r="J148" s="25">
        <f>F148*G148</f>
        <v>0</v>
      </c>
      <c r="K148" s="25">
        <v>0.00015</v>
      </c>
      <c r="L148" s="25">
        <f>F148*K148</f>
        <v>0.010327499999999998</v>
      </c>
      <c r="M148" s="26" t="s">
        <v>32</v>
      </c>
      <c r="P148" s="27">
        <f>IF(AG148="5",J148,0)</f>
        <v>0</v>
      </c>
      <c r="R148" s="27">
        <f>IF(AG148="1",H148,0)</f>
        <v>0</v>
      </c>
      <c r="S148" s="27">
        <f>IF(AG148="1",I148,0)</f>
        <v>0</v>
      </c>
      <c r="T148" s="27">
        <f>IF(AG148="7",H148,0)</f>
        <v>0</v>
      </c>
      <c r="U148" s="27">
        <f>IF(AG148="7",I148,0)</f>
        <v>0</v>
      </c>
      <c r="V148" s="27">
        <f>IF(AG148="2",H148,0)</f>
        <v>0</v>
      </c>
      <c r="W148" s="27">
        <f>IF(AG148="2",I148,0)</f>
        <v>0</v>
      </c>
      <c r="X148" s="27">
        <f>IF(AG148="0",J148,0)</f>
        <v>0</v>
      </c>
      <c r="Y148" s="17"/>
      <c r="Z148" s="25">
        <f>IF(AD148=0,J148,0)</f>
        <v>0</v>
      </c>
      <c r="AA148" s="25">
        <f>IF(AD148=15,J148,0)</f>
        <v>0</v>
      </c>
      <c r="AB148" s="25">
        <f>IF(AD148=21,J148,0)</f>
        <v>0</v>
      </c>
      <c r="AD148" s="27">
        <v>15</v>
      </c>
      <c r="AE148" s="27">
        <f>G148*0.426980064068672</f>
        <v>0</v>
      </c>
      <c r="AF148" s="27">
        <f>G148*(1-0.426980064068672)</f>
        <v>0</v>
      </c>
      <c r="AG148" s="26" t="s">
        <v>28</v>
      </c>
      <c r="AM148" s="27">
        <f>F148*AE148</f>
        <v>0</v>
      </c>
      <c r="AN148" s="27">
        <f>F148*AF148</f>
        <v>0</v>
      </c>
      <c r="AO148" s="28" t="s">
        <v>321</v>
      </c>
      <c r="AP148" s="28" t="s">
        <v>299</v>
      </c>
      <c r="AQ148" s="17" t="s">
        <v>35</v>
      </c>
      <c r="AS148" s="27">
        <f>AM148+AN148</f>
        <v>0</v>
      </c>
      <c r="AT148" s="27">
        <f>G148/(100-AU148)*100</f>
        <v>0</v>
      </c>
      <c r="AU148" s="27">
        <v>0</v>
      </c>
      <c r="AV148" s="27">
        <f>L148</f>
        <v>0.010327499999999998</v>
      </c>
    </row>
    <row r="149" spans="1:6" ht="12.75">
      <c r="A149" s="43"/>
      <c r="B149" s="43"/>
      <c r="C149" s="43"/>
      <c r="D149" s="31" t="s">
        <v>348</v>
      </c>
      <c r="E149" s="43"/>
      <c r="F149" s="43"/>
    </row>
    <row r="150" spans="1:48" ht="12.75">
      <c r="A150" s="23" t="s">
        <v>349</v>
      </c>
      <c r="B150" s="23"/>
      <c r="C150" s="23" t="s">
        <v>350</v>
      </c>
      <c r="D150" s="23" t="s">
        <v>351</v>
      </c>
      <c r="E150" s="23" t="s">
        <v>41</v>
      </c>
      <c r="F150" s="24">
        <v>18.15</v>
      </c>
      <c r="G150" s="47">
        <v>0</v>
      </c>
      <c r="H150" s="25">
        <f>F150*AE150</f>
        <v>0</v>
      </c>
      <c r="I150" s="25">
        <f>J150-H150</f>
        <v>0</v>
      </c>
      <c r="J150" s="25">
        <f>F150*G150</f>
        <v>0</v>
      </c>
      <c r="K150" s="25">
        <v>0</v>
      </c>
      <c r="L150" s="25">
        <f>F150*K150</f>
        <v>0</v>
      </c>
      <c r="M150" s="26" t="s">
        <v>32</v>
      </c>
      <c r="P150" s="27">
        <f>IF(AG150="5",J150,0)</f>
        <v>0</v>
      </c>
      <c r="R150" s="27">
        <f>IF(AG150="1",H150,0)</f>
        <v>0</v>
      </c>
      <c r="S150" s="27">
        <f>IF(AG150="1",I150,0)</f>
        <v>0</v>
      </c>
      <c r="T150" s="27">
        <f>IF(AG150="7",H150,0)</f>
        <v>0</v>
      </c>
      <c r="U150" s="27">
        <f>IF(AG150="7",I150,0)</f>
        <v>0</v>
      </c>
      <c r="V150" s="27">
        <f>IF(AG150="2",H150,0)</f>
        <v>0</v>
      </c>
      <c r="W150" s="27">
        <f>IF(AG150="2",I150,0)</f>
        <v>0</v>
      </c>
      <c r="X150" s="27">
        <f>IF(AG150="0",J150,0)</f>
        <v>0</v>
      </c>
      <c r="Y150" s="17"/>
      <c r="Z150" s="25">
        <f>IF(AD150=0,J150,0)</f>
        <v>0</v>
      </c>
      <c r="AA150" s="25">
        <f>IF(AD150=15,J150,0)</f>
        <v>0</v>
      </c>
      <c r="AB150" s="25">
        <f>IF(AD150=21,J150,0)</f>
        <v>0</v>
      </c>
      <c r="AD150" s="27">
        <v>15</v>
      </c>
      <c r="AE150" s="27">
        <f>G150*0</f>
        <v>0</v>
      </c>
      <c r="AF150" s="27">
        <f>G150*(1-0)</f>
        <v>0</v>
      </c>
      <c r="AG150" s="26" t="s">
        <v>28</v>
      </c>
      <c r="AM150" s="27">
        <f>F150*AE150</f>
        <v>0</v>
      </c>
      <c r="AN150" s="27">
        <f>F150*AF150</f>
        <v>0</v>
      </c>
      <c r="AO150" s="28" t="s">
        <v>321</v>
      </c>
      <c r="AP150" s="28" t="s">
        <v>299</v>
      </c>
      <c r="AQ150" s="17" t="s">
        <v>35</v>
      </c>
      <c r="AS150" s="27">
        <f>AM150+AN150</f>
        <v>0</v>
      </c>
      <c r="AT150" s="27">
        <f>G150/(100-AU150)*100</f>
        <v>0</v>
      </c>
      <c r="AU150" s="27">
        <v>0</v>
      </c>
      <c r="AV150" s="27">
        <f>L150</f>
        <v>0</v>
      </c>
    </row>
    <row r="151" spans="1:48" ht="12.75">
      <c r="A151" s="32" t="s">
        <v>352</v>
      </c>
      <c r="B151" s="32"/>
      <c r="C151" s="32" t="s">
        <v>353</v>
      </c>
      <c r="D151" s="32" t="s">
        <v>354</v>
      </c>
      <c r="E151" s="32" t="s">
        <v>41</v>
      </c>
      <c r="F151" s="33">
        <v>18.15</v>
      </c>
      <c r="G151" s="50">
        <v>0</v>
      </c>
      <c r="H151" s="34">
        <f>F151*AE151</f>
        <v>0</v>
      </c>
      <c r="I151" s="34">
        <f>J151-H151</f>
        <v>0</v>
      </c>
      <c r="J151" s="34">
        <f>F151*G151</f>
        <v>0</v>
      </c>
      <c r="K151" s="34">
        <v>9E-05</v>
      </c>
      <c r="L151" s="34">
        <f>F151*K151</f>
        <v>0.0016335</v>
      </c>
      <c r="M151" s="35" t="s">
        <v>32</v>
      </c>
      <c r="P151" s="27">
        <f>IF(AG151="5",J151,0)</f>
        <v>0</v>
      </c>
      <c r="R151" s="27">
        <f>IF(AG151="1",H151,0)</f>
        <v>0</v>
      </c>
      <c r="S151" s="27">
        <f>IF(AG151="1",I151,0)</f>
        <v>0</v>
      </c>
      <c r="T151" s="27">
        <f>IF(AG151="7",H151,0)</f>
        <v>0</v>
      </c>
      <c r="U151" s="27">
        <f>IF(AG151="7",I151,0)</f>
        <v>0</v>
      </c>
      <c r="V151" s="27">
        <f>IF(AG151="2",H151,0)</f>
        <v>0</v>
      </c>
      <c r="W151" s="27">
        <f>IF(AG151="2",I151,0)</f>
        <v>0</v>
      </c>
      <c r="X151" s="27">
        <f>IF(AG151="0",J151,0)</f>
        <v>0</v>
      </c>
      <c r="Y151" s="17"/>
      <c r="Z151" s="34">
        <f>IF(AD151=0,J151,0)</f>
        <v>0</v>
      </c>
      <c r="AA151" s="34">
        <f>IF(AD151=15,J151,0)</f>
        <v>0</v>
      </c>
      <c r="AB151" s="34">
        <f>IF(AD151=21,J151,0)</f>
        <v>0</v>
      </c>
      <c r="AD151" s="27">
        <v>15</v>
      </c>
      <c r="AE151" s="27">
        <f>G151*1</f>
        <v>0</v>
      </c>
      <c r="AF151" s="27">
        <f>G151*(1-1)</f>
        <v>0</v>
      </c>
      <c r="AG151" s="35" t="s">
        <v>28</v>
      </c>
      <c r="AM151" s="27">
        <f>F151*AE151</f>
        <v>0</v>
      </c>
      <c r="AN151" s="27">
        <f>F151*AF151</f>
        <v>0</v>
      </c>
      <c r="AO151" s="28" t="s">
        <v>321</v>
      </c>
      <c r="AP151" s="28" t="s">
        <v>299</v>
      </c>
      <c r="AQ151" s="17" t="s">
        <v>35</v>
      </c>
      <c r="AS151" s="27">
        <f>AM151+AN151</f>
        <v>0</v>
      </c>
      <c r="AT151" s="27">
        <f>G151/(100-AU151)*100</f>
        <v>0</v>
      </c>
      <c r="AU151" s="27">
        <v>0</v>
      </c>
      <c r="AV151" s="27">
        <f>L151</f>
        <v>0.0016335</v>
      </c>
    </row>
    <row r="152" spans="1:48" ht="12.75">
      <c r="A152" s="23" t="s">
        <v>355</v>
      </c>
      <c r="B152" s="23"/>
      <c r="C152" s="23" t="s">
        <v>356</v>
      </c>
      <c r="D152" s="23" t="s">
        <v>357</v>
      </c>
      <c r="E152" s="23" t="s">
        <v>75</v>
      </c>
      <c r="F152" s="24">
        <v>41.263</v>
      </c>
      <c r="G152" s="47">
        <v>0</v>
      </c>
      <c r="H152" s="25">
        <f>F152*AE152</f>
        <v>0</v>
      </c>
      <c r="I152" s="25">
        <f>J152-H152</f>
        <v>0</v>
      </c>
      <c r="J152" s="25">
        <f>F152*G152</f>
        <v>0</v>
      </c>
      <c r="K152" s="25">
        <v>4E-05</v>
      </c>
      <c r="L152" s="25">
        <f>F152*K152</f>
        <v>0.0016505200000000002</v>
      </c>
      <c r="M152" s="26" t="s">
        <v>32</v>
      </c>
      <c r="P152" s="27">
        <f>IF(AG152="5",J152,0)</f>
        <v>0</v>
      </c>
      <c r="R152" s="27">
        <f>IF(AG152="1",H152,0)</f>
        <v>0</v>
      </c>
      <c r="S152" s="27">
        <f>IF(AG152="1",I152,0)</f>
        <v>0</v>
      </c>
      <c r="T152" s="27">
        <f>IF(AG152="7",H152,0)</f>
        <v>0</v>
      </c>
      <c r="U152" s="27">
        <f>IF(AG152="7",I152,0)</f>
        <v>0</v>
      </c>
      <c r="V152" s="27">
        <f>IF(AG152="2",H152,0)</f>
        <v>0</v>
      </c>
      <c r="W152" s="27">
        <f>IF(AG152="2",I152,0)</f>
        <v>0</v>
      </c>
      <c r="X152" s="27">
        <f>IF(AG152="0",J152,0)</f>
        <v>0</v>
      </c>
      <c r="Y152" s="17"/>
      <c r="Z152" s="25">
        <f>IF(AD152=0,J152,0)</f>
        <v>0</v>
      </c>
      <c r="AA152" s="25">
        <f>IF(AD152=15,J152,0)</f>
        <v>0</v>
      </c>
      <c r="AB152" s="25">
        <f>IF(AD152=21,J152,0)</f>
        <v>0</v>
      </c>
      <c r="AD152" s="27">
        <v>15</v>
      </c>
      <c r="AE152" s="27">
        <f>G152*0.320144802475236</f>
        <v>0</v>
      </c>
      <c r="AF152" s="27">
        <f>G152*(1-0.320144802475236)</f>
        <v>0</v>
      </c>
      <c r="AG152" s="26" t="s">
        <v>28</v>
      </c>
      <c r="AM152" s="27">
        <f>F152*AE152</f>
        <v>0</v>
      </c>
      <c r="AN152" s="27">
        <f>F152*AF152</f>
        <v>0</v>
      </c>
      <c r="AO152" s="28" t="s">
        <v>321</v>
      </c>
      <c r="AP152" s="28" t="s">
        <v>299</v>
      </c>
      <c r="AQ152" s="17" t="s">
        <v>35</v>
      </c>
      <c r="AS152" s="27">
        <f>AM152+AN152</f>
        <v>0</v>
      </c>
      <c r="AT152" s="27">
        <f>G152/(100-AU152)*100</f>
        <v>0</v>
      </c>
      <c r="AU152" s="27">
        <v>0</v>
      </c>
      <c r="AV152" s="27">
        <f>L152</f>
        <v>0.0016505200000000002</v>
      </c>
    </row>
    <row r="153" spans="1:48" ht="12.75">
      <c r="A153" s="23" t="s">
        <v>358</v>
      </c>
      <c r="B153" s="23"/>
      <c r="C153" s="23" t="s">
        <v>359</v>
      </c>
      <c r="D153" s="23" t="s">
        <v>360</v>
      </c>
      <c r="E153" s="23" t="s">
        <v>75</v>
      </c>
      <c r="F153" s="24">
        <v>6.4</v>
      </c>
      <c r="G153" s="47">
        <v>0</v>
      </c>
      <c r="H153" s="25">
        <f>F153*AE153</f>
        <v>0</v>
      </c>
      <c r="I153" s="25">
        <f>J153-H153</f>
        <v>0</v>
      </c>
      <c r="J153" s="25">
        <f>F153*G153</f>
        <v>0</v>
      </c>
      <c r="K153" s="25">
        <v>0.00361</v>
      </c>
      <c r="L153" s="25">
        <f>F153*K153</f>
        <v>0.023104</v>
      </c>
      <c r="M153" s="26" t="s">
        <v>32</v>
      </c>
      <c r="P153" s="27">
        <f>IF(AG153="5",J153,0)</f>
        <v>0</v>
      </c>
      <c r="R153" s="27">
        <f>IF(AG153="1",H153,0)</f>
        <v>0</v>
      </c>
      <c r="S153" s="27">
        <f>IF(AG153="1",I153,0)</f>
        <v>0</v>
      </c>
      <c r="T153" s="27">
        <f>IF(AG153="7",H153,0)</f>
        <v>0</v>
      </c>
      <c r="U153" s="27">
        <f>IF(AG153="7",I153,0)</f>
        <v>0</v>
      </c>
      <c r="V153" s="27">
        <f>IF(AG153="2",H153,0)</f>
        <v>0</v>
      </c>
      <c r="W153" s="27">
        <f>IF(AG153="2",I153,0)</f>
        <v>0</v>
      </c>
      <c r="X153" s="27">
        <f>IF(AG153="0",J153,0)</f>
        <v>0</v>
      </c>
      <c r="Y153" s="17"/>
      <c r="Z153" s="25">
        <f>IF(AD153=0,J153,0)</f>
        <v>0</v>
      </c>
      <c r="AA153" s="25">
        <f>IF(AD153=15,J153,0)</f>
        <v>0</v>
      </c>
      <c r="AB153" s="25">
        <f>IF(AD153=21,J153,0)</f>
        <v>0</v>
      </c>
      <c r="AD153" s="27">
        <v>15</v>
      </c>
      <c r="AE153" s="27">
        <f>G153*0.2578513192914</f>
        <v>0</v>
      </c>
      <c r="AF153" s="27">
        <f>G153*(1-0.2578513192914)</f>
        <v>0</v>
      </c>
      <c r="AG153" s="26" t="s">
        <v>28</v>
      </c>
      <c r="AM153" s="27">
        <f>F153*AE153</f>
        <v>0</v>
      </c>
      <c r="AN153" s="27">
        <f>F153*AF153</f>
        <v>0</v>
      </c>
      <c r="AO153" s="28" t="s">
        <v>321</v>
      </c>
      <c r="AP153" s="28" t="s">
        <v>299</v>
      </c>
      <c r="AQ153" s="17" t="s">
        <v>35</v>
      </c>
      <c r="AS153" s="27">
        <f>AM153+AN153</f>
        <v>0</v>
      </c>
      <c r="AT153" s="27">
        <f>G153/(100-AU153)*100</f>
        <v>0</v>
      </c>
      <c r="AU153" s="27">
        <v>0</v>
      </c>
      <c r="AV153" s="27">
        <f>L153</f>
        <v>0.023104</v>
      </c>
    </row>
    <row r="154" spans="1:6" ht="12.75">
      <c r="A154" s="43"/>
      <c r="B154" s="43"/>
      <c r="C154" s="43"/>
      <c r="D154" s="31" t="s">
        <v>361</v>
      </c>
      <c r="E154" s="43"/>
      <c r="F154" s="43"/>
    </row>
    <row r="155" spans="1:48" ht="12.75">
      <c r="A155" s="23" t="s">
        <v>362</v>
      </c>
      <c r="B155" s="23"/>
      <c r="C155" s="23" t="s">
        <v>363</v>
      </c>
      <c r="D155" s="23" t="s">
        <v>364</v>
      </c>
      <c r="E155" s="23" t="s">
        <v>75</v>
      </c>
      <c r="F155" s="24">
        <v>6.4</v>
      </c>
      <c r="G155" s="47">
        <v>0</v>
      </c>
      <c r="H155" s="25">
        <f>F155*AE155</f>
        <v>0</v>
      </c>
      <c r="I155" s="25">
        <f>J155-H155</f>
        <v>0</v>
      </c>
      <c r="J155" s="25">
        <f>F155*G155</f>
        <v>0</v>
      </c>
      <c r="K155" s="25">
        <v>0.00559</v>
      </c>
      <c r="L155" s="25">
        <f>F155*K155</f>
        <v>0.035776</v>
      </c>
      <c r="M155" s="26" t="s">
        <v>32</v>
      </c>
      <c r="P155" s="27">
        <f>IF(AG155="5",J155,0)</f>
        <v>0</v>
      </c>
      <c r="R155" s="27">
        <f>IF(AG155="1",H155,0)</f>
        <v>0</v>
      </c>
      <c r="S155" s="27">
        <f>IF(AG155="1",I155,0)</f>
        <v>0</v>
      </c>
      <c r="T155" s="27">
        <f>IF(AG155="7",H155,0)</f>
        <v>0</v>
      </c>
      <c r="U155" s="27">
        <f>IF(AG155="7",I155,0)</f>
        <v>0</v>
      </c>
      <c r="V155" s="27">
        <f>IF(AG155="2",H155,0)</f>
        <v>0</v>
      </c>
      <c r="W155" s="27">
        <f>IF(AG155="2",I155,0)</f>
        <v>0</v>
      </c>
      <c r="X155" s="27">
        <f>IF(AG155="0",J155,0)</f>
        <v>0</v>
      </c>
      <c r="Y155" s="17"/>
      <c r="Z155" s="25">
        <f>IF(AD155=0,J155,0)</f>
        <v>0</v>
      </c>
      <c r="AA155" s="25">
        <f>IF(AD155=15,J155,0)</f>
        <v>0</v>
      </c>
      <c r="AB155" s="25">
        <f>IF(AD155=21,J155,0)</f>
        <v>0</v>
      </c>
      <c r="AD155" s="27">
        <v>15</v>
      </c>
      <c r="AE155" s="27">
        <f>G155*0.197108696090489</f>
        <v>0</v>
      </c>
      <c r="AF155" s="27">
        <f>G155*(1-0.197108696090489)</f>
        <v>0</v>
      </c>
      <c r="AG155" s="26" t="s">
        <v>28</v>
      </c>
      <c r="AM155" s="27">
        <f>F155*AE155</f>
        <v>0</v>
      </c>
      <c r="AN155" s="27">
        <f>F155*AF155</f>
        <v>0</v>
      </c>
      <c r="AO155" s="28" t="s">
        <v>321</v>
      </c>
      <c r="AP155" s="28" t="s">
        <v>299</v>
      </c>
      <c r="AQ155" s="17" t="s">
        <v>35</v>
      </c>
      <c r="AS155" s="27">
        <f>AM155+AN155</f>
        <v>0</v>
      </c>
      <c r="AT155" s="27">
        <f>G155/(100-AU155)*100</f>
        <v>0</v>
      </c>
      <c r="AU155" s="27">
        <v>0</v>
      </c>
      <c r="AV155" s="27">
        <f>L155</f>
        <v>0.035776</v>
      </c>
    </row>
    <row r="156" spans="1:6" ht="12.75">
      <c r="A156" s="43"/>
      <c r="B156" s="43"/>
      <c r="C156" s="43"/>
      <c r="D156" s="31" t="s">
        <v>365</v>
      </c>
      <c r="E156" s="43"/>
      <c r="F156" s="43"/>
    </row>
    <row r="157" spans="1:48" ht="12.75">
      <c r="A157" s="23" t="s">
        <v>366</v>
      </c>
      <c r="B157" s="23"/>
      <c r="C157" s="23" t="s">
        <v>367</v>
      </c>
      <c r="D157" s="23" t="s">
        <v>368</v>
      </c>
      <c r="E157" s="23" t="s">
        <v>75</v>
      </c>
      <c r="F157" s="24">
        <v>6.4</v>
      </c>
      <c r="G157" s="47">
        <v>0</v>
      </c>
      <c r="H157" s="25">
        <f>F157*AE157</f>
        <v>0</v>
      </c>
      <c r="I157" s="25">
        <f>J157-H157</f>
        <v>0</v>
      </c>
      <c r="J157" s="25">
        <f>F157*G157</f>
        <v>0</v>
      </c>
      <c r="K157" s="25">
        <v>0.00276</v>
      </c>
      <c r="L157" s="25">
        <f>F157*K157</f>
        <v>0.017664</v>
      </c>
      <c r="M157" s="26" t="s">
        <v>32</v>
      </c>
      <c r="P157" s="27">
        <f>IF(AG157="5",J157,0)</f>
        <v>0</v>
      </c>
      <c r="R157" s="27">
        <f>IF(AG157="1",H157,0)</f>
        <v>0</v>
      </c>
      <c r="S157" s="27">
        <f>IF(AG157="1",I157,0)</f>
        <v>0</v>
      </c>
      <c r="T157" s="27">
        <f>IF(AG157="7",H157,0)</f>
        <v>0</v>
      </c>
      <c r="U157" s="27">
        <f>IF(AG157="7",I157,0)</f>
        <v>0</v>
      </c>
      <c r="V157" s="27">
        <f>IF(AG157="2",H157,0)</f>
        <v>0</v>
      </c>
      <c r="W157" s="27">
        <f>IF(AG157="2",I157,0)</f>
        <v>0</v>
      </c>
      <c r="X157" s="27">
        <f>IF(AG157="0",J157,0)</f>
        <v>0</v>
      </c>
      <c r="Y157" s="17"/>
      <c r="Z157" s="25">
        <f>IF(AD157=0,J157,0)</f>
        <v>0</v>
      </c>
      <c r="AA157" s="25">
        <f>IF(AD157=15,J157,0)</f>
        <v>0</v>
      </c>
      <c r="AB157" s="25">
        <f>IF(AD157=21,J157,0)</f>
        <v>0</v>
      </c>
      <c r="AD157" s="27">
        <v>15</v>
      </c>
      <c r="AE157" s="27">
        <f>G157*0.500516758373606</f>
        <v>0</v>
      </c>
      <c r="AF157" s="27">
        <f>G157*(1-0.500516758373606)</f>
        <v>0</v>
      </c>
      <c r="AG157" s="26" t="s">
        <v>28</v>
      </c>
      <c r="AM157" s="27">
        <f>F157*AE157</f>
        <v>0</v>
      </c>
      <c r="AN157" s="27">
        <f>F157*AF157</f>
        <v>0</v>
      </c>
      <c r="AO157" s="28" t="s">
        <v>321</v>
      </c>
      <c r="AP157" s="28" t="s">
        <v>299</v>
      </c>
      <c r="AQ157" s="17" t="s">
        <v>35</v>
      </c>
      <c r="AS157" s="27">
        <f>AM157+AN157</f>
        <v>0</v>
      </c>
      <c r="AT157" s="27">
        <f>G157/(100-AU157)*100</f>
        <v>0</v>
      </c>
      <c r="AU157" s="27">
        <v>0</v>
      </c>
      <c r="AV157" s="27">
        <f>L157</f>
        <v>0.017664</v>
      </c>
    </row>
    <row r="158" spans="1:6" ht="12.75">
      <c r="A158" s="43"/>
      <c r="B158" s="43"/>
      <c r="C158" s="43"/>
      <c r="D158" s="31" t="s">
        <v>369</v>
      </c>
      <c r="E158" s="43"/>
      <c r="F158" s="43"/>
    </row>
    <row r="159" spans="1:48" ht="12.75">
      <c r="A159" s="23" t="s">
        <v>370</v>
      </c>
      <c r="B159" s="23"/>
      <c r="C159" s="23" t="s">
        <v>371</v>
      </c>
      <c r="D159" s="23" t="s">
        <v>372</v>
      </c>
      <c r="E159" s="23" t="s">
        <v>75</v>
      </c>
      <c r="F159" s="24">
        <v>6.4</v>
      </c>
      <c r="G159" s="47">
        <v>0</v>
      </c>
      <c r="H159" s="25">
        <f>F159*AE159</f>
        <v>0</v>
      </c>
      <c r="I159" s="25">
        <f>J159-H159</f>
        <v>0</v>
      </c>
      <c r="J159" s="25">
        <f>F159*G159</f>
        <v>0</v>
      </c>
      <c r="K159" s="25">
        <v>0.00035</v>
      </c>
      <c r="L159" s="25">
        <f>F159*K159</f>
        <v>0.0022400000000000002</v>
      </c>
      <c r="M159" s="26" t="s">
        <v>32</v>
      </c>
      <c r="P159" s="27">
        <f>IF(AG159="5",J159,0)</f>
        <v>0</v>
      </c>
      <c r="R159" s="27">
        <f>IF(AG159="1",H159,0)</f>
        <v>0</v>
      </c>
      <c r="S159" s="27">
        <f>IF(AG159="1",I159,0)</f>
        <v>0</v>
      </c>
      <c r="T159" s="27">
        <f>IF(AG159="7",H159,0)</f>
        <v>0</v>
      </c>
      <c r="U159" s="27">
        <f>IF(AG159="7",I159,0)</f>
        <v>0</v>
      </c>
      <c r="V159" s="27">
        <f>IF(AG159="2",H159,0)</f>
        <v>0</v>
      </c>
      <c r="W159" s="27">
        <f>IF(AG159="2",I159,0)</f>
        <v>0</v>
      </c>
      <c r="X159" s="27">
        <f>IF(AG159="0",J159,0)</f>
        <v>0</v>
      </c>
      <c r="Y159" s="17"/>
      <c r="Z159" s="25">
        <f>IF(AD159=0,J159,0)</f>
        <v>0</v>
      </c>
      <c r="AA159" s="25">
        <f>IF(AD159=15,J159,0)</f>
        <v>0</v>
      </c>
      <c r="AB159" s="25">
        <f>IF(AD159=21,J159,0)</f>
        <v>0</v>
      </c>
      <c r="AD159" s="27">
        <v>15</v>
      </c>
      <c r="AE159" s="27">
        <f>G159*0.495267489711934</f>
        <v>0</v>
      </c>
      <c r="AF159" s="27">
        <f>G159*(1-0.495267489711934)</f>
        <v>0</v>
      </c>
      <c r="AG159" s="26" t="s">
        <v>28</v>
      </c>
      <c r="AM159" s="27">
        <f>F159*AE159</f>
        <v>0</v>
      </c>
      <c r="AN159" s="27">
        <f>F159*AF159</f>
        <v>0</v>
      </c>
      <c r="AO159" s="28" t="s">
        <v>321</v>
      </c>
      <c r="AP159" s="28" t="s">
        <v>299</v>
      </c>
      <c r="AQ159" s="17" t="s">
        <v>35</v>
      </c>
      <c r="AS159" s="27">
        <f>AM159+AN159</f>
        <v>0</v>
      </c>
      <c r="AT159" s="27">
        <f>G159/(100-AU159)*100</f>
        <v>0</v>
      </c>
      <c r="AU159" s="27">
        <v>0</v>
      </c>
      <c r="AV159" s="27">
        <f>L159</f>
        <v>0.0022400000000000002</v>
      </c>
    </row>
    <row r="160" spans="1:6" ht="12.75">
      <c r="A160" s="43"/>
      <c r="B160" s="43"/>
      <c r="C160" s="43"/>
      <c r="D160" s="31" t="s">
        <v>369</v>
      </c>
      <c r="E160" s="43"/>
      <c r="F160" s="43"/>
    </row>
    <row r="161" spans="1:48" ht="12.75">
      <c r="A161" s="23" t="s">
        <v>373</v>
      </c>
      <c r="B161" s="23"/>
      <c r="C161" s="23" t="s">
        <v>374</v>
      </c>
      <c r="D161" s="23" t="s">
        <v>375</v>
      </c>
      <c r="E161" s="23" t="s">
        <v>75</v>
      </c>
      <c r="F161" s="24">
        <v>4.435</v>
      </c>
      <c r="G161" s="47">
        <v>0</v>
      </c>
      <c r="H161" s="25">
        <f>F161*AE161</f>
        <v>0</v>
      </c>
      <c r="I161" s="25">
        <f>J161-H161</f>
        <v>0</v>
      </c>
      <c r="J161" s="25">
        <f>F161*G161</f>
        <v>0</v>
      </c>
      <c r="K161" s="25">
        <v>0.00073</v>
      </c>
      <c r="L161" s="25">
        <f>F161*K161</f>
        <v>0.0032375499999999996</v>
      </c>
      <c r="M161" s="26" t="s">
        <v>32</v>
      </c>
      <c r="P161" s="27">
        <f>IF(AG161="5",J161,0)</f>
        <v>0</v>
      </c>
      <c r="R161" s="27">
        <f>IF(AG161="1",H161,0)</f>
        <v>0</v>
      </c>
      <c r="S161" s="27">
        <f>IF(AG161="1",I161,0)</f>
        <v>0</v>
      </c>
      <c r="T161" s="27">
        <f>IF(AG161="7",H161,0)</f>
        <v>0</v>
      </c>
      <c r="U161" s="27">
        <f>IF(AG161="7",I161,0)</f>
        <v>0</v>
      </c>
      <c r="V161" s="27">
        <f>IF(AG161="2",H161,0)</f>
        <v>0</v>
      </c>
      <c r="W161" s="27">
        <f>IF(AG161="2",I161,0)</f>
        <v>0</v>
      </c>
      <c r="X161" s="27">
        <f>IF(AG161="0",J161,0)</f>
        <v>0</v>
      </c>
      <c r="Y161" s="17"/>
      <c r="Z161" s="25">
        <f>IF(AD161=0,J161,0)</f>
        <v>0</v>
      </c>
      <c r="AA161" s="25">
        <f>IF(AD161=15,J161,0)</f>
        <v>0</v>
      </c>
      <c r="AB161" s="25">
        <f>IF(AD161=21,J161,0)</f>
        <v>0</v>
      </c>
      <c r="AD161" s="27">
        <v>15</v>
      </c>
      <c r="AE161" s="27">
        <f>G161*0.439074918286599</f>
        <v>0</v>
      </c>
      <c r="AF161" s="27">
        <f>G161*(1-0.439074918286599)</f>
        <v>0</v>
      </c>
      <c r="AG161" s="26" t="s">
        <v>28</v>
      </c>
      <c r="AM161" s="27">
        <f>F161*AE161</f>
        <v>0</v>
      </c>
      <c r="AN161" s="27">
        <f>F161*AF161</f>
        <v>0</v>
      </c>
      <c r="AO161" s="28" t="s">
        <v>321</v>
      </c>
      <c r="AP161" s="28" t="s">
        <v>299</v>
      </c>
      <c r="AQ161" s="17" t="s">
        <v>35</v>
      </c>
      <c r="AS161" s="27">
        <f>AM161+AN161</f>
        <v>0</v>
      </c>
      <c r="AT161" s="27">
        <f>G161/(100-AU161)*100</f>
        <v>0</v>
      </c>
      <c r="AU161" s="27">
        <v>0</v>
      </c>
      <c r="AV161" s="27">
        <f>L161</f>
        <v>0.0032375499999999996</v>
      </c>
    </row>
    <row r="162" spans="1:6" ht="12.75">
      <c r="A162" s="43"/>
      <c r="B162" s="43"/>
      <c r="C162" s="43"/>
      <c r="D162" s="31" t="s">
        <v>376</v>
      </c>
      <c r="E162" s="43"/>
      <c r="F162" s="43"/>
    </row>
    <row r="163" spans="1:37" ht="12.75">
      <c r="A163" s="29"/>
      <c r="B163" s="30"/>
      <c r="C163" s="30" t="s">
        <v>243</v>
      </c>
      <c r="D163" s="30" t="s">
        <v>377</v>
      </c>
      <c r="E163" s="29" t="s">
        <v>10</v>
      </c>
      <c r="F163" s="29" t="s">
        <v>10</v>
      </c>
      <c r="G163" s="48" t="s">
        <v>10</v>
      </c>
      <c r="H163" s="22">
        <f>SUM(H164:H173)</f>
        <v>0</v>
      </c>
      <c r="I163" s="22">
        <f>SUM(I164:I173)</f>
        <v>0</v>
      </c>
      <c r="J163" s="22">
        <f>H163+I163</f>
        <v>0</v>
      </c>
      <c r="K163" s="17"/>
      <c r="L163" s="22">
        <f>SUM(L164:L173)</f>
        <v>25.357979999999998</v>
      </c>
      <c r="M163" s="17"/>
      <c r="Y163" s="17"/>
      <c r="AI163" s="22">
        <f>SUM(Z164:Z173)</f>
        <v>0</v>
      </c>
      <c r="AJ163" s="22">
        <f>SUM(AA164:AA173)</f>
        <v>0</v>
      </c>
      <c r="AK163" s="22">
        <f>SUM(AB164:AB173)</f>
        <v>0</v>
      </c>
    </row>
    <row r="164" spans="1:48" ht="12.75">
      <c r="A164" s="23" t="s">
        <v>378</v>
      </c>
      <c r="B164" s="23"/>
      <c r="C164" s="23" t="s">
        <v>379</v>
      </c>
      <c r="D164" s="23" t="s">
        <v>380</v>
      </c>
      <c r="E164" s="23" t="s">
        <v>75</v>
      </c>
      <c r="F164" s="24">
        <v>79.1</v>
      </c>
      <c r="G164" s="47">
        <v>0</v>
      </c>
      <c r="H164" s="25">
        <f>F164*AE164</f>
        <v>0</v>
      </c>
      <c r="I164" s="25">
        <f>J164-H164</f>
        <v>0</v>
      </c>
      <c r="J164" s="25">
        <f>F164*G164</f>
        <v>0</v>
      </c>
      <c r="K164" s="25">
        <v>0.11025</v>
      </c>
      <c r="L164" s="25">
        <f>F164*K164</f>
        <v>8.720775</v>
      </c>
      <c r="M164" s="26" t="s">
        <v>32</v>
      </c>
      <c r="P164" s="27">
        <f>IF(AG164="5",J164,0)</f>
        <v>0</v>
      </c>
      <c r="R164" s="27">
        <f>IF(AG164="1",H164,0)</f>
        <v>0</v>
      </c>
      <c r="S164" s="27">
        <f>IF(AG164="1",I164,0)</f>
        <v>0</v>
      </c>
      <c r="T164" s="27">
        <f>IF(AG164="7",H164,0)</f>
        <v>0</v>
      </c>
      <c r="U164" s="27">
        <f>IF(AG164="7",I164,0)</f>
        <v>0</v>
      </c>
      <c r="V164" s="27">
        <f>IF(AG164="2",H164,0)</f>
        <v>0</v>
      </c>
      <c r="W164" s="27">
        <f>IF(AG164="2",I164,0)</f>
        <v>0</v>
      </c>
      <c r="X164" s="27">
        <f>IF(AG164="0",J164,0)</f>
        <v>0</v>
      </c>
      <c r="Y164" s="17"/>
      <c r="Z164" s="25">
        <f>IF(AD164=0,J164,0)</f>
        <v>0</v>
      </c>
      <c r="AA164" s="25">
        <f>IF(AD164=15,J164,0)</f>
        <v>0</v>
      </c>
      <c r="AB164" s="25">
        <f>IF(AD164=21,J164,0)</f>
        <v>0</v>
      </c>
      <c r="AD164" s="27">
        <v>15</v>
      </c>
      <c r="AE164" s="27">
        <f>G164*0.681419912080904</f>
        <v>0</v>
      </c>
      <c r="AF164" s="27">
        <f>G164*(1-0.681419912080904)</f>
        <v>0</v>
      </c>
      <c r="AG164" s="26" t="s">
        <v>28</v>
      </c>
      <c r="AM164" s="27">
        <f>F164*AE164</f>
        <v>0</v>
      </c>
      <c r="AN164" s="27">
        <f>F164*AF164</f>
        <v>0</v>
      </c>
      <c r="AO164" s="28" t="s">
        <v>381</v>
      </c>
      <c r="AP164" s="28" t="s">
        <v>299</v>
      </c>
      <c r="AQ164" s="17" t="s">
        <v>35</v>
      </c>
      <c r="AS164" s="27">
        <f>AM164+AN164</f>
        <v>0</v>
      </c>
      <c r="AT164" s="27">
        <f>G164/(100-AU164)*100</f>
        <v>0</v>
      </c>
      <c r="AU164" s="27">
        <v>0</v>
      </c>
      <c r="AV164" s="27">
        <f>L164</f>
        <v>8.720775</v>
      </c>
    </row>
    <row r="165" spans="1:6" ht="12.75">
      <c r="A165" s="43"/>
      <c r="B165" s="43"/>
      <c r="C165" s="43"/>
      <c r="D165" s="31" t="s">
        <v>382</v>
      </c>
      <c r="E165" s="43"/>
      <c r="F165" s="43"/>
    </row>
    <row r="166" spans="1:48" ht="12.75">
      <c r="A166" s="23" t="s">
        <v>383</v>
      </c>
      <c r="B166" s="23"/>
      <c r="C166" s="23" t="s">
        <v>384</v>
      </c>
      <c r="D166" s="23" t="s">
        <v>385</v>
      </c>
      <c r="E166" s="23" t="s">
        <v>75</v>
      </c>
      <c r="F166" s="24">
        <v>31</v>
      </c>
      <c r="G166" s="47">
        <v>0</v>
      </c>
      <c r="H166" s="25">
        <f>F166*AE166</f>
        <v>0</v>
      </c>
      <c r="I166" s="25">
        <f>J166-H166</f>
        <v>0</v>
      </c>
      <c r="J166" s="25">
        <f>F166*G166</f>
        <v>0</v>
      </c>
      <c r="K166" s="25">
        <v>0.202</v>
      </c>
      <c r="L166" s="25">
        <f>F166*K166</f>
        <v>6.2620000000000005</v>
      </c>
      <c r="M166" s="26" t="s">
        <v>32</v>
      </c>
      <c r="P166" s="27">
        <f>IF(AG166="5",J166,0)</f>
        <v>0</v>
      </c>
      <c r="R166" s="27">
        <f>IF(AG166="1",H166,0)</f>
        <v>0</v>
      </c>
      <c r="S166" s="27">
        <f>IF(AG166="1",I166,0)</f>
        <v>0</v>
      </c>
      <c r="T166" s="27">
        <f>IF(AG166="7",H166,0)</f>
        <v>0</v>
      </c>
      <c r="U166" s="27">
        <f>IF(AG166="7",I166,0)</f>
        <v>0</v>
      </c>
      <c r="V166" s="27">
        <f>IF(AG166="2",H166,0)</f>
        <v>0</v>
      </c>
      <c r="W166" s="27">
        <f>IF(AG166="2",I166,0)</f>
        <v>0</v>
      </c>
      <c r="X166" s="27">
        <f>IF(AG166="0",J166,0)</f>
        <v>0</v>
      </c>
      <c r="Y166" s="17"/>
      <c r="Z166" s="25">
        <f>IF(AD166=0,J166,0)</f>
        <v>0</v>
      </c>
      <c r="AA166" s="25">
        <f>IF(AD166=15,J166,0)</f>
        <v>0</v>
      </c>
      <c r="AB166" s="25">
        <f>IF(AD166=21,J166,0)</f>
        <v>0</v>
      </c>
      <c r="AD166" s="27">
        <v>15</v>
      </c>
      <c r="AE166" s="27">
        <f>G166*0.536167471819646</f>
        <v>0</v>
      </c>
      <c r="AF166" s="27">
        <f>G166*(1-0.536167471819646)</f>
        <v>0</v>
      </c>
      <c r="AG166" s="26" t="s">
        <v>28</v>
      </c>
      <c r="AM166" s="27">
        <f>F166*AE166</f>
        <v>0</v>
      </c>
      <c r="AN166" s="27">
        <f>F166*AF166</f>
        <v>0</v>
      </c>
      <c r="AO166" s="28" t="s">
        <v>381</v>
      </c>
      <c r="AP166" s="28" t="s">
        <v>299</v>
      </c>
      <c r="AQ166" s="17" t="s">
        <v>35</v>
      </c>
      <c r="AS166" s="27">
        <f>AM166+AN166</f>
        <v>0</v>
      </c>
      <c r="AT166" s="27">
        <f>G166/(100-AU166)*100</f>
        <v>0</v>
      </c>
      <c r="AU166" s="27">
        <v>0</v>
      </c>
      <c r="AV166" s="27">
        <f>L166</f>
        <v>6.2620000000000005</v>
      </c>
    </row>
    <row r="167" spans="1:6" ht="12.75">
      <c r="A167" s="43"/>
      <c r="B167" s="43"/>
      <c r="C167" s="43"/>
      <c r="D167" s="31" t="s">
        <v>386</v>
      </c>
      <c r="E167" s="43"/>
      <c r="F167" s="43"/>
    </row>
    <row r="168" spans="1:48" ht="12.75">
      <c r="A168" s="23" t="s">
        <v>387</v>
      </c>
      <c r="B168" s="23"/>
      <c r="C168" s="23" t="s">
        <v>388</v>
      </c>
      <c r="D168" s="23" t="s">
        <v>389</v>
      </c>
      <c r="E168" s="23" t="s">
        <v>31</v>
      </c>
      <c r="F168" s="24">
        <v>2.48</v>
      </c>
      <c r="G168" s="47">
        <v>0</v>
      </c>
      <c r="H168" s="25">
        <f>F168*AE168</f>
        <v>0</v>
      </c>
      <c r="I168" s="25">
        <f>J168-H168</f>
        <v>0</v>
      </c>
      <c r="J168" s="25">
        <f>F168*G168</f>
        <v>0</v>
      </c>
      <c r="K168" s="25">
        <v>0</v>
      </c>
      <c r="L168" s="25">
        <f>F168*K168</f>
        <v>0</v>
      </c>
      <c r="M168" s="26" t="s">
        <v>32</v>
      </c>
      <c r="P168" s="27">
        <f>IF(AG168="5",J168,0)</f>
        <v>0</v>
      </c>
      <c r="R168" s="27">
        <f>IF(AG168="1",H168,0)</f>
        <v>0</v>
      </c>
      <c r="S168" s="27">
        <f>IF(AG168="1",I168,0)</f>
        <v>0</v>
      </c>
      <c r="T168" s="27">
        <f>IF(AG168="7",H168,0)</f>
        <v>0</v>
      </c>
      <c r="U168" s="27">
        <f>IF(AG168="7",I168,0)</f>
        <v>0</v>
      </c>
      <c r="V168" s="27">
        <f>IF(AG168="2",H168,0)</f>
        <v>0</v>
      </c>
      <c r="W168" s="27">
        <f>IF(AG168="2",I168,0)</f>
        <v>0</v>
      </c>
      <c r="X168" s="27">
        <f>IF(AG168="0",J168,0)</f>
        <v>0</v>
      </c>
      <c r="Y168" s="17"/>
      <c r="Z168" s="25">
        <f>IF(AD168=0,J168,0)</f>
        <v>0</v>
      </c>
      <c r="AA168" s="25">
        <f>IF(AD168=15,J168,0)</f>
        <v>0</v>
      </c>
      <c r="AB168" s="25">
        <f>IF(AD168=21,J168,0)</f>
        <v>0</v>
      </c>
      <c r="AD168" s="27">
        <v>15</v>
      </c>
      <c r="AE168" s="27">
        <f>G168*0</f>
        <v>0</v>
      </c>
      <c r="AF168" s="27">
        <f>G168*(1-0)</f>
        <v>0</v>
      </c>
      <c r="AG168" s="26" t="s">
        <v>28</v>
      </c>
      <c r="AM168" s="27">
        <f>F168*AE168</f>
        <v>0</v>
      </c>
      <c r="AN168" s="27">
        <f>F168*AF168</f>
        <v>0</v>
      </c>
      <c r="AO168" s="28" t="s">
        <v>381</v>
      </c>
      <c r="AP168" s="28" t="s">
        <v>299</v>
      </c>
      <c r="AQ168" s="17" t="s">
        <v>35</v>
      </c>
      <c r="AS168" s="27">
        <f>AM168+AN168</f>
        <v>0</v>
      </c>
      <c r="AT168" s="27">
        <f>G168/(100-AU168)*100</f>
        <v>0</v>
      </c>
      <c r="AU168" s="27">
        <v>0</v>
      </c>
      <c r="AV168" s="27">
        <f>L168</f>
        <v>0</v>
      </c>
    </row>
    <row r="169" spans="1:48" ht="12.75">
      <c r="A169" s="23" t="s">
        <v>390</v>
      </c>
      <c r="B169" s="23"/>
      <c r="C169" s="23" t="s">
        <v>391</v>
      </c>
      <c r="D169" s="23" t="s">
        <v>392</v>
      </c>
      <c r="E169" s="23" t="s">
        <v>109</v>
      </c>
      <c r="F169" s="24">
        <v>0.108</v>
      </c>
      <c r="G169" s="47">
        <v>0</v>
      </c>
      <c r="H169" s="25">
        <f>F169*AE169</f>
        <v>0</v>
      </c>
      <c r="I169" s="25">
        <f>J169-H169</f>
        <v>0</v>
      </c>
      <c r="J169" s="25">
        <f>F169*G169</f>
        <v>0</v>
      </c>
      <c r="K169" s="25">
        <v>1.06625</v>
      </c>
      <c r="L169" s="25">
        <f>F169*K169</f>
        <v>0.115155</v>
      </c>
      <c r="M169" s="26" t="s">
        <v>32</v>
      </c>
      <c r="P169" s="27">
        <f>IF(AG169="5",J169,0)</f>
        <v>0</v>
      </c>
      <c r="R169" s="27">
        <f>IF(AG169="1",H169,0)</f>
        <v>0</v>
      </c>
      <c r="S169" s="27">
        <f>IF(AG169="1",I169,0)</f>
        <v>0</v>
      </c>
      <c r="T169" s="27">
        <f>IF(AG169="7",H169,0)</f>
        <v>0</v>
      </c>
      <c r="U169" s="27">
        <f>IF(AG169="7",I169,0)</f>
        <v>0</v>
      </c>
      <c r="V169" s="27">
        <f>IF(AG169="2",H169,0)</f>
        <v>0</v>
      </c>
      <c r="W169" s="27">
        <f>IF(AG169="2",I169,0)</f>
        <v>0</v>
      </c>
      <c r="X169" s="27">
        <f>IF(AG169="0",J169,0)</f>
        <v>0</v>
      </c>
      <c r="Y169" s="17"/>
      <c r="Z169" s="25">
        <f>IF(AD169=0,J169,0)</f>
        <v>0</v>
      </c>
      <c r="AA169" s="25">
        <f>IF(AD169=15,J169,0)</f>
        <v>0</v>
      </c>
      <c r="AB169" s="25">
        <f>IF(AD169=21,J169,0)</f>
        <v>0</v>
      </c>
      <c r="AD169" s="27">
        <v>15</v>
      </c>
      <c r="AE169" s="27">
        <f>G169*0.813754385964912</f>
        <v>0</v>
      </c>
      <c r="AF169" s="27">
        <f>G169*(1-0.813754385964912)</f>
        <v>0</v>
      </c>
      <c r="AG169" s="26" t="s">
        <v>28</v>
      </c>
      <c r="AM169" s="27">
        <f>F169*AE169</f>
        <v>0</v>
      </c>
      <c r="AN169" s="27">
        <f>F169*AF169</f>
        <v>0</v>
      </c>
      <c r="AO169" s="28" t="s">
        <v>381</v>
      </c>
      <c r="AP169" s="28" t="s">
        <v>299</v>
      </c>
      <c r="AQ169" s="17" t="s">
        <v>35</v>
      </c>
      <c r="AS169" s="27">
        <f>AM169+AN169</f>
        <v>0</v>
      </c>
      <c r="AT169" s="27">
        <f>G169/(100-AU169)*100</f>
        <v>0</v>
      </c>
      <c r="AU169" s="27">
        <v>0</v>
      </c>
      <c r="AV169" s="27">
        <f>L169</f>
        <v>0.115155</v>
      </c>
    </row>
    <row r="170" spans="1:6" ht="12.75">
      <c r="A170" s="43"/>
      <c r="B170" s="43"/>
      <c r="C170" s="43"/>
      <c r="D170" s="31" t="s">
        <v>393</v>
      </c>
      <c r="E170" s="43"/>
      <c r="F170" s="43"/>
    </row>
    <row r="171" spans="1:48" ht="12.75">
      <c r="A171" s="23" t="s">
        <v>394</v>
      </c>
      <c r="B171" s="23"/>
      <c r="C171" s="23" t="s">
        <v>395</v>
      </c>
      <c r="D171" s="23" t="s">
        <v>396</v>
      </c>
      <c r="E171" s="23" t="s">
        <v>75</v>
      </c>
      <c r="F171" s="24">
        <v>33.01</v>
      </c>
      <c r="G171" s="47">
        <v>0</v>
      </c>
      <c r="H171" s="25">
        <f>F171*AE171</f>
        <v>0</v>
      </c>
      <c r="I171" s="25">
        <f>J171-H171</f>
        <v>0</v>
      </c>
      <c r="J171" s="25">
        <f>F171*G171</f>
        <v>0</v>
      </c>
      <c r="K171" s="25">
        <v>0.0202</v>
      </c>
      <c r="L171" s="25">
        <f>F171*K171</f>
        <v>0.6668019999999999</v>
      </c>
      <c r="M171" s="26" t="s">
        <v>32</v>
      </c>
      <c r="P171" s="27">
        <f>IF(AG171="5",J171,0)</f>
        <v>0</v>
      </c>
      <c r="R171" s="27">
        <f>IF(AG171="1",H171,0)</f>
        <v>0</v>
      </c>
      <c r="S171" s="27">
        <f>IF(AG171="1",I171,0)</f>
        <v>0</v>
      </c>
      <c r="T171" s="27">
        <f>IF(AG171="7",H171,0)</f>
        <v>0</v>
      </c>
      <c r="U171" s="27">
        <f>IF(AG171="7",I171,0)</f>
        <v>0</v>
      </c>
      <c r="V171" s="27">
        <f>IF(AG171="2",H171,0)</f>
        <v>0</v>
      </c>
      <c r="W171" s="27">
        <f>IF(AG171="2",I171,0)</f>
        <v>0</v>
      </c>
      <c r="X171" s="27">
        <f>IF(AG171="0",J171,0)</f>
        <v>0</v>
      </c>
      <c r="Y171" s="17"/>
      <c r="Z171" s="25">
        <f>IF(AD171=0,J171,0)</f>
        <v>0</v>
      </c>
      <c r="AA171" s="25">
        <f>IF(AD171=15,J171,0)</f>
        <v>0</v>
      </c>
      <c r="AB171" s="25">
        <f>IF(AD171=21,J171,0)</f>
        <v>0</v>
      </c>
      <c r="AD171" s="27">
        <v>15</v>
      </c>
      <c r="AE171" s="27">
        <f>G171*0.469291870256687</f>
        <v>0</v>
      </c>
      <c r="AF171" s="27">
        <f>G171*(1-0.469291870256687)</f>
        <v>0</v>
      </c>
      <c r="AG171" s="26" t="s">
        <v>28</v>
      </c>
      <c r="AM171" s="27">
        <f>F171*AE171</f>
        <v>0</v>
      </c>
      <c r="AN171" s="27">
        <f>F171*AF171</f>
        <v>0</v>
      </c>
      <c r="AO171" s="28" t="s">
        <v>381</v>
      </c>
      <c r="AP171" s="28" t="s">
        <v>299</v>
      </c>
      <c r="AQ171" s="17" t="s">
        <v>35</v>
      </c>
      <c r="AS171" s="27">
        <f>AM171+AN171</f>
        <v>0</v>
      </c>
      <c r="AT171" s="27">
        <f>G171/(100-AU171)*100</f>
        <v>0</v>
      </c>
      <c r="AU171" s="27">
        <v>0</v>
      </c>
      <c r="AV171" s="27">
        <f>L171</f>
        <v>0.6668019999999999</v>
      </c>
    </row>
    <row r="172" spans="1:6" ht="12.75">
      <c r="A172" s="43"/>
      <c r="B172" s="43"/>
      <c r="C172" s="43"/>
      <c r="D172" s="31" t="s">
        <v>397</v>
      </c>
      <c r="E172" s="43"/>
      <c r="F172" s="43"/>
    </row>
    <row r="173" spans="1:48" ht="12.75">
      <c r="A173" s="23" t="s">
        <v>398</v>
      </c>
      <c r="B173" s="23"/>
      <c r="C173" s="23" t="s">
        <v>399</v>
      </c>
      <c r="D173" s="23" t="s">
        <v>400</v>
      </c>
      <c r="E173" s="23" t="s">
        <v>75</v>
      </c>
      <c r="F173" s="24">
        <v>79.1</v>
      </c>
      <c r="G173" s="47">
        <v>0</v>
      </c>
      <c r="H173" s="25">
        <f>F173*AE173</f>
        <v>0</v>
      </c>
      <c r="I173" s="25">
        <f>J173-H173</f>
        <v>0</v>
      </c>
      <c r="J173" s="25">
        <f>F173*G173</f>
        <v>0</v>
      </c>
      <c r="K173" s="25">
        <v>0.12128</v>
      </c>
      <c r="L173" s="25">
        <f>F173*K173</f>
        <v>9.593247999999999</v>
      </c>
      <c r="M173" s="26" t="s">
        <v>32</v>
      </c>
      <c r="P173" s="27">
        <f>IF(AG173="5",J173,0)</f>
        <v>0</v>
      </c>
      <c r="R173" s="27">
        <f>IF(AG173="1",H173,0)</f>
        <v>0</v>
      </c>
      <c r="S173" s="27">
        <f>IF(AG173="1",I173,0)</f>
        <v>0</v>
      </c>
      <c r="T173" s="27">
        <f>IF(AG173="7",H173,0)</f>
        <v>0</v>
      </c>
      <c r="U173" s="27">
        <f>IF(AG173="7",I173,0)</f>
        <v>0</v>
      </c>
      <c r="V173" s="27">
        <f>IF(AG173="2",H173,0)</f>
        <v>0</v>
      </c>
      <c r="W173" s="27">
        <f>IF(AG173="2",I173,0)</f>
        <v>0</v>
      </c>
      <c r="X173" s="27">
        <f>IF(AG173="0",J173,0)</f>
        <v>0</v>
      </c>
      <c r="Y173" s="17"/>
      <c r="Z173" s="25">
        <f>IF(AD173=0,J173,0)</f>
        <v>0</v>
      </c>
      <c r="AA173" s="25">
        <f>IF(AD173=15,J173,0)</f>
        <v>0</v>
      </c>
      <c r="AB173" s="25">
        <f>IF(AD173=21,J173,0)</f>
        <v>0</v>
      </c>
      <c r="AD173" s="27">
        <v>15</v>
      </c>
      <c r="AE173" s="27">
        <f>G173*0.697705701643315</f>
        <v>0</v>
      </c>
      <c r="AF173" s="27">
        <f>G173*(1-0.697705701643315)</f>
        <v>0</v>
      </c>
      <c r="AG173" s="26" t="s">
        <v>28</v>
      </c>
      <c r="AM173" s="27">
        <f>F173*AE173</f>
        <v>0</v>
      </c>
      <c r="AN173" s="27">
        <f>F173*AF173</f>
        <v>0</v>
      </c>
      <c r="AO173" s="28" t="s">
        <v>381</v>
      </c>
      <c r="AP173" s="28" t="s">
        <v>299</v>
      </c>
      <c r="AQ173" s="17" t="s">
        <v>35</v>
      </c>
      <c r="AS173" s="27">
        <f>AM173+AN173</f>
        <v>0</v>
      </c>
      <c r="AT173" s="27">
        <f>G173/(100-AU173)*100</f>
        <v>0</v>
      </c>
      <c r="AU173" s="27">
        <v>0</v>
      </c>
      <c r="AV173" s="27">
        <f>L173</f>
        <v>9.593247999999999</v>
      </c>
    </row>
    <row r="174" spans="1:6" ht="12.75">
      <c r="A174" s="43"/>
      <c r="B174" s="43"/>
      <c r="C174" s="43"/>
      <c r="D174" s="31" t="s">
        <v>401</v>
      </c>
      <c r="E174" s="43"/>
      <c r="F174" s="43"/>
    </row>
    <row r="175" spans="1:37" ht="12.75">
      <c r="A175" s="29"/>
      <c r="B175" s="30"/>
      <c r="C175" s="30" t="s">
        <v>247</v>
      </c>
      <c r="D175" s="30" t="s">
        <v>402</v>
      </c>
      <c r="E175" s="29" t="s">
        <v>10</v>
      </c>
      <c r="F175" s="29" t="s">
        <v>10</v>
      </c>
      <c r="G175" s="48" t="s">
        <v>10</v>
      </c>
      <c r="H175" s="22">
        <f>SUM(H176:H190)</f>
        <v>0</v>
      </c>
      <c r="I175" s="22">
        <f>SUM(I176:I190)</f>
        <v>0</v>
      </c>
      <c r="J175" s="22">
        <f>H175+I175</f>
        <v>0</v>
      </c>
      <c r="K175" s="17"/>
      <c r="L175" s="22">
        <f>SUM(L176:L190)</f>
        <v>0.5136815</v>
      </c>
      <c r="M175" s="17"/>
      <c r="Y175" s="17"/>
      <c r="AI175" s="22">
        <f>SUM(Z176:Z190)</f>
        <v>0</v>
      </c>
      <c r="AJ175" s="22">
        <f>SUM(AA176:AA190)</f>
        <v>0</v>
      </c>
      <c r="AK175" s="22">
        <f>SUM(AB176:AB190)</f>
        <v>0</v>
      </c>
    </row>
    <row r="176" spans="1:48" ht="12.75">
      <c r="A176" s="23" t="s">
        <v>403</v>
      </c>
      <c r="B176" s="23"/>
      <c r="C176" s="23" t="s">
        <v>404</v>
      </c>
      <c r="D176" s="23" t="s">
        <v>405</v>
      </c>
      <c r="E176" s="23" t="s">
        <v>139</v>
      </c>
      <c r="F176" s="24">
        <v>1</v>
      </c>
      <c r="G176" s="47">
        <v>0</v>
      </c>
      <c r="H176" s="25">
        <f>F176*AE176</f>
        <v>0</v>
      </c>
      <c r="I176" s="25">
        <f>J176-H176</f>
        <v>0</v>
      </c>
      <c r="J176" s="25">
        <f>F176*G176</f>
        <v>0</v>
      </c>
      <c r="K176" s="25">
        <v>0.04275</v>
      </c>
      <c r="L176" s="25">
        <f>F176*K176</f>
        <v>0.04275</v>
      </c>
      <c r="M176" s="26" t="s">
        <v>32</v>
      </c>
      <c r="P176" s="27">
        <f>IF(AG176="5",J176,0)</f>
        <v>0</v>
      </c>
      <c r="R176" s="27">
        <f>IF(AG176="1",H176,0)</f>
        <v>0</v>
      </c>
      <c r="S176" s="27">
        <f>IF(AG176="1",I176,0)</f>
        <v>0</v>
      </c>
      <c r="T176" s="27">
        <f>IF(AG176="7",H176,0)</f>
        <v>0</v>
      </c>
      <c r="U176" s="27">
        <f>IF(AG176="7",I176,0)</f>
        <v>0</v>
      </c>
      <c r="V176" s="27">
        <f>IF(AG176="2",H176,0)</f>
        <v>0</v>
      </c>
      <c r="W176" s="27">
        <f>IF(AG176="2",I176,0)</f>
        <v>0</v>
      </c>
      <c r="X176" s="27">
        <f>IF(AG176="0",J176,0)</f>
        <v>0</v>
      </c>
      <c r="Y176" s="17"/>
      <c r="Z176" s="25">
        <f>IF(AD176=0,J176,0)</f>
        <v>0</v>
      </c>
      <c r="AA176" s="25">
        <f>IF(AD176=15,J176,0)</f>
        <v>0</v>
      </c>
      <c r="AB176" s="25">
        <f>IF(AD176=21,J176,0)</f>
        <v>0</v>
      </c>
      <c r="AD176" s="27">
        <v>15</v>
      </c>
      <c r="AE176" s="27">
        <f>G176*0.924078184110971</f>
        <v>0</v>
      </c>
      <c r="AF176" s="27">
        <f>G176*(1-0.924078184110971)</f>
        <v>0</v>
      </c>
      <c r="AG176" s="26" t="s">
        <v>28</v>
      </c>
      <c r="AM176" s="27">
        <f>F176*AE176</f>
        <v>0</v>
      </c>
      <c r="AN176" s="27">
        <f>F176*AF176</f>
        <v>0</v>
      </c>
      <c r="AO176" s="28" t="s">
        <v>406</v>
      </c>
      <c r="AP176" s="28" t="s">
        <v>299</v>
      </c>
      <c r="AQ176" s="17" t="s">
        <v>35</v>
      </c>
      <c r="AS176" s="27">
        <f>AM176+AN176</f>
        <v>0</v>
      </c>
      <c r="AT176" s="27">
        <f>G176/(100-AU176)*100</f>
        <v>0</v>
      </c>
      <c r="AU176" s="27">
        <v>0</v>
      </c>
      <c r="AV176" s="27">
        <f>L176</f>
        <v>0.04275</v>
      </c>
    </row>
    <row r="177" spans="1:6" ht="12.75">
      <c r="A177" s="43"/>
      <c r="B177" s="43"/>
      <c r="C177" s="43"/>
      <c r="D177" s="31" t="s">
        <v>407</v>
      </c>
      <c r="E177" s="43"/>
      <c r="F177" s="43"/>
    </row>
    <row r="178" spans="1:48" ht="12.75">
      <c r="A178" s="23" t="s">
        <v>408</v>
      </c>
      <c r="B178" s="23"/>
      <c r="C178" s="23" t="s">
        <v>409</v>
      </c>
      <c r="D178" s="23" t="s">
        <v>410</v>
      </c>
      <c r="E178" s="23" t="s">
        <v>139</v>
      </c>
      <c r="F178" s="24">
        <v>1</v>
      </c>
      <c r="G178" s="47">
        <v>0</v>
      </c>
      <c r="H178" s="25">
        <f>F178*AE178</f>
        <v>0</v>
      </c>
      <c r="I178" s="25">
        <f>J178-H178</f>
        <v>0</v>
      </c>
      <c r="J178" s="25">
        <f>F178*G178</f>
        <v>0</v>
      </c>
      <c r="K178" s="25">
        <v>0.06733</v>
      </c>
      <c r="L178" s="25">
        <f>F178*K178</f>
        <v>0.06733</v>
      </c>
      <c r="M178" s="26" t="s">
        <v>32</v>
      </c>
      <c r="P178" s="27">
        <f>IF(AG178="5",J178,0)</f>
        <v>0</v>
      </c>
      <c r="R178" s="27">
        <f>IF(AG178="1",H178,0)</f>
        <v>0</v>
      </c>
      <c r="S178" s="27">
        <f>IF(AG178="1",I178,0)</f>
        <v>0</v>
      </c>
      <c r="T178" s="27">
        <f>IF(AG178="7",H178,0)</f>
        <v>0</v>
      </c>
      <c r="U178" s="27">
        <f>IF(AG178="7",I178,0)</f>
        <v>0</v>
      </c>
      <c r="V178" s="27">
        <f>IF(AG178="2",H178,0)</f>
        <v>0</v>
      </c>
      <c r="W178" s="27">
        <f>IF(AG178="2",I178,0)</f>
        <v>0</v>
      </c>
      <c r="X178" s="27">
        <f>IF(AG178="0",J178,0)</f>
        <v>0</v>
      </c>
      <c r="Y178" s="17"/>
      <c r="Z178" s="25">
        <f>IF(AD178=0,J178,0)</f>
        <v>0</v>
      </c>
      <c r="AA178" s="25">
        <f>IF(AD178=15,J178,0)</f>
        <v>0</v>
      </c>
      <c r="AB178" s="25">
        <f>IF(AD178=21,J178,0)</f>
        <v>0</v>
      </c>
      <c r="AD178" s="27">
        <v>15</v>
      </c>
      <c r="AE178" s="27">
        <f>G178*0.959969414893617</f>
        <v>0</v>
      </c>
      <c r="AF178" s="27">
        <f>G178*(1-0.959969414893617)</f>
        <v>0</v>
      </c>
      <c r="AG178" s="26" t="s">
        <v>28</v>
      </c>
      <c r="AM178" s="27">
        <f>F178*AE178</f>
        <v>0</v>
      </c>
      <c r="AN178" s="27">
        <f>F178*AF178</f>
        <v>0</v>
      </c>
      <c r="AO178" s="28" t="s">
        <v>406</v>
      </c>
      <c r="AP178" s="28" t="s">
        <v>299</v>
      </c>
      <c r="AQ178" s="17" t="s">
        <v>35</v>
      </c>
      <c r="AS178" s="27">
        <f>AM178+AN178</f>
        <v>0</v>
      </c>
      <c r="AT178" s="27">
        <f>G178/(100-AU178)*100</f>
        <v>0</v>
      </c>
      <c r="AU178" s="27">
        <v>0</v>
      </c>
      <c r="AV178" s="27">
        <f>L178</f>
        <v>0.06733</v>
      </c>
    </row>
    <row r="179" spans="1:6" ht="12.75">
      <c r="A179" s="43"/>
      <c r="B179" s="43"/>
      <c r="C179" s="43"/>
      <c r="D179" s="31" t="s">
        <v>411</v>
      </c>
      <c r="E179" s="43"/>
      <c r="F179" s="43"/>
    </row>
    <row r="180" spans="1:48" ht="12.75">
      <c r="A180" s="23" t="s">
        <v>412</v>
      </c>
      <c r="B180" s="23"/>
      <c r="C180" s="23" t="s">
        <v>413</v>
      </c>
      <c r="D180" s="23" t="s">
        <v>414</v>
      </c>
      <c r="E180" s="23" t="s">
        <v>139</v>
      </c>
      <c r="F180" s="24">
        <v>2</v>
      </c>
      <c r="G180" s="47">
        <v>0</v>
      </c>
      <c r="H180" s="25">
        <f>F180*AE180</f>
        <v>0</v>
      </c>
      <c r="I180" s="25">
        <f>J180-H180</f>
        <v>0</v>
      </c>
      <c r="J180" s="25">
        <f>F180*G180</f>
        <v>0</v>
      </c>
      <c r="K180" s="25">
        <v>0.02</v>
      </c>
      <c r="L180" s="25">
        <f>F180*K180</f>
        <v>0.04</v>
      </c>
      <c r="M180" s="26" t="s">
        <v>32</v>
      </c>
      <c r="P180" s="27">
        <f>IF(AG180="5",J180,0)</f>
        <v>0</v>
      </c>
      <c r="R180" s="27">
        <f>IF(AG180="1",H180,0)</f>
        <v>0</v>
      </c>
      <c r="S180" s="27">
        <f>IF(AG180="1",I180,0)</f>
        <v>0</v>
      </c>
      <c r="T180" s="27">
        <f>IF(AG180="7",H180,0)</f>
        <v>0</v>
      </c>
      <c r="U180" s="27">
        <f>IF(AG180="7",I180,0)</f>
        <v>0</v>
      </c>
      <c r="V180" s="27">
        <f>IF(AG180="2",H180,0)</f>
        <v>0</v>
      </c>
      <c r="W180" s="27">
        <f>IF(AG180="2",I180,0)</f>
        <v>0</v>
      </c>
      <c r="X180" s="27">
        <f>IF(AG180="0",J180,0)</f>
        <v>0</v>
      </c>
      <c r="Y180" s="17"/>
      <c r="Z180" s="25">
        <f>IF(AD180=0,J180,0)</f>
        <v>0</v>
      </c>
      <c r="AA180" s="25">
        <f>IF(AD180=15,J180,0)</f>
        <v>0</v>
      </c>
      <c r="AB180" s="25">
        <f>IF(AD180=21,J180,0)</f>
        <v>0</v>
      </c>
      <c r="AD180" s="27">
        <v>15</v>
      </c>
      <c r="AE180" s="27">
        <f>G180*0.825158759770378</f>
        <v>0</v>
      </c>
      <c r="AF180" s="27">
        <f>G180*(1-0.825158759770378)</f>
        <v>0</v>
      </c>
      <c r="AG180" s="26" t="s">
        <v>28</v>
      </c>
      <c r="AM180" s="27">
        <f>F180*AE180</f>
        <v>0</v>
      </c>
      <c r="AN180" s="27">
        <f>F180*AF180</f>
        <v>0</v>
      </c>
      <c r="AO180" s="28" t="s">
        <v>406</v>
      </c>
      <c r="AP180" s="28" t="s">
        <v>299</v>
      </c>
      <c r="AQ180" s="17" t="s">
        <v>35</v>
      </c>
      <c r="AS180" s="27">
        <f>AM180+AN180</f>
        <v>0</v>
      </c>
      <c r="AT180" s="27">
        <f>G180/(100-AU180)*100</f>
        <v>0</v>
      </c>
      <c r="AU180" s="27">
        <v>0</v>
      </c>
      <c r="AV180" s="27">
        <f>L180</f>
        <v>0.04</v>
      </c>
    </row>
    <row r="181" spans="1:6" ht="12.75">
      <c r="A181" s="43"/>
      <c r="B181" s="43"/>
      <c r="C181" s="43"/>
      <c r="D181" s="31" t="s">
        <v>415</v>
      </c>
      <c r="E181" s="43"/>
      <c r="F181" s="43"/>
    </row>
    <row r="182" spans="1:48" ht="12.75">
      <c r="A182" s="23" t="s">
        <v>416</v>
      </c>
      <c r="B182" s="23"/>
      <c r="C182" s="23" t="s">
        <v>417</v>
      </c>
      <c r="D182" s="23" t="s">
        <v>414</v>
      </c>
      <c r="E182" s="23" t="s">
        <v>139</v>
      </c>
      <c r="F182" s="24">
        <v>3</v>
      </c>
      <c r="G182" s="47">
        <v>0</v>
      </c>
      <c r="H182" s="25">
        <f>F182*AE182</f>
        <v>0</v>
      </c>
      <c r="I182" s="25">
        <f>J182-H182</f>
        <v>0</v>
      </c>
      <c r="J182" s="25">
        <f>F182*G182</f>
        <v>0</v>
      </c>
      <c r="K182" s="25">
        <v>0.02</v>
      </c>
      <c r="L182" s="25">
        <f>F182*K182</f>
        <v>0.06</v>
      </c>
      <c r="M182" s="26" t="s">
        <v>32</v>
      </c>
      <c r="P182" s="27">
        <f>IF(AG182="5",J182,0)</f>
        <v>0</v>
      </c>
      <c r="R182" s="27">
        <f>IF(AG182="1",H182,0)</f>
        <v>0</v>
      </c>
      <c r="S182" s="27">
        <f>IF(AG182="1",I182,0)</f>
        <v>0</v>
      </c>
      <c r="T182" s="27">
        <f>IF(AG182="7",H182,0)</f>
        <v>0</v>
      </c>
      <c r="U182" s="27">
        <f>IF(AG182="7",I182,0)</f>
        <v>0</v>
      </c>
      <c r="V182" s="27">
        <f>IF(AG182="2",H182,0)</f>
        <v>0</v>
      </c>
      <c r="W182" s="27">
        <f>IF(AG182="2",I182,0)</f>
        <v>0</v>
      </c>
      <c r="X182" s="27">
        <f>IF(AG182="0",J182,0)</f>
        <v>0</v>
      </c>
      <c r="Y182" s="17"/>
      <c r="Z182" s="25">
        <f>IF(AD182=0,J182,0)</f>
        <v>0</v>
      </c>
      <c r="AA182" s="25">
        <f>IF(AD182=15,J182,0)</f>
        <v>0</v>
      </c>
      <c r="AB182" s="25">
        <f>IF(AD182=21,J182,0)</f>
        <v>0</v>
      </c>
      <c r="AD182" s="27">
        <v>15</v>
      </c>
      <c r="AE182" s="27">
        <f>G182*0.825158759770378</f>
        <v>0</v>
      </c>
      <c r="AF182" s="27">
        <f>G182*(1-0.825158759770378)</f>
        <v>0</v>
      </c>
      <c r="AG182" s="26" t="s">
        <v>28</v>
      </c>
      <c r="AM182" s="27">
        <f>F182*AE182</f>
        <v>0</v>
      </c>
      <c r="AN182" s="27">
        <f>F182*AF182</f>
        <v>0</v>
      </c>
      <c r="AO182" s="28" t="s">
        <v>406</v>
      </c>
      <c r="AP182" s="28" t="s">
        <v>299</v>
      </c>
      <c r="AQ182" s="17" t="s">
        <v>35</v>
      </c>
      <c r="AS182" s="27">
        <f>AM182+AN182</f>
        <v>0</v>
      </c>
      <c r="AT182" s="27">
        <f>G182/(100-AU182)*100</f>
        <v>0</v>
      </c>
      <c r="AU182" s="27">
        <v>0</v>
      </c>
      <c r="AV182" s="27">
        <f>L182</f>
        <v>0.06</v>
      </c>
    </row>
    <row r="183" spans="1:6" ht="12.75">
      <c r="A183" s="43"/>
      <c r="B183" s="43"/>
      <c r="C183" s="43"/>
      <c r="D183" s="31" t="s">
        <v>418</v>
      </c>
      <c r="E183" s="43"/>
      <c r="F183" s="43"/>
    </row>
    <row r="184" spans="1:48" ht="12.75">
      <c r="A184" s="23" t="s">
        <v>419</v>
      </c>
      <c r="B184" s="23"/>
      <c r="C184" s="23" t="s">
        <v>420</v>
      </c>
      <c r="D184" s="23" t="s">
        <v>414</v>
      </c>
      <c r="E184" s="23" t="s">
        <v>139</v>
      </c>
      <c r="F184" s="24">
        <v>5</v>
      </c>
      <c r="G184" s="47">
        <v>0</v>
      </c>
      <c r="H184" s="25">
        <f>F184*AE184</f>
        <v>0</v>
      </c>
      <c r="I184" s="25">
        <f>J184-H184</f>
        <v>0</v>
      </c>
      <c r="J184" s="25">
        <f>F184*G184</f>
        <v>0</v>
      </c>
      <c r="K184" s="25">
        <v>0.02</v>
      </c>
      <c r="L184" s="25">
        <f>F184*K184</f>
        <v>0.1</v>
      </c>
      <c r="M184" s="26" t="s">
        <v>32</v>
      </c>
      <c r="P184" s="27">
        <f>IF(AG184="5",J184,0)</f>
        <v>0</v>
      </c>
      <c r="R184" s="27">
        <f>IF(AG184="1",H184,0)</f>
        <v>0</v>
      </c>
      <c r="S184" s="27">
        <f>IF(AG184="1",I184,0)</f>
        <v>0</v>
      </c>
      <c r="T184" s="27">
        <f>IF(AG184="7",H184,0)</f>
        <v>0</v>
      </c>
      <c r="U184" s="27">
        <f>IF(AG184="7",I184,0)</f>
        <v>0</v>
      </c>
      <c r="V184" s="27">
        <f>IF(AG184="2",H184,0)</f>
        <v>0</v>
      </c>
      <c r="W184" s="27">
        <f>IF(AG184="2",I184,0)</f>
        <v>0</v>
      </c>
      <c r="X184" s="27">
        <f>IF(AG184="0",J184,0)</f>
        <v>0</v>
      </c>
      <c r="Y184" s="17"/>
      <c r="Z184" s="25">
        <f>IF(AD184=0,J184,0)</f>
        <v>0</v>
      </c>
      <c r="AA184" s="25">
        <f>IF(AD184=15,J184,0)</f>
        <v>0</v>
      </c>
      <c r="AB184" s="25">
        <f>IF(AD184=21,J184,0)</f>
        <v>0</v>
      </c>
      <c r="AD184" s="27">
        <v>15</v>
      </c>
      <c r="AE184" s="27">
        <f>G184*0.825158759770378</f>
        <v>0</v>
      </c>
      <c r="AF184" s="27">
        <f>G184*(1-0.825158759770378)</f>
        <v>0</v>
      </c>
      <c r="AG184" s="26" t="s">
        <v>28</v>
      </c>
      <c r="AM184" s="27">
        <f>F184*AE184</f>
        <v>0</v>
      </c>
      <c r="AN184" s="27">
        <f>F184*AF184</f>
        <v>0</v>
      </c>
      <c r="AO184" s="28" t="s">
        <v>406</v>
      </c>
      <c r="AP184" s="28" t="s">
        <v>299</v>
      </c>
      <c r="AQ184" s="17" t="s">
        <v>35</v>
      </c>
      <c r="AS184" s="27">
        <f>AM184+AN184</f>
        <v>0</v>
      </c>
      <c r="AT184" s="27">
        <f>G184/(100-AU184)*100</f>
        <v>0</v>
      </c>
      <c r="AU184" s="27">
        <v>0</v>
      </c>
      <c r="AV184" s="27">
        <f>L184</f>
        <v>0.1</v>
      </c>
    </row>
    <row r="185" spans="1:6" ht="12.75">
      <c r="A185" s="43"/>
      <c r="B185" s="43"/>
      <c r="C185" s="43"/>
      <c r="D185" s="31" t="s">
        <v>421</v>
      </c>
      <c r="E185" s="43"/>
      <c r="F185" s="43"/>
    </row>
    <row r="186" spans="1:48" ht="12.75">
      <c r="A186" s="23" t="s">
        <v>422</v>
      </c>
      <c r="B186" s="23"/>
      <c r="C186" s="23" t="s">
        <v>423</v>
      </c>
      <c r="D186" s="23" t="s">
        <v>424</v>
      </c>
      <c r="E186" s="23" t="s">
        <v>139</v>
      </c>
      <c r="F186" s="24">
        <v>1</v>
      </c>
      <c r="G186" s="47">
        <v>0</v>
      </c>
      <c r="H186" s="25">
        <f>F186*AE186</f>
        <v>0</v>
      </c>
      <c r="I186" s="25">
        <f>J186-H186</f>
        <v>0</v>
      </c>
      <c r="J186" s="25">
        <f>F186*G186</f>
        <v>0</v>
      </c>
      <c r="K186" s="25">
        <v>0.02</v>
      </c>
      <c r="L186" s="25">
        <f>F186*K186</f>
        <v>0.02</v>
      </c>
      <c r="M186" s="26" t="s">
        <v>32</v>
      </c>
      <c r="P186" s="27">
        <f>IF(AG186="5",J186,0)</f>
        <v>0</v>
      </c>
      <c r="R186" s="27">
        <f>IF(AG186="1",H186,0)</f>
        <v>0</v>
      </c>
      <c r="S186" s="27">
        <f>IF(AG186="1",I186,0)</f>
        <v>0</v>
      </c>
      <c r="T186" s="27">
        <f>IF(AG186="7",H186,0)</f>
        <v>0</v>
      </c>
      <c r="U186" s="27">
        <f>IF(AG186="7",I186,0)</f>
        <v>0</v>
      </c>
      <c r="V186" s="27">
        <f>IF(AG186="2",H186,0)</f>
        <v>0</v>
      </c>
      <c r="W186" s="27">
        <f>IF(AG186="2",I186,0)</f>
        <v>0</v>
      </c>
      <c r="X186" s="27">
        <f>IF(AG186="0",J186,0)</f>
        <v>0</v>
      </c>
      <c r="Y186" s="17"/>
      <c r="Z186" s="25">
        <f>IF(AD186=0,J186,0)</f>
        <v>0</v>
      </c>
      <c r="AA186" s="25">
        <f>IF(AD186=15,J186,0)</f>
        <v>0</v>
      </c>
      <c r="AB186" s="25">
        <f>IF(AD186=21,J186,0)</f>
        <v>0</v>
      </c>
      <c r="AD186" s="27">
        <v>15</v>
      </c>
      <c r="AE186" s="27">
        <f>G186*0.844510834531661</f>
        <v>0</v>
      </c>
      <c r="AF186" s="27">
        <f>G186*(1-0.844510834531661)</f>
        <v>0</v>
      </c>
      <c r="AG186" s="26" t="s">
        <v>28</v>
      </c>
      <c r="AM186" s="27">
        <f>F186*AE186</f>
        <v>0</v>
      </c>
      <c r="AN186" s="27">
        <f>F186*AF186</f>
        <v>0</v>
      </c>
      <c r="AO186" s="28" t="s">
        <v>406</v>
      </c>
      <c r="AP186" s="28" t="s">
        <v>299</v>
      </c>
      <c r="AQ186" s="17" t="s">
        <v>35</v>
      </c>
      <c r="AS186" s="27">
        <f>AM186+AN186</f>
        <v>0</v>
      </c>
      <c r="AT186" s="27">
        <f>G186/(100-AU186)*100</f>
        <v>0</v>
      </c>
      <c r="AU186" s="27">
        <v>0</v>
      </c>
      <c r="AV186" s="27">
        <f>L186</f>
        <v>0.02</v>
      </c>
    </row>
    <row r="187" spans="1:6" ht="12.75">
      <c r="A187" s="43"/>
      <c r="B187" s="43"/>
      <c r="C187" s="43"/>
      <c r="D187" s="31" t="s">
        <v>425</v>
      </c>
      <c r="E187" s="43"/>
      <c r="F187" s="43"/>
    </row>
    <row r="188" spans="1:48" ht="12.75">
      <c r="A188" s="23" t="s">
        <v>426</v>
      </c>
      <c r="B188" s="23"/>
      <c r="C188" s="23" t="s">
        <v>427</v>
      </c>
      <c r="D188" s="23" t="s">
        <v>414</v>
      </c>
      <c r="E188" s="23" t="s">
        <v>139</v>
      </c>
      <c r="F188" s="24">
        <v>2</v>
      </c>
      <c r="G188" s="47">
        <v>0</v>
      </c>
      <c r="H188" s="25">
        <f>F188*AE188</f>
        <v>0</v>
      </c>
      <c r="I188" s="25">
        <f>J188-H188</f>
        <v>0</v>
      </c>
      <c r="J188" s="25">
        <f>F188*G188</f>
        <v>0</v>
      </c>
      <c r="K188" s="25">
        <v>0.03</v>
      </c>
      <c r="L188" s="25">
        <f>F188*K188</f>
        <v>0.06</v>
      </c>
      <c r="M188" s="26" t="s">
        <v>32</v>
      </c>
      <c r="P188" s="27">
        <f>IF(AG188="5",J188,0)</f>
        <v>0</v>
      </c>
      <c r="R188" s="27">
        <f>IF(AG188="1",H188,0)</f>
        <v>0</v>
      </c>
      <c r="S188" s="27">
        <f>IF(AG188="1",I188,0)</f>
        <v>0</v>
      </c>
      <c r="T188" s="27">
        <f>IF(AG188="7",H188,0)</f>
        <v>0</v>
      </c>
      <c r="U188" s="27">
        <f>IF(AG188="7",I188,0)</f>
        <v>0</v>
      </c>
      <c r="V188" s="27">
        <f>IF(AG188="2",H188,0)</f>
        <v>0</v>
      </c>
      <c r="W188" s="27">
        <f>IF(AG188="2",I188,0)</f>
        <v>0</v>
      </c>
      <c r="X188" s="27">
        <f>IF(AG188="0",J188,0)</f>
        <v>0</v>
      </c>
      <c r="Y188" s="17"/>
      <c r="Z188" s="25">
        <f>IF(AD188=0,J188,0)</f>
        <v>0</v>
      </c>
      <c r="AA188" s="25">
        <f>IF(AD188=15,J188,0)</f>
        <v>0</v>
      </c>
      <c r="AB188" s="25">
        <f>IF(AD188=21,J188,0)</f>
        <v>0</v>
      </c>
      <c r="AD188" s="27">
        <v>15</v>
      </c>
      <c r="AE188" s="27">
        <f>G188*0.830922767257816</f>
        <v>0</v>
      </c>
      <c r="AF188" s="27">
        <f>G188*(1-0.830922767257816)</f>
        <v>0</v>
      </c>
      <c r="AG188" s="26" t="s">
        <v>28</v>
      </c>
      <c r="AM188" s="27">
        <f>F188*AE188</f>
        <v>0</v>
      </c>
      <c r="AN188" s="27">
        <f>F188*AF188</f>
        <v>0</v>
      </c>
      <c r="AO188" s="28" t="s">
        <v>406</v>
      </c>
      <c r="AP188" s="28" t="s">
        <v>299</v>
      </c>
      <c r="AQ188" s="17" t="s">
        <v>35</v>
      </c>
      <c r="AS188" s="27">
        <f>AM188+AN188</f>
        <v>0</v>
      </c>
      <c r="AT188" s="27">
        <f>G188/(100-AU188)*100</f>
        <v>0</v>
      </c>
      <c r="AU188" s="27">
        <v>0</v>
      </c>
      <c r="AV188" s="27">
        <f>L188</f>
        <v>0.06</v>
      </c>
    </row>
    <row r="189" spans="1:6" ht="12.75">
      <c r="A189" s="43"/>
      <c r="B189" s="43"/>
      <c r="C189" s="43"/>
      <c r="D189" s="31" t="s">
        <v>428</v>
      </c>
      <c r="E189" s="43"/>
      <c r="F189" s="43"/>
    </row>
    <row r="190" spans="1:48" ht="12.75">
      <c r="A190" s="23" t="s">
        <v>429</v>
      </c>
      <c r="B190" s="23"/>
      <c r="C190" s="23" t="s">
        <v>430</v>
      </c>
      <c r="D190" s="23" t="s">
        <v>431</v>
      </c>
      <c r="E190" s="23" t="s">
        <v>41</v>
      </c>
      <c r="F190" s="24">
        <v>18.15</v>
      </c>
      <c r="G190" s="47">
        <v>0</v>
      </c>
      <c r="H190" s="25">
        <f>F190*AE190</f>
        <v>0</v>
      </c>
      <c r="I190" s="25">
        <f>J190-H190</f>
        <v>0</v>
      </c>
      <c r="J190" s="25">
        <f>F190*G190</f>
        <v>0</v>
      </c>
      <c r="K190" s="25">
        <v>0.00681</v>
      </c>
      <c r="L190" s="25">
        <f>F190*K190</f>
        <v>0.12360149999999999</v>
      </c>
      <c r="M190" s="26" t="s">
        <v>32</v>
      </c>
      <c r="P190" s="27">
        <f>IF(AG190="5",J190,0)</f>
        <v>0</v>
      </c>
      <c r="R190" s="27">
        <f>IF(AG190="1",H190,0)</f>
        <v>0</v>
      </c>
      <c r="S190" s="27">
        <f>IF(AG190="1",I190,0)</f>
        <v>0</v>
      </c>
      <c r="T190" s="27">
        <f>IF(AG190="7",H190,0)</f>
        <v>0</v>
      </c>
      <c r="U190" s="27">
        <f>IF(AG190="7",I190,0)</f>
        <v>0</v>
      </c>
      <c r="V190" s="27">
        <f>IF(AG190="2",H190,0)</f>
        <v>0</v>
      </c>
      <c r="W190" s="27">
        <f>IF(AG190="2",I190,0)</f>
        <v>0</v>
      </c>
      <c r="X190" s="27">
        <f>IF(AG190="0",J190,0)</f>
        <v>0</v>
      </c>
      <c r="Y190" s="17"/>
      <c r="Z190" s="25">
        <f>IF(AD190=0,J190,0)</f>
        <v>0</v>
      </c>
      <c r="AA190" s="25">
        <f>IF(AD190=15,J190,0)</f>
        <v>0</v>
      </c>
      <c r="AB190" s="25">
        <f>IF(AD190=21,J190,0)</f>
        <v>0</v>
      </c>
      <c r="AD190" s="27">
        <v>15</v>
      </c>
      <c r="AE190" s="27">
        <f>G190*0.547671195495</f>
        <v>0</v>
      </c>
      <c r="AF190" s="27">
        <f>G190*(1-0.547671195495)</f>
        <v>0</v>
      </c>
      <c r="AG190" s="26" t="s">
        <v>28</v>
      </c>
      <c r="AM190" s="27">
        <f>F190*AE190</f>
        <v>0</v>
      </c>
      <c r="AN190" s="27">
        <f>F190*AF190</f>
        <v>0</v>
      </c>
      <c r="AO190" s="28" t="s">
        <v>406</v>
      </c>
      <c r="AP190" s="28" t="s">
        <v>299</v>
      </c>
      <c r="AQ190" s="17" t="s">
        <v>35</v>
      </c>
      <c r="AS190" s="27">
        <f>AM190+AN190</f>
        <v>0</v>
      </c>
      <c r="AT190" s="27">
        <f>G190/(100-AU190)*100</f>
        <v>0</v>
      </c>
      <c r="AU190" s="27">
        <v>0</v>
      </c>
      <c r="AV190" s="27">
        <f>L190</f>
        <v>0.12360149999999999</v>
      </c>
    </row>
    <row r="191" spans="1:6" ht="12.75">
      <c r="A191" s="43"/>
      <c r="B191" s="43"/>
      <c r="C191" s="43"/>
      <c r="D191" s="31" t="s">
        <v>432</v>
      </c>
      <c r="E191" s="43"/>
      <c r="F191" s="43"/>
    </row>
    <row r="192" spans="1:37" ht="12.75">
      <c r="A192" s="29"/>
      <c r="B192" s="30"/>
      <c r="C192" s="30" t="s">
        <v>322</v>
      </c>
      <c r="D192" s="30" t="s">
        <v>433</v>
      </c>
      <c r="E192" s="29" t="s">
        <v>10</v>
      </c>
      <c r="F192" s="29" t="s">
        <v>10</v>
      </c>
      <c r="G192" s="48" t="s">
        <v>10</v>
      </c>
      <c r="H192" s="22">
        <f>SUM(H193:H199)</f>
        <v>0</v>
      </c>
      <c r="I192" s="22">
        <f>SUM(I193:I199)</f>
        <v>0</v>
      </c>
      <c r="J192" s="22">
        <f>H192+I192</f>
        <v>0</v>
      </c>
      <c r="K192" s="17"/>
      <c r="L192" s="22">
        <f>SUM(L193:L199)</f>
        <v>60.007855000000006</v>
      </c>
      <c r="M192" s="17"/>
      <c r="Y192" s="17"/>
      <c r="AI192" s="22">
        <f>SUM(Z193:Z199)</f>
        <v>0</v>
      </c>
      <c r="AJ192" s="22">
        <f>SUM(AA193:AA199)</f>
        <v>0</v>
      </c>
      <c r="AK192" s="22">
        <f>SUM(AB193:AB199)</f>
        <v>0</v>
      </c>
    </row>
    <row r="193" spans="1:48" ht="12.75">
      <c r="A193" s="23" t="s">
        <v>434</v>
      </c>
      <c r="B193" s="23"/>
      <c r="C193" s="23" t="s">
        <v>435</v>
      </c>
      <c r="D193" s="23" t="s">
        <v>436</v>
      </c>
      <c r="E193" s="23" t="s">
        <v>41</v>
      </c>
      <c r="F193" s="24">
        <v>34.5</v>
      </c>
      <c r="G193" s="47">
        <v>0</v>
      </c>
      <c r="H193" s="25">
        <f>F193*AE193</f>
        <v>0</v>
      </c>
      <c r="I193" s="25">
        <f>J193-H193</f>
        <v>0</v>
      </c>
      <c r="J193" s="25">
        <f>F193*G193</f>
        <v>0</v>
      </c>
      <c r="K193" s="25">
        <v>0.90803</v>
      </c>
      <c r="L193" s="25">
        <f>F193*K193</f>
        <v>31.327035</v>
      </c>
      <c r="M193" s="26" t="s">
        <v>32</v>
      </c>
      <c r="P193" s="27">
        <f>IF(AG193="5",J193,0)</f>
        <v>0</v>
      </c>
      <c r="R193" s="27">
        <f>IF(AG193="1",H193,0)</f>
        <v>0</v>
      </c>
      <c r="S193" s="27">
        <f>IF(AG193="1",I193,0)</f>
        <v>0</v>
      </c>
      <c r="T193" s="27">
        <f>IF(AG193="7",H193,0)</f>
        <v>0</v>
      </c>
      <c r="U193" s="27">
        <f>IF(AG193="7",I193,0)</f>
        <v>0</v>
      </c>
      <c r="V193" s="27">
        <f>IF(AG193="2",H193,0)</f>
        <v>0</v>
      </c>
      <c r="W193" s="27">
        <f>IF(AG193="2",I193,0)</f>
        <v>0</v>
      </c>
      <c r="X193" s="27">
        <f>IF(AG193="0",J193,0)</f>
        <v>0</v>
      </c>
      <c r="Y193" s="17"/>
      <c r="Z193" s="25">
        <f>IF(AD193=0,J193,0)</f>
        <v>0</v>
      </c>
      <c r="AA193" s="25">
        <f>IF(AD193=15,J193,0)</f>
        <v>0</v>
      </c>
      <c r="AB193" s="25">
        <f>IF(AD193=21,J193,0)</f>
        <v>0</v>
      </c>
      <c r="AD193" s="27">
        <v>15</v>
      </c>
      <c r="AE193" s="27">
        <f>G193*0.361902233423703</f>
        <v>0</v>
      </c>
      <c r="AF193" s="27">
        <f>G193*(1-0.361902233423703)</f>
        <v>0</v>
      </c>
      <c r="AG193" s="26" t="s">
        <v>28</v>
      </c>
      <c r="AM193" s="27">
        <f>F193*AE193</f>
        <v>0</v>
      </c>
      <c r="AN193" s="27">
        <f>F193*AF193</f>
        <v>0</v>
      </c>
      <c r="AO193" s="28" t="s">
        <v>437</v>
      </c>
      <c r="AP193" s="28" t="s">
        <v>438</v>
      </c>
      <c r="AQ193" s="17" t="s">
        <v>35</v>
      </c>
      <c r="AS193" s="27">
        <f>AM193+AN193</f>
        <v>0</v>
      </c>
      <c r="AT193" s="27">
        <f>G193/(100-AU193)*100</f>
        <v>0</v>
      </c>
      <c r="AU193" s="27">
        <v>0</v>
      </c>
      <c r="AV193" s="27">
        <f>L193</f>
        <v>31.327035</v>
      </c>
    </row>
    <row r="194" spans="1:6" ht="12.75">
      <c r="A194" s="43"/>
      <c r="B194" s="43"/>
      <c r="C194" s="43"/>
      <c r="D194" s="31" t="s">
        <v>439</v>
      </c>
      <c r="E194" s="43"/>
      <c r="F194" s="43"/>
    </row>
    <row r="195" spans="1:48" ht="12.75">
      <c r="A195" s="23" t="s">
        <v>440</v>
      </c>
      <c r="B195" s="23"/>
      <c r="C195" s="23" t="s">
        <v>435</v>
      </c>
      <c r="D195" s="23" t="s">
        <v>441</v>
      </c>
      <c r="E195" s="23" t="s">
        <v>41</v>
      </c>
      <c r="F195" s="24">
        <v>11.2</v>
      </c>
      <c r="G195" s="47">
        <v>0</v>
      </c>
      <c r="H195" s="25">
        <f>F195*AE195</f>
        <v>0</v>
      </c>
      <c r="I195" s="25">
        <f>J195-H195</f>
        <v>0</v>
      </c>
      <c r="J195" s="25">
        <f>F195*G195</f>
        <v>0</v>
      </c>
      <c r="K195" s="25">
        <v>0.90803</v>
      </c>
      <c r="L195" s="25">
        <f>F195*K195</f>
        <v>10.169936</v>
      </c>
      <c r="M195" s="26" t="s">
        <v>32</v>
      </c>
      <c r="P195" s="27">
        <f>IF(AG195="5",J195,0)</f>
        <v>0</v>
      </c>
      <c r="R195" s="27">
        <f>IF(AG195="1",H195,0)</f>
        <v>0</v>
      </c>
      <c r="S195" s="27">
        <f>IF(AG195="1",I195,0)</f>
        <v>0</v>
      </c>
      <c r="T195" s="27">
        <f>IF(AG195="7",H195,0)</f>
        <v>0</v>
      </c>
      <c r="U195" s="27">
        <f>IF(AG195="7",I195,0)</f>
        <v>0</v>
      </c>
      <c r="V195" s="27">
        <f>IF(AG195="2",H195,0)</f>
        <v>0</v>
      </c>
      <c r="W195" s="27">
        <f>IF(AG195="2",I195,0)</f>
        <v>0</v>
      </c>
      <c r="X195" s="27">
        <f>IF(AG195="0",J195,0)</f>
        <v>0</v>
      </c>
      <c r="Y195" s="17"/>
      <c r="Z195" s="25">
        <f>IF(AD195=0,J195,0)</f>
        <v>0</v>
      </c>
      <c r="AA195" s="25">
        <f>IF(AD195=15,J195,0)</f>
        <v>0</v>
      </c>
      <c r="AB195" s="25">
        <f>IF(AD195=21,J195,0)</f>
        <v>0</v>
      </c>
      <c r="AD195" s="27">
        <v>15</v>
      </c>
      <c r="AE195" s="27">
        <f>G195*0.361902260970038</f>
        <v>0</v>
      </c>
      <c r="AF195" s="27">
        <f>G195*(1-0.361902260970038)</f>
        <v>0</v>
      </c>
      <c r="AG195" s="26" t="s">
        <v>28</v>
      </c>
      <c r="AM195" s="27">
        <f>F195*AE195</f>
        <v>0</v>
      </c>
      <c r="AN195" s="27">
        <f>F195*AF195</f>
        <v>0</v>
      </c>
      <c r="AO195" s="28" t="s">
        <v>437</v>
      </c>
      <c r="AP195" s="28" t="s">
        <v>438</v>
      </c>
      <c r="AQ195" s="17" t="s">
        <v>35</v>
      </c>
      <c r="AS195" s="27">
        <f>AM195+AN195</f>
        <v>0</v>
      </c>
      <c r="AT195" s="27">
        <f>G195/(100-AU195)*100</f>
        <v>0</v>
      </c>
      <c r="AU195" s="27">
        <v>0</v>
      </c>
      <c r="AV195" s="27">
        <f>L195</f>
        <v>10.169936</v>
      </c>
    </row>
    <row r="196" spans="1:6" ht="12.75">
      <c r="A196" s="43"/>
      <c r="B196" s="43"/>
      <c r="C196" s="43"/>
      <c r="D196" s="31" t="s">
        <v>439</v>
      </c>
      <c r="E196" s="43"/>
      <c r="F196" s="43"/>
    </row>
    <row r="197" spans="1:48" ht="12.75">
      <c r="A197" s="23" t="s">
        <v>442</v>
      </c>
      <c r="B197" s="23"/>
      <c r="C197" s="23" t="s">
        <v>443</v>
      </c>
      <c r="D197" s="23" t="s">
        <v>444</v>
      </c>
      <c r="E197" s="23" t="s">
        <v>41</v>
      </c>
      <c r="F197" s="24">
        <v>8.2</v>
      </c>
      <c r="G197" s="47">
        <v>0</v>
      </c>
      <c r="H197" s="25">
        <f>F197*AE197</f>
        <v>0</v>
      </c>
      <c r="I197" s="25">
        <f>J197-H197</f>
        <v>0</v>
      </c>
      <c r="J197" s="25">
        <f>F197*G197</f>
        <v>0</v>
      </c>
      <c r="K197" s="25">
        <v>0.27062</v>
      </c>
      <c r="L197" s="25">
        <f>F197*K197</f>
        <v>2.219084</v>
      </c>
      <c r="M197" s="26" t="s">
        <v>32</v>
      </c>
      <c r="P197" s="27">
        <f>IF(AG197="5",J197,0)</f>
        <v>0</v>
      </c>
      <c r="R197" s="27">
        <f>IF(AG197="1",H197,0)</f>
        <v>0</v>
      </c>
      <c r="S197" s="27">
        <f>IF(AG197="1",I197,0)</f>
        <v>0</v>
      </c>
      <c r="T197" s="27">
        <f>IF(AG197="7",H197,0)</f>
        <v>0</v>
      </c>
      <c r="U197" s="27">
        <f>IF(AG197="7",I197,0)</f>
        <v>0</v>
      </c>
      <c r="V197" s="27">
        <f>IF(AG197="2",H197,0)</f>
        <v>0</v>
      </c>
      <c r="W197" s="27">
        <f>IF(AG197="2",I197,0)</f>
        <v>0</v>
      </c>
      <c r="X197" s="27">
        <f>IF(AG197="0",J197,0)</f>
        <v>0</v>
      </c>
      <c r="Y197" s="17"/>
      <c r="Z197" s="25">
        <f>IF(AD197=0,J197,0)</f>
        <v>0</v>
      </c>
      <c r="AA197" s="25">
        <f>IF(AD197=15,J197,0)</f>
        <v>0</v>
      </c>
      <c r="AB197" s="25">
        <f>IF(AD197=21,J197,0)</f>
        <v>0</v>
      </c>
      <c r="AD197" s="27">
        <v>15</v>
      </c>
      <c r="AE197" s="27">
        <f>G197*0.41808514071779</f>
        <v>0</v>
      </c>
      <c r="AF197" s="27">
        <f>G197*(1-0.41808514071779)</f>
        <v>0</v>
      </c>
      <c r="AG197" s="26" t="s">
        <v>28</v>
      </c>
      <c r="AM197" s="27">
        <f>F197*AE197</f>
        <v>0</v>
      </c>
      <c r="AN197" s="27">
        <f>F197*AF197</f>
        <v>0</v>
      </c>
      <c r="AO197" s="28" t="s">
        <v>437</v>
      </c>
      <c r="AP197" s="28" t="s">
        <v>438</v>
      </c>
      <c r="AQ197" s="17" t="s">
        <v>35</v>
      </c>
      <c r="AS197" s="27">
        <f>AM197+AN197</f>
        <v>0</v>
      </c>
      <c r="AT197" s="27">
        <f>G197/(100-AU197)*100</f>
        <v>0</v>
      </c>
      <c r="AU197" s="27">
        <v>0</v>
      </c>
      <c r="AV197" s="27">
        <f>L197</f>
        <v>2.219084</v>
      </c>
    </row>
    <row r="198" spans="1:6" ht="12.75">
      <c r="A198" s="43"/>
      <c r="B198" s="43"/>
      <c r="C198" s="43"/>
      <c r="D198" s="31" t="s">
        <v>445</v>
      </c>
      <c r="E198" s="43"/>
      <c r="F198" s="43"/>
    </row>
    <row r="199" spans="1:48" ht="12.75">
      <c r="A199" s="23" t="s">
        <v>446</v>
      </c>
      <c r="B199" s="23"/>
      <c r="C199" s="23" t="s">
        <v>447</v>
      </c>
      <c r="D199" s="23" t="s">
        <v>448</v>
      </c>
      <c r="E199" s="23" t="s">
        <v>449</v>
      </c>
      <c r="F199" s="24">
        <v>12</v>
      </c>
      <c r="G199" s="47">
        <v>0</v>
      </c>
      <c r="H199" s="25">
        <f>F199*AE199</f>
        <v>0</v>
      </c>
      <c r="I199" s="25">
        <f>J199-H199</f>
        <v>0</v>
      </c>
      <c r="J199" s="25">
        <f>F199*G199</f>
        <v>0</v>
      </c>
      <c r="K199" s="25">
        <v>1.35765</v>
      </c>
      <c r="L199" s="25">
        <f>F199*K199</f>
        <v>16.291800000000002</v>
      </c>
      <c r="M199" s="26" t="s">
        <v>32</v>
      </c>
      <c r="P199" s="27">
        <f>IF(AG199="5",J199,0)</f>
        <v>0</v>
      </c>
      <c r="R199" s="27">
        <f>IF(AG199="1",H199,0)</f>
        <v>0</v>
      </c>
      <c r="S199" s="27">
        <f>IF(AG199="1",I199,0)</f>
        <v>0</v>
      </c>
      <c r="T199" s="27">
        <f>IF(AG199="7",H199,0)</f>
        <v>0</v>
      </c>
      <c r="U199" s="27">
        <f>IF(AG199="7",I199,0)</f>
        <v>0</v>
      </c>
      <c r="V199" s="27">
        <f>IF(AG199="2",H199,0)</f>
        <v>0</v>
      </c>
      <c r="W199" s="27">
        <f>IF(AG199="2",I199,0)</f>
        <v>0</v>
      </c>
      <c r="X199" s="27">
        <f>IF(AG199="0",J199,0)</f>
        <v>0</v>
      </c>
      <c r="Y199" s="17"/>
      <c r="Z199" s="25">
        <f>IF(AD199=0,J199,0)</f>
        <v>0</v>
      </c>
      <c r="AA199" s="25">
        <f>IF(AD199=15,J199,0)</f>
        <v>0</v>
      </c>
      <c r="AB199" s="25">
        <f>IF(AD199=21,J199,0)</f>
        <v>0</v>
      </c>
      <c r="AD199" s="27">
        <v>15</v>
      </c>
      <c r="AE199" s="27">
        <f>G199*0.421862952041049</f>
        <v>0</v>
      </c>
      <c r="AF199" s="27">
        <f>G199*(1-0.421862952041049)</f>
        <v>0</v>
      </c>
      <c r="AG199" s="26" t="s">
        <v>28</v>
      </c>
      <c r="AM199" s="27">
        <f>F199*AE199</f>
        <v>0</v>
      </c>
      <c r="AN199" s="27">
        <f>F199*AF199</f>
        <v>0</v>
      </c>
      <c r="AO199" s="28" t="s">
        <v>437</v>
      </c>
      <c r="AP199" s="28" t="s">
        <v>438</v>
      </c>
      <c r="AQ199" s="17" t="s">
        <v>35</v>
      </c>
      <c r="AS199" s="27">
        <f>AM199+AN199</f>
        <v>0</v>
      </c>
      <c r="AT199" s="27">
        <f>G199/(100-AU199)*100</f>
        <v>0</v>
      </c>
      <c r="AU199" s="27">
        <v>0</v>
      </c>
      <c r="AV199" s="27">
        <f>L199</f>
        <v>16.291800000000002</v>
      </c>
    </row>
    <row r="200" spans="1:6" ht="12.75">
      <c r="A200" s="43"/>
      <c r="B200" s="43"/>
      <c r="C200" s="43"/>
      <c r="D200" s="31" t="s">
        <v>450</v>
      </c>
      <c r="E200" s="43"/>
      <c r="F200" s="43"/>
    </row>
    <row r="201" spans="1:37" ht="12.75">
      <c r="A201" s="29"/>
      <c r="B201" s="30"/>
      <c r="C201" s="30" t="s">
        <v>345</v>
      </c>
      <c r="D201" s="30" t="s">
        <v>451</v>
      </c>
      <c r="E201" s="29" t="s">
        <v>10</v>
      </c>
      <c r="F201" s="29" t="s">
        <v>10</v>
      </c>
      <c r="G201" s="48" t="s">
        <v>10</v>
      </c>
      <c r="H201" s="22">
        <f>SUM(H202:H202)</f>
        <v>0</v>
      </c>
      <c r="I201" s="22">
        <f>SUM(I202:I202)</f>
        <v>0</v>
      </c>
      <c r="J201" s="22">
        <f>H201+I201</f>
        <v>0</v>
      </c>
      <c r="K201" s="17"/>
      <c r="L201" s="22">
        <f>SUM(L202:L202)</f>
        <v>0</v>
      </c>
      <c r="M201" s="17"/>
      <c r="Y201" s="17"/>
      <c r="AI201" s="22">
        <f>SUM(Z202:Z202)</f>
        <v>0</v>
      </c>
      <c r="AJ201" s="22">
        <f>SUM(AA202:AA202)</f>
        <v>0</v>
      </c>
      <c r="AK201" s="22">
        <f>SUM(AB202:AB202)</f>
        <v>0</v>
      </c>
    </row>
    <row r="202" spans="1:48" ht="12.75">
      <c r="A202" s="23" t="s">
        <v>452</v>
      </c>
      <c r="B202" s="23"/>
      <c r="C202" s="23" t="s">
        <v>453</v>
      </c>
      <c r="D202" s="23" t="s">
        <v>454</v>
      </c>
      <c r="E202" s="23" t="s">
        <v>455</v>
      </c>
      <c r="F202" s="24">
        <v>250</v>
      </c>
      <c r="G202" s="47">
        <v>0</v>
      </c>
      <c r="H202" s="25">
        <f>F202*AE202</f>
        <v>0</v>
      </c>
      <c r="I202" s="25">
        <f>J202-H202</f>
        <v>0</v>
      </c>
      <c r="J202" s="25">
        <f>F202*G202</f>
        <v>0</v>
      </c>
      <c r="K202" s="25">
        <v>0</v>
      </c>
      <c r="L202" s="25">
        <f>F202*K202</f>
        <v>0</v>
      </c>
      <c r="M202" s="26" t="s">
        <v>32</v>
      </c>
      <c r="P202" s="27">
        <f>IF(AG202="5",J202,0)</f>
        <v>0</v>
      </c>
      <c r="R202" s="27">
        <f>IF(AG202="1",H202,0)</f>
        <v>0</v>
      </c>
      <c r="S202" s="27">
        <f>IF(AG202="1",I202,0)</f>
        <v>0</v>
      </c>
      <c r="T202" s="27">
        <f>IF(AG202="7",H202,0)</f>
        <v>0</v>
      </c>
      <c r="U202" s="27">
        <f>IF(AG202="7",I202,0)</f>
        <v>0</v>
      </c>
      <c r="V202" s="27">
        <f>IF(AG202="2",H202,0)</f>
        <v>0</v>
      </c>
      <c r="W202" s="27">
        <f>IF(AG202="2",I202,0)</f>
        <v>0</v>
      </c>
      <c r="X202" s="27">
        <f>IF(AG202="0",J202,0)</f>
        <v>0</v>
      </c>
      <c r="Y202" s="17"/>
      <c r="Z202" s="25">
        <f>IF(AD202=0,J202,0)</f>
        <v>0</v>
      </c>
      <c r="AA202" s="25">
        <f>IF(AD202=15,J202,0)</f>
        <v>0</v>
      </c>
      <c r="AB202" s="25">
        <f>IF(AD202=21,J202,0)</f>
        <v>0</v>
      </c>
      <c r="AD202" s="27">
        <v>15</v>
      </c>
      <c r="AE202" s="27">
        <f>G202*0</f>
        <v>0</v>
      </c>
      <c r="AF202" s="27">
        <f>G202*(1-0)</f>
        <v>0</v>
      </c>
      <c r="AG202" s="26" t="s">
        <v>28</v>
      </c>
      <c r="AM202" s="27">
        <f>F202*AE202</f>
        <v>0</v>
      </c>
      <c r="AN202" s="27">
        <f>F202*AF202</f>
        <v>0</v>
      </c>
      <c r="AO202" s="28" t="s">
        <v>456</v>
      </c>
      <c r="AP202" s="28" t="s">
        <v>457</v>
      </c>
      <c r="AQ202" s="17" t="s">
        <v>35</v>
      </c>
      <c r="AS202" s="27">
        <f>AM202+AN202</f>
        <v>0</v>
      </c>
      <c r="AT202" s="27">
        <f>G202/(100-AU202)*100</f>
        <v>0</v>
      </c>
      <c r="AU202" s="27">
        <v>0</v>
      </c>
      <c r="AV202" s="27">
        <f>L202</f>
        <v>0</v>
      </c>
    </row>
    <row r="203" spans="1:37" ht="12.75">
      <c r="A203" s="29"/>
      <c r="B203" s="30"/>
      <c r="C203" s="30" t="s">
        <v>358</v>
      </c>
      <c r="D203" s="30" t="s">
        <v>458</v>
      </c>
      <c r="E203" s="29" t="s">
        <v>10</v>
      </c>
      <c r="F203" s="29" t="s">
        <v>10</v>
      </c>
      <c r="G203" s="48" t="s">
        <v>10</v>
      </c>
      <c r="H203" s="22">
        <f>SUM(H204:H206)</f>
        <v>0</v>
      </c>
      <c r="I203" s="22">
        <f>SUM(I204:I206)</f>
        <v>0</v>
      </c>
      <c r="J203" s="22">
        <f>H203+I203</f>
        <v>0</v>
      </c>
      <c r="K203" s="17"/>
      <c r="L203" s="22">
        <f>SUM(L204:L206)</f>
        <v>4.94095</v>
      </c>
      <c r="M203" s="17"/>
      <c r="Y203" s="17"/>
      <c r="AI203" s="22">
        <f>SUM(Z204:Z206)</f>
        <v>0</v>
      </c>
      <c r="AJ203" s="22">
        <f>SUM(AA204:AA206)</f>
        <v>0</v>
      </c>
      <c r="AK203" s="22">
        <f>SUM(AB204:AB206)</f>
        <v>0</v>
      </c>
    </row>
    <row r="204" spans="1:48" ht="12.75">
      <c r="A204" s="23" t="s">
        <v>459</v>
      </c>
      <c r="B204" s="23"/>
      <c r="C204" s="23" t="s">
        <v>460</v>
      </c>
      <c r="D204" s="23" t="s">
        <v>461</v>
      </c>
      <c r="E204" s="23" t="s">
        <v>75</v>
      </c>
      <c r="F204" s="24">
        <v>236</v>
      </c>
      <c r="G204" s="47">
        <v>0</v>
      </c>
      <c r="H204" s="25">
        <f>F204*AE204</f>
        <v>0</v>
      </c>
      <c r="I204" s="25">
        <f>J204-H204</f>
        <v>0</v>
      </c>
      <c r="J204" s="25">
        <f>F204*G204</f>
        <v>0</v>
      </c>
      <c r="K204" s="25">
        <v>0.02008</v>
      </c>
      <c r="L204" s="25">
        <f>F204*K204</f>
        <v>4.73888</v>
      </c>
      <c r="M204" s="26" t="s">
        <v>32</v>
      </c>
      <c r="P204" s="27">
        <f>IF(AG204="5",J204,0)</f>
        <v>0</v>
      </c>
      <c r="R204" s="27">
        <f>IF(AG204="1",H204,0)</f>
        <v>0</v>
      </c>
      <c r="S204" s="27">
        <f>IF(AG204="1",I204,0)</f>
        <v>0</v>
      </c>
      <c r="T204" s="27">
        <f>IF(AG204="7",H204,0)</f>
        <v>0</v>
      </c>
      <c r="U204" s="27">
        <f>IF(AG204="7",I204,0)</f>
        <v>0</v>
      </c>
      <c r="V204" s="27">
        <f>IF(AG204="2",H204,0)</f>
        <v>0</v>
      </c>
      <c r="W204" s="27">
        <f>IF(AG204="2",I204,0)</f>
        <v>0</v>
      </c>
      <c r="X204" s="27">
        <f>IF(AG204="0",J204,0)</f>
        <v>0</v>
      </c>
      <c r="Y204" s="17"/>
      <c r="Z204" s="25">
        <f>IF(AD204=0,J204,0)</f>
        <v>0</v>
      </c>
      <c r="AA204" s="25">
        <f>IF(AD204=15,J204,0)</f>
        <v>0</v>
      </c>
      <c r="AB204" s="25">
        <f>IF(AD204=21,J204,0)</f>
        <v>0</v>
      </c>
      <c r="AD204" s="27">
        <v>15</v>
      </c>
      <c r="AE204" s="27">
        <f>G204*0.320568927789934</f>
        <v>0</v>
      </c>
      <c r="AF204" s="27">
        <f>G204*(1-0.320568927789934)</f>
        <v>0</v>
      </c>
      <c r="AG204" s="26" t="s">
        <v>28</v>
      </c>
      <c r="AM204" s="27">
        <f>F204*AE204</f>
        <v>0</v>
      </c>
      <c r="AN204" s="27">
        <f>F204*AF204</f>
        <v>0</v>
      </c>
      <c r="AO204" s="28" t="s">
        <v>462</v>
      </c>
      <c r="AP204" s="28" t="s">
        <v>457</v>
      </c>
      <c r="AQ204" s="17" t="s">
        <v>35</v>
      </c>
      <c r="AS204" s="27">
        <f>AM204+AN204</f>
        <v>0</v>
      </c>
      <c r="AT204" s="27">
        <f>G204/(100-AU204)*100</f>
        <v>0</v>
      </c>
      <c r="AU204" s="27">
        <v>0</v>
      </c>
      <c r="AV204" s="27">
        <f>L204</f>
        <v>4.73888</v>
      </c>
    </row>
    <row r="205" spans="1:6" ht="12.75">
      <c r="A205" s="43"/>
      <c r="B205" s="43"/>
      <c r="C205" s="43"/>
      <c r="D205" s="31" t="s">
        <v>463</v>
      </c>
      <c r="E205" s="43"/>
      <c r="F205" s="43"/>
    </row>
    <row r="206" spans="1:48" ht="12.75">
      <c r="A206" s="23" t="s">
        <v>464</v>
      </c>
      <c r="B206" s="23"/>
      <c r="C206" s="23" t="s">
        <v>465</v>
      </c>
      <c r="D206" s="23" t="s">
        <v>466</v>
      </c>
      <c r="E206" s="23" t="s">
        <v>75</v>
      </c>
      <c r="F206" s="24">
        <v>167</v>
      </c>
      <c r="G206" s="47">
        <v>0</v>
      </c>
      <c r="H206" s="25">
        <f>F206*AE206</f>
        <v>0</v>
      </c>
      <c r="I206" s="25">
        <f>J206-H206</f>
        <v>0</v>
      </c>
      <c r="J206" s="25">
        <f>F206*G206</f>
        <v>0</v>
      </c>
      <c r="K206" s="25">
        <v>0.00121</v>
      </c>
      <c r="L206" s="25">
        <f>F206*K206</f>
        <v>0.20207</v>
      </c>
      <c r="M206" s="26" t="s">
        <v>32</v>
      </c>
      <c r="P206" s="27">
        <f>IF(AG206="5",J206,0)</f>
        <v>0</v>
      </c>
      <c r="R206" s="27">
        <f>IF(AG206="1",H206,0)</f>
        <v>0</v>
      </c>
      <c r="S206" s="27">
        <f>IF(AG206="1",I206,0)</f>
        <v>0</v>
      </c>
      <c r="T206" s="27">
        <f>IF(AG206="7",H206,0)</f>
        <v>0</v>
      </c>
      <c r="U206" s="27">
        <f>IF(AG206="7",I206,0)</f>
        <v>0</v>
      </c>
      <c r="V206" s="27">
        <f>IF(AG206="2",H206,0)</f>
        <v>0</v>
      </c>
      <c r="W206" s="27">
        <f>IF(AG206="2",I206,0)</f>
        <v>0</v>
      </c>
      <c r="X206" s="27">
        <f>IF(AG206="0",J206,0)</f>
        <v>0</v>
      </c>
      <c r="Y206" s="17"/>
      <c r="Z206" s="25">
        <f>IF(AD206=0,J206,0)</f>
        <v>0</v>
      </c>
      <c r="AA206" s="25">
        <f>IF(AD206=15,J206,0)</f>
        <v>0</v>
      </c>
      <c r="AB206" s="25">
        <f>IF(AD206=21,J206,0)</f>
        <v>0</v>
      </c>
      <c r="AD206" s="27">
        <v>15</v>
      </c>
      <c r="AE206" s="27">
        <f>G206*0.367706919945726</f>
        <v>0</v>
      </c>
      <c r="AF206" s="27">
        <f>G206*(1-0.367706919945726)</f>
        <v>0</v>
      </c>
      <c r="AG206" s="26" t="s">
        <v>28</v>
      </c>
      <c r="AM206" s="27">
        <f>F206*AE206</f>
        <v>0</v>
      </c>
      <c r="AN206" s="27">
        <f>F206*AF206</f>
        <v>0</v>
      </c>
      <c r="AO206" s="28" t="s">
        <v>462</v>
      </c>
      <c r="AP206" s="28" t="s">
        <v>457</v>
      </c>
      <c r="AQ206" s="17" t="s">
        <v>35</v>
      </c>
      <c r="AS206" s="27">
        <f>AM206+AN206</f>
        <v>0</v>
      </c>
      <c r="AT206" s="27">
        <f>G206/(100-AU206)*100</f>
        <v>0</v>
      </c>
      <c r="AU206" s="27">
        <v>0</v>
      </c>
      <c r="AV206" s="27">
        <f>L206</f>
        <v>0.20207</v>
      </c>
    </row>
    <row r="207" spans="1:37" ht="12.75">
      <c r="A207" s="29"/>
      <c r="B207" s="30"/>
      <c r="C207" s="30" t="s">
        <v>362</v>
      </c>
      <c r="D207" s="30" t="s">
        <v>467</v>
      </c>
      <c r="E207" s="29" t="s">
        <v>10</v>
      </c>
      <c r="F207" s="29" t="s">
        <v>10</v>
      </c>
      <c r="G207" s="48" t="s">
        <v>10</v>
      </c>
      <c r="H207" s="22">
        <f>SUM(H208:H211)</f>
        <v>0</v>
      </c>
      <c r="I207" s="22">
        <f>SUM(I208:I211)</f>
        <v>0</v>
      </c>
      <c r="J207" s="22">
        <f>H207+I207</f>
        <v>0</v>
      </c>
      <c r="K207" s="17"/>
      <c r="L207" s="22">
        <f>SUM(L208:L211)</f>
        <v>0.0663</v>
      </c>
      <c r="M207" s="17"/>
      <c r="Y207" s="17"/>
      <c r="AI207" s="22">
        <f>SUM(Z208:Z211)</f>
        <v>0</v>
      </c>
      <c r="AJ207" s="22">
        <f>SUM(AA208:AA211)</f>
        <v>0</v>
      </c>
      <c r="AK207" s="22">
        <f>SUM(AB208:AB211)</f>
        <v>0</v>
      </c>
    </row>
    <row r="208" spans="1:48" ht="12.75">
      <c r="A208" s="23" t="s">
        <v>468</v>
      </c>
      <c r="B208" s="23"/>
      <c r="C208" s="23" t="s">
        <v>469</v>
      </c>
      <c r="D208" s="23" t="s">
        <v>470</v>
      </c>
      <c r="E208" s="23" t="s">
        <v>139</v>
      </c>
      <c r="F208" s="24">
        <v>3</v>
      </c>
      <c r="G208" s="47">
        <v>0</v>
      </c>
      <c r="H208" s="25">
        <f>F208*AE208</f>
        <v>0</v>
      </c>
      <c r="I208" s="25">
        <f>J208-H208</f>
        <v>0</v>
      </c>
      <c r="J208" s="25">
        <f>F208*G208</f>
        <v>0</v>
      </c>
      <c r="K208" s="25">
        <v>0.01116</v>
      </c>
      <c r="L208" s="25">
        <f>F208*K208</f>
        <v>0.033479999999999996</v>
      </c>
      <c r="M208" s="26" t="s">
        <v>32</v>
      </c>
      <c r="P208" s="27">
        <f>IF(AG208="5",J208,0)</f>
        <v>0</v>
      </c>
      <c r="R208" s="27">
        <f>IF(AG208="1",H208,0)</f>
        <v>0</v>
      </c>
      <c r="S208" s="27">
        <f>IF(AG208="1",I208,0)</f>
        <v>0</v>
      </c>
      <c r="T208" s="27">
        <f>IF(AG208="7",H208,0)</f>
        <v>0</v>
      </c>
      <c r="U208" s="27">
        <f>IF(AG208="7",I208,0)</f>
        <v>0</v>
      </c>
      <c r="V208" s="27">
        <f>IF(AG208="2",H208,0)</f>
        <v>0</v>
      </c>
      <c r="W208" s="27">
        <f>IF(AG208="2",I208,0)</f>
        <v>0</v>
      </c>
      <c r="X208" s="27">
        <f>IF(AG208="0",J208,0)</f>
        <v>0</v>
      </c>
      <c r="Y208" s="17"/>
      <c r="Z208" s="25">
        <f>IF(AD208=0,J208,0)</f>
        <v>0</v>
      </c>
      <c r="AA208" s="25">
        <f>IF(AD208=15,J208,0)</f>
        <v>0</v>
      </c>
      <c r="AB208" s="25">
        <f>IF(AD208=21,J208,0)</f>
        <v>0</v>
      </c>
      <c r="AD208" s="27">
        <v>15</v>
      </c>
      <c r="AE208" s="27">
        <f>G208*0.12996996996997</f>
        <v>0</v>
      </c>
      <c r="AF208" s="27">
        <f>G208*(1-0.12996996996997)</f>
        <v>0</v>
      </c>
      <c r="AG208" s="26" t="s">
        <v>28</v>
      </c>
      <c r="AM208" s="27">
        <f>F208*AE208</f>
        <v>0</v>
      </c>
      <c r="AN208" s="27">
        <f>F208*AF208</f>
        <v>0</v>
      </c>
      <c r="AO208" s="28" t="s">
        <v>471</v>
      </c>
      <c r="AP208" s="28" t="s">
        <v>457</v>
      </c>
      <c r="AQ208" s="17" t="s">
        <v>35</v>
      </c>
      <c r="AS208" s="27">
        <f>AM208+AN208</f>
        <v>0</v>
      </c>
      <c r="AT208" s="27">
        <f>G208/(100-AU208)*100</f>
        <v>0</v>
      </c>
      <c r="AU208" s="27">
        <v>0</v>
      </c>
      <c r="AV208" s="27">
        <f>L208</f>
        <v>0.033479999999999996</v>
      </c>
    </row>
    <row r="209" spans="1:48" ht="12.75">
      <c r="A209" s="32" t="s">
        <v>472</v>
      </c>
      <c r="B209" s="32"/>
      <c r="C209" s="32" t="s">
        <v>473</v>
      </c>
      <c r="D209" s="32" t="s">
        <v>474</v>
      </c>
      <c r="E209" s="32" t="s">
        <v>139</v>
      </c>
      <c r="F209" s="33">
        <v>3</v>
      </c>
      <c r="G209" s="50">
        <v>0</v>
      </c>
      <c r="H209" s="34">
        <f>F209*AE209</f>
        <v>0</v>
      </c>
      <c r="I209" s="34">
        <f>J209-H209</f>
        <v>0</v>
      </c>
      <c r="J209" s="34">
        <f>F209*G209</f>
        <v>0</v>
      </c>
      <c r="K209" s="34">
        <v>0.0006</v>
      </c>
      <c r="L209" s="34">
        <f>F209*K209</f>
        <v>0.0018</v>
      </c>
      <c r="M209" s="35" t="s">
        <v>32</v>
      </c>
      <c r="P209" s="27">
        <f>IF(AG209="5",J209,0)</f>
        <v>0</v>
      </c>
      <c r="R209" s="27">
        <f>IF(AG209="1",H209,0)</f>
        <v>0</v>
      </c>
      <c r="S209" s="27">
        <f>IF(AG209="1",I209,0)</f>
        <v>0</v>
      </c>
      <c r="T209" s="27">
        <f>IF(AG209="7",H209,0)</f>
        <v>0</v>
      </c>
      <c r="U209" s="27">
        <f>IF(AG209="7",I209,0)</f>
        <v>0</v>
      </c>
      <c r="V209" s="27">
        <f>IF(AG209="2",H209,0)</f>
        <v>0</v>
      </c>
      <c r="W209" s="27">
        <f>IF(AG209="2",I209,0)</f>
        <v>0</v>
      </c>
      <c r="X209" s="27">
        <f>IF(AG209="0",J209,0)</f>
        <v>0</v>
      </c>
      <c r="Y209" s="17"/>
      <c r="Z209" s="34">
        <f>IF(AD209=0,J209,0)</f>
        <v>0</v>
      </c>
      <c r="AA209" s="34">
        <f>IF(AD209=15,J209,0)</f>
        <v>0</v>
      </c>
      <c r="AB209" s="34">
        <f>IF(AD209=21,J209,0)</f>
        <v>0</v>
      </c>
      <c r="AD209" s="27">
        <v>15</v>
      </c>
      <c r="AE209" s="27">
        <f>G209*1</f>
        <v>0</v>
      </c>
      <c r="AF209" s="27">
        <f>G209*(1-1)</f>
        <v>0</v>
      </c>
      <c r="AG209" s="35" t="s">
        <v>28</v>
      </c>
      <c r="AM209" s="27">
        <f>F209*AE209</f>
        <v>0</v>
      </c>
      <c r="AN209" s="27">
        <f>F209*AF209</f>
        <v>0</v>
      </c>
      <c r="AO209" s="28" t="s">
        <v>471</v>
      </c>
      <c r="AP209" s="28" t="s">
        <v>457</v>
      </c>
      <c r="AQ209" s="17" t="s">
        <v>35</v>
      </c>
      <c r="AS209" s="27">
        <f>AM209+AN209</f>
        <v>0</v>
      </c>
      <c r="AT209" s="27">
        <f>G209/(100-AU209)*100</f>
        <v>0</v>
      </c>
      <c r="AU209" s="27">
        <v>0</v>
      </c>
      <c r="AV209" s="27">
        <f>L209</f>
        <v>0.0018</v>
      </c>
    </row>
    <row r="210" spans="1:48" ht="12.75">
      <c r="A210" s="23" t="s">
        <v>475</v>
      </c>
      <c r="B210" s="23"/>
      <c r="C210" s="23" t="s">
        <v>476</v>
      </c>
      <c r="D210" s="23" t="s">
        <v>477</v>
      </c>
      <c r="E210" s="23" t="s">
        <v>139</v>
      </c>
      <c r="F210" s="24">
        <v>2</v>
      </c>
      <c r="G210" s="47">
        <v>0</v>
      </c>
      <c r="H210" s="25">
        <f>F210*AE210</f>
        <v>0</v>
      </c>
      <c r="I210" s="25">
        <f>J210-H210</f>
        <v>0</v>
      </c>
      <c r="J210" s="25">
        <f>F210*G210</f>
        <v>0</v>
      </c>
      <c r="K210" s="25">
        <v>1E-05</v>
      </c>
      <c r="L210" s="25">
        <f>F210*K210</f>
        <v>2E-05</v>
      </c>
      <c r="M210" s="26" t="s">
        <v>32</v>
      </c>
      <c r="P210" s="27">
        <f>IF(AG210="5",J210,0)</f>
        <v>0</v>
      </c>
      <c r="R210" s="27">
        <f>IF(AG210="1",H210,0)</f>
        <v>0</v>
      </c>
      <c r="S210" s="27">
        <f>IF(AG210="1",I210,0)</f>
        <v>0</v>
      </c>
      <c r="T210" s="27">
        <f>IF(AG210="7",H210,0)</f>
        <v>0</v>
      </c>
      <c r="U210" s="27">
        <f>IF(AG210="7",I210,0)</f>
        <v>0</v>
      </c>
      <c r="V210" s="27">
        <f>IF(AG210="2",H210,0)</f>
        <v>0</v>
      </c>
      <c r="W210" s="27">
        <f>IF(AG210="2",I210,0)</f>
        <v>0</v>
      </c>
      <c r="X210" s="27">
        <f>IF(AG210="0",J210,0)</f>
        <v>0</v>
      </c>
      <c r="Y210" s="17"/>
      <c r="Z210" s="25">
        <f>IF(AD210=0,J210,0)</f>
        <v>0</v>
      </c>
      <c r="AA210" s="25">
        <f>IF(AD210=15,J210,0)</f>
        <v>0</v>
      </c>
      <c r="AB210" s="25">
        <f>IF(AD210=21,J210,0)</f>
        <v>0</v>
      </c>
      <c r="AD210" s="27">
        <v>15</v>
      </c>
      <c r="AE210" s="27">
        <f>G210*0.11911532385466</f>
        <v>0</v>
      </c>
      <c r="AF210" s="27">
        <f>G210*(1-0.11911532385466)</f>
        <v>0</v>
      </c>
      <c r="AG210" s="26" t="s">
        <v>28</v>
      </c>
      <c r="AM210" s="27">
        <f>F210*AE210</f>
        <v>0</v>
      </c>
      <c r="AN210" s="27">
        <f>F210*AF210</f>
        <v>0</v>
      </c>
      <c r="AO210" s="28" t="s">
        <v>471</v>
      </c>
      <c r="AP210" s="28" t="s">
        <v>457</v>
      </c>
      <c r="AQ210" s="17" t="s">
        <v>35</v>
      </c>
      <c r="AS210" s="27">
        <f>AM210+AN210</f>
        <v>0</v>
      </c>
      <c r="AT210" s="27">
        <f>G210/(100-AU210)*100</f>
        <v>0</v>
      </c>
      <c r="AU210" s="27">
        <v>0</v>
      </c>
      <c r="AV210" s="27">
        <f>L210</f>
        <v>2E-05</v>
      </c>
    </row>
    <row r="211" spans="1:48" ht="12.75">
      <c r="A211" s="32" t="s">
        <v>478</v>
      </c>
      <c r="B211" s="32"/>
      <c r="C211" s="32" t="s">
        <v>479</v>
      </c>
      <c r="D211" s="32" t="s">
        <v>480</v>
      </c>
      <c r="E211" s="32" t="s">
        <v>139</v>
      </c>
      <c r="F211" s="33">
        <v>2</v>
      </c>
      <c r="G211" s="50">
        <v>0</v>
      </c>
      <c r="H211" s="34">
        <f>F211*AE211</f>
        <v>0</v>
      </c>
      <c r="I211" s="34">
        <f>J211-H211</f>
        <v>0</v>
      </c>
      <c r="J211" s="34">
        <f>F211*G211</f>
        <v>0</v>
      </c>
      <c r="K211" s="34">
        <v>0.0155</v>
      </c>
      <c r="L211" s="34">
        <f>F211*K211</f>
        <v>0.031</v>
      </c>
      <c r="M211" s="35" t="s">
        <v>32</v>
      </c>
      <c r="P211" s="27">
        <f>IF(AG211="5",J211,0)</f>
        <v>0</v>
      </c>
      <c r="R211" s="27">
        <f>IF(AG211="1",H211,0)</f>
        <v>0</v>
      </c>
      <c r="S211" s="27">
        <f>IF(AG211="1",I211,0)</f>
        <v>0</v>
      </c>
      <c r="T211" s="27">
        <f>IF(AG211="7",H211,0)</f>
        <v>0</v>
      </c>
      <c r="U211" s="27">
        <f>IF(AG211="7",I211,0)</f>
        <v>0</v>
      </c>
      <c r="V211" s="27">
        <f>IF(AG211="2",H211,0)</f>
        <v>0</v>
      </c>
      <c r="W211" s="27">
        <f>IF(AG211="2",I211,0)</f>
        <v>0</v>
      </c>
      <c r="X211" s="27">
        <f>IF(AG211="0",J211,0)</f>
        <v>0</v>
      </c>
      <c r="Y211" s="17"/>
      <c r="Z211" s="34">
        <f>IF(AD211=0,J211,0)</f>
        <v>0</v>
      </c>
      <c r="AA211" s="34">
        <f>IF(AD211=15,J211,0)</f>
        <v>0</v>
      </c>
      <c r="AB211" s="34">
        <f>IF(AD211=21,J211,0)</f>
        <v>0</v>
      </c>
      <c r="AD211" s="27">
        <v>15</v>
      </c>
      <c r="AE211" s="27">
        <f>G211*1</f>
        <v>0</v>
      </c>
      <c r="AF211" s="27">
        <f>G211*(1-1)</f>
        <v>0</v>
      </c>
      <c r="AG211" s="35" t="s">
        <v>28</v>
      </c>
      <c r="AM211" s="27">
        <f>F211*AE211</f>
        <v>0</v>
      </c>
      <c r="AN211" s="27">
        <f>F211*AF211</f>
        <v>0</v>
      </c>
      <c r="AO211" s="28" t="s">
        <v>471</v>
      </c>
      <c r="AP211" s="28" t="s">
        <v>457</v>
      </c>
      <c r="AQ211" s="17" t="s">
        <v>35</v>
      </c>
      <c r="AS211" s="27">
        <f>AM211+AN211</f>
        <v>0</v>
      </c>
      <c r="AT211" s="27">
        <f>G211/(100-AU211)*100</f>
        <v>0</v>
      </c>
      <c r="AU211" s="27">
        <v>0</v>
      </c>
      <c r="AV211" s="27">
        <f>L211</f>
        <v>0.031</v>
      </c>
    </row>
    <row r="212" spans="1:37" ht="12.75">
      <c r="A212" s="29"/>
      <c r="B212" s="30"/>
      <c r="C212" s="30" t="s">
        <v>355</v>
      </c>
      <c r="D212" s="30" t="s">
        <v>481</v>
      </c>
      <c r="E212" s="29" t="s">
        <v>10</v>
      </c>
      <c r="F212" s="29" t="s">
        <v>10</v>
      </c>
      <c r="G212" s="48" t="s">
        <v>10</v>
      </c>
      <c r="H212" s="22">
        <f>SUM(H213:H219)</f>
        <v>0</v>
      </c>
      <c r="I212" s="22">
        <f>SUM(I213:I219)</f>
        <v>0</v>
      </c>
      <c r="J212" s="22">
        <f>H212+I212</f>
        <v>0</v>
      </c>
      <c r="K212" s="17"/>
      <c r="L212" s="22">
        <f>SUM(L213:L219)</f>
        <v>8.674644999999998</v>
      </c>
      <c r="M212" s="17"/>
      <c r="Y212" s="17"/>
      <c r="AI212" s="22">
        <f>SUM(Z213:Z219)</f>
        <v>0</v>
      </c>
      <c r="AJ212" s="22">
        <f>SUM(AA213:AA219)</f>
        <v>0</v>
      </c>
      <c r="AK212" s="22">
        <f>SUM(AB213:AB219)</f>
        <v>0</v>
      </c>
    </row>
    <row r="213" spans="1:48" ht="12.75">
      <c r="A213" s="23" t="s">
        <v>482</v>
      </c>
      <c r="B213" s="23"/>
      <c r="C213" s="23" t="s">
        <v>483</v>
      </c>
      <c r="D213" s="23" t="s">
        <v>484</v>
      </c>
      <c r="E213" s="23" t="s">
        <v>485</v>
      </c>
      <c r="F213" s="24">
        <v>0.6</v>
      </c>
      <c r="G213" s="47">
        <v>0</v>
      </c>
      <c r="H213" s="25">
        <f>F213*AE213</f>
        <v>0</v>
      </c>
      <c r="I213" s="25">
        <f>J213-H213</f>
        <v>0</v>
      </c>
      <c r="J213" s="25">
        <f>F213*G213</f>
        <v>0</v>
      </c>
      <c r="K213" s="25">
        <v>5.19056</v>
      </c>
      <c r="L213" s="25">
        <f>F213*K213</f>
        <v>3.1143359999999998</v>
      </c>
      <c r="M213" s="26" t="s">
        <v>32</v>
      </c>
      <c r="P213" s="27">
        <f>IF(AG213="5",J213,0)</f>
        <v>0</v>
      </c>
      <c r="R213" s="27">
        <f>IF(AG213="1",H213,0)</f>
        <v>0</v>
      </c>
      <c r="S213" s="27">
        <f>IF(AG213="1",I213,0)</f>
        <v>0</v>
      </c>
      <c r="T213" s="27">
        <f>IF(AG213="7",H213,0)</f>
        <v>0</v>
      </c>
      <c r="U213" s="27">
        <f>IF(AG213="7",I213,0)</f>
        <v>0</v>
      </c>
      <c r="V213" s="27">
        <f>IF(AG213="2",H213,0)</f>
        <v>0</v>
      </c>
      <c r="W213" s="27">
        <f>IF(AG213="2",I213,0)</f>
        <v>0</v>
      </c>
      <c r="X213" s="27">
        <f>IF(AG213="0",J213,0)</f>
        <v>0</v>
      </c>
      <c r="Y213" s="17"/>
      <c r="Z213" s="25">
        <f>IF(AD213=0,J213,0)</f>
        <v>0</v>
      </c>
      <c r="AA213" s="25">
        <f>IF(AD213=15,J213,0)</f>
        <v>0</v>
      </c>
      <c r="AB213" s="25">
        <f>IF(AD213=21,J213,0)</f>
        <v>0</v>
      </c>
      <c r="AD213" s="27">
        <v>15</v>
      </c>
      <c r="AE213" s="27">
        <f>G213*0.667675167836234</f>
        <v>0</v>
      </c>
      <c r="AF213" s="27">
        <f>G213*(1-0.667675167836234)</f>
        <v>0</v>
      </c>
      <c r="AG213" s="26" t="s">
        <v>28</v>
      </c>
      <c r="AM213" s="27">
        <f>F213*AE213</f>
        <v>0</v>
      </c>
      <c r="AN213" s="27">
        <f>F213*AF213</f>
        <v>0</v>
      </c>
      <c r="AO213" s="28" t="s">
        <v>486</v>
      </c>
      <c r="AP213" s="28" t="s">
        <v>457</v>
      </c>
      <c r="AQ213" s="17" t="s">
        <v>35</v>
      </c>
      <c r="AS213" s="27">
        <f>AM213+AN213</f>
        <v>0</v>
      </c>
      <c r="AT213" s="27">
        <f>G213/(100-AU213)*100</f>
        <v>0</v>
      </c>
      <c r="AU213" s="27">
        <v>0</v>
      </c>
      <c r="AV213" s="27">
        <f>L213</f>
        <v>3.1143359999999998</v>
      </c>
    </row>
    <row r="214" spans="1:6" ht="12.75">
      <c r="A214" s="43"/>
      <c r="B214" s="43"/>
      <c r="C214" s="43"/>
      <c r="D214" s="31" t="s">
        <v>487</v>
      </c>
      <c r="E214" s="43"/>
      <c r="F214" s="43"/>
    </row>
    <row r="215" spans="1:48" ht="12.75">
      <c r="A215" s="23" t="s">
        <v>488</v>
      </c>
      <c r="B215" s="23"/>
      <c r="C215" s="23" t="s">
        <v>489</v>
      </c>
      <c r="D215" s="23" t="s">
        <v>490</v>
      </c>
      <c r="E215" s="23" t="s">
        <v>75</v>
      </c>
      <c r="F215" s="24">
        <v>11.4</v>
      </c>
      <c r="G215" s="47">
        <v>0</v>
      </c>
      <c r="H215" s="25">
        <f>F215*AE215</f>
        <v>0</v>
      </c>
      <c r="I215" s="25">
        <f>J215-H215</f>
        <v>0</v>
      </c>
      <c r="J215" s="25">
        <f>F215*G215</f>
        <v>0</v>
      </c>
      <c r="K215" s="25">
        <v>0.28318</v>
      </c>
      <c r="L215" s="25">
        <f>F215*K215</f>
        <v>3.228252</v>
      </c>
      <c r="M215" s="26" t="s">
        <v>32</v>
      </c>
      <c r="P215" s="27">
        <f>IF(AG215="5",J215,0)</f>
        <v>0</v>
      </c>
      <c r="R215" s="27">
        <f>IF(AG215="1",H215,0)</f>
        <v>0</v>
      </c>
      <c r="S215" s="27">
        <f>IF(AG215="1",I215,0)</f>
        <v>0</v>
      </c>
      <c r="T215" s="27">
        <f>IF(AG215="7",H215,0)</f>
        <v>0</v>
      </c>
      <c r="U215" s="27">
        <f>IF(AG215="7",I215,0)</f>
        <v>0</v>
      </c>
      <c r="V215" s="27">
        <f>IF(AG215="2",H215,0)</f>
        <v>0</v>
      </c>
      <c r="W215" s="27">
        <f>IF(AG215="2",I215,0)</f>
        <v>0</v>
      </c>
      <c r="X215" s="27">
        <f>IF(AG215="0",J215,0)</f>
        <v>0</v>
      </c>
      <c r="Y215" s="17"/>
      <c r="Z215" s="25">
        <f>IF(AD215=0,J215,0)</f>
        <v>0</v>
      </c>
      <c r="AA215" s="25">
        <f>IF(AD215=15,J215,0)</f>
        <v>0</v>
      </c>
      <c r="AB215" s="25">
        <f>IF(AD215=21,J215,0)</f>
        <v>0</v>
      </c>
      <c r="AD215" s="27">
        <v>15</v>
      </c>
      <c r="AE215" s="27">
        <f>G215*0.628617168926339</f>
        <v>0</v>
      </c>
      <c r="AF215" s="27">
        <f>G215*(1-0.628617168926339)</f>
        <v>0</v>
      </c>
      <c r="AG215" s="26" t="s">
        <v>28</v>
      </c>
      <c r="AM215" s="27">
        <f>F215*AE215</f>
        <v>0</v>
      </c>
      <c r="AN215" s="27">
        <f>F215*AF215</f>
        <v>0</v>
      </c>
      <c r="AO215" s="28" t="s">
        <v>486</v>
      </c>
      <c r="AP215" s="28" t="s">
        <v>457</v>
      </c>
      <c r="AQ215" s="17" t="s">
        <v>35</v>
      </c>
      <c r="AS215" s="27">
        <f>AM215+AN215</f>
        <v>0</v>
      </c>
      <c r="AT215" s="27">
        <f>G215/(100-AU215)*100</f>
        <v>0</v>
      </c>
      <c r="AU215" s="27">
        <v>0</v>
      </c>
      <c r="AV215" s="27">
        <f>L215</f>
        <v>3.228252</v>
      </c>
    </row>
    <row r="216" spans="1:48" ht="12.75">
      <c r="A216" s="23" t="s">
        <v>491</v>
      </c>
      <c r="B216" s="23"/>
      <c r="C216" s="23" t="s">
        <v>492</v>
      </c>
      <c r="D216" s="23" t="s">
        <v>493</v>
      </c>
      <c r="E216" s="23" t="s">
        <v>41</v>
      </c>
      <c r="F216" s="24">
        <v>13.15</v>
      </c>
      <c r="G216" s="47">
        <v>0</v>
      </c>
      <c r="H216" s="25">
        <f>F216*AE216</f>
        <v>0</v>
      </c>
      <c r="I216" s="25">
        <f>J216-H216</f>
        <v>0</v>
      </c>
      <c r="J216" s="25">
        <f>F216*G216</f>
        <v>0</v>
      </c>
      <c r="K216" s="25">
        <v>0.03558</v>
      </c>
      <c r="L216" s="25">
        <f>F216*K216</f>
        <v>0.46787700000000004</v>
      </c>
      <c r="M216" s="26" t="s">
        <v>32</v>
      </c>
      <c r="P216" s="27">
        <f>IF(AG216="5",J216,0)</f>
        <v>0</v>
      </c>
      <c r="R216" s="27">
        <f>IF(AG216="1",H216,0)</f>
        <v>0</v>
      </c>
      <c r="S216" s="27">
        <f>IF(AG216="1",I216,0)</f>
        <v>0</v>
      </c>
      <c r="T216" s="27">
        <f>IF(AG216="7",H216,0)</f>
        <v>0</v>
      </c>
      <c r="U216" s="27">
        <f>IF(AG216="7",I216,0)</f>
        <v>0</v>
      </c>
      <c r="V216" s="27">
        <f>IF(AG216="2",H216,0)</f>
        <v>0</v>
      </c>
      <c r="W216" s="27">
        <f>IF(AG216="2",I216,0)</f>
        <v>0</v>
      </c>
      <c r="X216" s="27">
        <f>IF(AG216="0",J216,0)</f>
        <v>0</v>
      </c>
      <c r="Y216" s="17"/>
      <c r="Z216" s="25">
        <f>IF(AD216=0,J216,0)</f>
        <v>0</v>
      </c>
      <c r="AA216" s="25">
        <f>IF(AD216=15,J216,0)</f>
        <v>0</v>
      </c>
      <c r="AB216" s="25">
        <f>IF(AD216=21,J216,0)</f>
        <v>0</v>
      </c>
      <c r="AD216" s="27">
        <v>15</v>
      </c>
      <c r="AE216" s="27">
        <f>G216*0.720880195599022</f>
        <v>0</v>
      </c>
      <c r="AF216" s="27">
        <f>G216*(1-0.720880195599022)</f>
        <v>0</v>
      </c>
      <c r="AG216" s="26" t="s">
        <v>28</v>
      </c>
      <c r="AM216" s="27">
        <f>F216*AE216</f>
        <v>0</v>
      </c>
      <c r="AN216" s="27">
        <f>F216*AF216</f>
        <v>0</v>
      </c>
      <c r="AO216" s="28" t="s">
        <v>486</v>
      </c>
      <c r="AP216" s="28" t="s">
        <v>457</v>
      </c>
      <c r="AQ216" s="17" t="s">
        <v>35</v>
      </c>
      <c r="AS216" s="27">
        <f>AM216+AN216</f>
        <v>0</v>
      </c>
      <c r="AT216" s="27">
        <f>G216/(100-AU216)*100</f>
        <v>0</v>
      </c>
      <c r="AU216" s="27">
        <v>0</v>
      </c>
      <c r="AV216" s="27">
        <f>L216</f>
        <v>0.46787700000000004</v>
      </c>
    </row>
    <row r="217" spans="1:48" ht="12.75">
      <c r="A217" s="23" t="s">
        <v>494</v>
      </c>
      <c r="B217" s="23"/>
      <c r="C217" s="23" t="s">
        <v>495</v>
      </c>
      <c r="D217" s="23" t="s">
        <v>496</v>
      </c>
      <c r="E217" s="23" t="s">
        <v>41</v>
      </c>
      <c r="F217" s="24">
        <v>8</v>
      </c>
      <c r="G217" s="47">
        <v>0</v>
      </c>
      <c r="H217" s="25">
        <f>F217*AE217</f>
        <v>0</v>
      </c>
      <c r="I217" s="25">
        <f>J217-H217</f>
        <v>0</v>
      </c>
      <c r="J217" s="25">
        <f>F217*G217</f>
        <v>0</v>
      </c>
      <c r="K217" s="25">
        <v>0.08134</v>
      </c>
      <c r="L217" s="25">
        <f>F217*K217</f>
        <v>0.65072</v>
      </c>
      <c r="M217" s="26" t="s">
        <v>32</v>
      </c>
      <c r="P217" s="27">
        <f>IF(AG217="5",J217,0)</f>
        <v>0</v>
      </c>
      <c r="R217" s="27">
        <f>IF(AG217="1",H217,0)</f>
        <v>0</v>
      </c>
      <c r="S217" s="27">
        <f>IF(AG217="1",I217,0)</f>
        <v>0</v>
      </c>
      <c r="T217" s="27">
        <f>IF(AG217="7",H217,0)</f>
        <v>0</v>
      </c>
      <c r="U217" s="27">
        <f>IF(AG217="7",I217,0)</f>
        <v>0</v>
      </c>
      <c r="V217" s="27">
        <f>IF(AG217="2",H217,0)</f>
        <v>0</v>
      </c>
      <c r="W217" s="27">
        <f>IF(AG217="2",I217,0)</f>
        <v>0</v>
      </c>
      <c r="X217" s="27">
        <f>IF(AG217="0",J217,0)</f>
        <v>0</v>
      </c>
      <c r="Y217" s="17"/>
      <c r="Z217" s="25">
        <f>IF(AD217=0,J217,0)</f>
        <v>0</v>
      </c>
      <c r="AA217" s="25">
        <f>IF(AD217=15,J217,0)</f>
        <v>0</v>
      </c>
      <c r="AB217" s="25">
        <f>IF(AD217=21,J217,0)</f>
        <v>0</v>
      </c>
      <c r="AD217" s="27">
        <v>15</v>
      </c>
      <c r="AE217" s="27">
        <f>G217*0.467336446394038</f>
        <v>0</v>
      </c>
      <c r="AF217" s="27">
        <f>G217*(1-0.467336446394038)</f>
        <v>0</v>
      </c>
      <c r="AG217" s="26" t="s">
        <v>28</v>
      </c>
      <c r="AM217" s="27">
        <f>F217*AE217</f>
        <v>0</v>
      </c>
      <c r="AN217" s="27">
        <f>F217*AF217</f>
        <v>0</v>
      </c>
      <c r="AO217" s="28" t="s">
        <v>486</v>
      </c>
      <c r="AP217" s="28" t="s">
        <v>457</v>
      </c>
      <c r="AQ217" s="17" t="s">
        <v>35</v>
      </c>
      <c r="AS217" s="27">
        <f>AM217+AN217</f>
        <v>0</v>
      </c>
      <c r="AT217" s="27">
        <f>G217/(100-AU217)*100</f>
        <v>0</v>
      </c>
      <c r="AU217" s="27">
        <v>0</v>
      </c>
      <c r="AV217" s="27">
        <f>L217</f>
        <v>0.65072</v>
      </c>
    </row>
    <row r="218" spans="1:48" ht="12.75">
      <c r="A218" s="23" t="s">
        <v>497</v>
      </c>
      <c r="B218" s="23"/>
      <c r="C218" s="23" t="s">
        <v>498</v>
      </c>
      <c r="D218" s="23" t="s">
        <v>499</v>
      </c>
      <c r="E218" s="23" t="s">
        <v>41</v>
      </c>
      <c r="F218" s="24">
        <v>8</v>
      </c>
      <c r="G218" s="47">
        <v>0</v>
      </c>
      <c r="H218" s="25">
        <f>F218*AE218</f>
        <v>0</v>
      </c>
      <c r="I218" s="25">
        <f>J218-H218</f>
        <v>0</v>
      </c>
      <c r="J218" s="25">
        <f>F218*G218</f>
        <v>0</v>
      </c>
      <c r="K218" s="25">
        <v>0.11327</v>
      </c>
      <c r="L218" s="25">
        <f>F218*K218</f>
        <v>0.90616</v>
      </c>
      <c r="M218" s="26" t="s">
        <v>32</v>
      </c>
      <c r="P218" s="27">
        <f>IF(AG218="5",J218,0)</f>
        <v>0</v>
      </c>
      <c r="R218" s="27">
        <f>IF(AG218="1",H218,0)</f>
        <v>0</v>
      </c>
      <c r="S218" s="27">
        <f>IF(AG218="1",I218,0)</f>
        <v>0</v>
      </c>
      <c r="T218" s="27">
        <f>IF(AG218="7",H218,0)</f>
        <v>0</v>
      </c>
      <c r="U218" s="27">
        <f>IF(AG218="7",I218,0)</f>
        <v>0</v>
      </c>
      <c r="V218" s="27">
        <f>IF(AG218="2",H218,0)</f>
        <v>0</v>
      </c>
      <c r="W218" s="27">
        <f>IF(AG218="2",I218,0)</f>
        <v>0</v>
      </c>
      <c r="X218" s="27">
        <f>IF(AG218="0",J218,0)</f>
        <v>0</v>
      </c>
      <c r="Y218" s="17"/>
      <c r="Z218" s="25">
        <f>IF(AD218=0,J218,0)</f>
        <v>0</v>
      </c>
      <c r="AA218" s="25">
        <f>IF(AD218=15,J218,0)</f>
        <v>0</v>
      </c>
      <c r="AB218" s="25">
        <f>IF(AD218=21,J218,0)</f>
        <v>0</v>
      </c>
      <c r="AD218" s="27">
        <v>15</v>
      </c>
      <c r="AE218" s="27">
        <f>G218*0.628898601398601</f>
        <v>0</v>
      </c>
      <c r="AF218" s="27">
        <f>G218*(1-0.628898601398601)</f>
        <v>0</v>
      </c>
      <c r="AG218" s="26" t="s">
        <v>28</v>
      </c>
      <c r="AM218" s="27">
        <f>F218*AE218</f>
        <v>0</v>
      </c>
      <c r="AN218" s="27">
        <f>F218*AF218</f>
        <v>0</v>
      </c>
      <c r="AO218" s="28" t="s">
        <v>486</v>
      </c>
      <c r="AP218" s="28" t="s">
        <v>457</v>
      </c>
      <c r="AQ218" s="17" t="s">
        <v>35</v>
      </c>
      <c r="AS218" s="27">
        <f>AM218+AN218</f>
        <v>0</v>
      </c>
      <c r="AT218" s="27">
        <f>G218/(100-AU218)*100</f>
        <v>0</v>
      </c>
      <c r="AU218" s="27">
        <v>0</v>
      </c>
      <c r="AV218" s="27">
        <f>L218</f>
        <v>0.90616</v>
      </c>
    </row>
    <row r="219" spans="1:48" ht="12.75">
      <c r="A219" s="23" t="s">
        <v>500</v>
      </c>
      <c r="B219" s="23"/>
      <c r="C219" s="23" t="s">
        <v>501</v>
      </c>
      <c r="D219" s="23" t="s">
        <v>502</v>
      </c>
      <c r="E219" s="23" t="s">
        <v>170</v>
      </c>
      <c r="F219" s="24">
        <v>10</v>
      </c>
      <c r="G219" s="47">
        <v>0</v>
      </c>
      <c r="H219" s="25">
        <f>F219*AE219</f>
        <v>0</v>
      </c>
      <c r="I219" s="25">
        <f>J219-H219</f>
        <v>0</v>
      </c>
      <c r="J219" s="25">
        <f>F219*G219</f>
        <v>0</v>
      </c>
      <c r="K219" s="25">
        <v>0.03073</v>
      </c>
      <c r="L219" s="25">
        <f>F219*K219</f>
        <v>0.3073</v>
      </c>
      <c r="M219" s="26" t="s">
        <v>32</v>
      </c>
      <c r="P219" s="27">
        <f>IF(AG219="5",J219,0)</f>
        <v>0</v>
      </c>
      <c r="R219" s="27">
        <f>IF(AG219="1",H219,0)</f>
        <v>0</v>
      </c>
      <c r="S219" s="27">
        <f>IF(AG219="1",I219,0)</f>
        <v>0</v>
      </c>
      <c r="T219" s="27">
        <f>IF(AG219="7",H219,0)</f>
        <v>0</v>
      </c>
      <c r="U219" s="27">
        <f>IF(AG219="7",I219,0)</f>
        <v>0</v>
      </c>
      <c r="V219" s="27">
        <f>IF(AG219="2",H219,0)</f>
        <v>0</v>
      </c>
      <c r="W219" s="27">
        <f>IF(AG219="2",I219,0)</f>
        <v>0</v>
      </c>
      <c r="X219" s="27">
        <f>IF(AG219="0",J219,0)</f>
        <v>0</v>
      </c>
      <c r="Y219" s="17"/>
      <c r="Z219" s="25">
        <f>IF(AD219=0,J219,0)</f>
        <v>0</v>
      </c>
      <c r="AA219" s="25">
        <f>IF(AD219=15,J219,0)</f>
        <v>0</v>
      </c>
      <c r="AB219" s="25">
        <f>IF(AD219=21,J219,0)</f>
        <v>0</v>
      </c>
      <c r="AD219" s="27">
        <v>15</v>
      </c>
      <c r="AE219" s="27">
        <f>G219*0.476239316239316</f>
        <v>0</v>
      </c>
      <c r="AF219" s="27">
        <f>G219*(1-0.476239316239316)</f>
        <v>0</v>
      </c>
      <c r="AG219" s="26" t="s">
        <v>28</v>
      </c>
      <c r="AM219" s="27">
        <f>F219*AE219</f>
        <v>0</v>
      </c>
      <c r="AN219" s="27">
        <f>F219*AF219</f>
        <v>0</v>
      </c>
      <c r="AO219" s="28" t="s">
        <v>486</v>
      </c>
      <c r="AP219" s="28" t="s">
        <v>457</v>
      </c>
      <c r="AQ219" s="17" t="s">
        <v>35</v>
      </c>
      <c r="AS219" s="27">
        <f>AM219+AN219</f>
        <v>0</v>
      </c>
      <c r="AT219" s="27">
        <f>G219/(100-AU219)*100</f>
        <v>0</v>
      </c>
      <c r="AU219" s="27">
        <v>0</v>
      </c>
      <c r="AV219" s="27">
        <f>L219</f>
        <v>0.3073</v>
      </c>
    </row>
    <row r="220" spans="1:37" ht="12.75">
      <c r="A220" s="29"/>
      <c r="B220" s="30"/>
      <c r="C220" s="30" t="s">
        <v>503</v>
      </c>
      <c r="D220" s="30" t="s">
        <v>504</v>
      </c>
      <c r="E220" s="29" t="s">
        <v>10</v>
      </c>
      <c r="F220" s="29" t="s">
        <v>10</v>
      </c>
      <c r="G220" s="48" t="s">
        <v>10</v>
      </c>
      <c r="H220" s="22">
        <f>SUM(H221:H229)</f>
        <v>0</v>
      </c>
      <c r="I220" s="22">
        <f>SUM(I221:I229)</f>
        <v>0</v>
      </c>
      <c r="J220" s="22">
        <f>H220+I220</f>
        <v>0</v>
      </c>
      <c r="K220" s="17"/>
      <c r="L220" s="22">
        <f>SUM(L221:L229)</f>
        <v>1.8771588</v>
      </c>
      <c r="M220" s="17"/>
      <c r="Y220" s="17"/>
      <c r="AI220" s="22">
        <f>SUM(Z221:Z229)</f>
        <v>0</v>
      </c>
      <c r="AJ220" s="22">
        <f>SUM(AA221:AA229)</f>
        <v>0</v>
      </c>
      <c r="AK220" s="22">
        <f>SUM(AB221:AB229)</f>
        <v>0</v>
      </c>
    </row>
    <row r="221" spans="1:48" ht="12.75">
      <c r="A221" s="23" t="s">
        <v>505</v>
      </c>
      <c r="B221" s="23"/>
      <c r="C221" s="23" t="s">
        <v>506</v>
      </c>
      <c r="D221" s="23" t="s">
        <v>507</v>
      </c>
      <c r="E221" s="23" t="s">
        <v>75</v>
      </c>
      <c r="F221" s="24">
        <v>155.76</v>
      </c>
      <c r="G221" s="47">
        <v>0</v>
      </c>
      <c r="H221" s="25">
        <f>F221*AE221</f>
        <v>0</v>
      </c>
      <c r="I221" s="25">
        <f>J221-H221</f>
        <v>0</v>
      </c>
      <c r="J221" s="25">
        <f>F221*G221</f>
        <v>0</v>
      </c>
      <c r="K221" s="25">
        <v>0.00033</v>
      </c>
      <c r="L221" s="25">
        <f>F221*K221</f>
        <v>0.051400799999999996</v>
      </c>
      <c r="M221" s="26" t="s">
        <v>32</v>
      </c>
      <c r="P221" s="27">
        <f>IF(AG221="5",J221,0)</f>
        <v>0</v>
      </c>
      <c r="R221" s="27">
        <f>IF(AG221="1",H221,0)</f>
        <v>0</v>
      </c>
      <c r="S221" s="27">
        <f>IF(AG221="1",I221,0)</f>
        <v>0</v>
      </c>
      <c r="T221" s="27">
        <f>IF(AG221="7",H221,0)</f>
        <v>0</v>
      </c>
      <c r="U221" s="27">
        <f>IF(AG221="7",I221,0)</f>
        <v>0</v>
      </c>
      <c r="V221" s="27">
        <f>IF(AG221="2",H221,0)</f>
        <v>0</v>
      </c>
      <c r="W221" s="27">
        <f>IF(AG221="2",I221,0)</f>
        <v>0</v>
      </c>
      <c r="X221" s="27">
        <f>IF(AG221="0",J221,0)</f>
        <v>0</v>
      </c>
      <c r="Y221" s="17"/>
      <c r="Z221" s="25">
        <f>IF(AD221=0,J221,0)</f>
        <v>0</v>
      </c>
      <c r="AA221" s="25">
        <f>IF(AD221=15,J221,0)</f>
        <v>0</v>
      </c>
      <c r="AB221" s="25">
        <f>IF(AD221=21,J221,0)</f>
        <v>0</v>
      </c>
      <c r="AD221" s="27">
        <v>15</v>
      </c>
      <c r="AE221" s="27">
        <f>G221*0.559670486159732</f>
        <v>0</v>
      </c>
      <c r="AF221" s="27">
        <f>G221*(1-0.559670486159732)</f>
        <v>0</v>
      </c>
      <c r="AG221" s="26" t="s">
        <v>54</v>
      </c>
      <c r="AM221" s="27">
        <f>F221*AE221</f>
        <v>0</v>
      </c>
      <c r="AN221" s="27">
        <f>F221*AF221</f>
        <v>0</v>
      </c>
      <c r="AO221" s="28" t="s">
        <v>508</v>
      </c>
      <c r="AP221" s="28" t="s">
        <v>509</v>
      </c>
      <c r="AQ221" s="17" t="s">
        <v>35</v>
      </c>
      <c r="AS221" s="27">
        <f>AM221+AN221</f>
        <v>0</v>
      </c>
      <c r="AT221" s="27">
        <f>G221/(100-AU221)*100</f>
        <v>0</v>
      </c>
      <c r="AU221" s="27">
        <v>0</v>
      </c>
      <c r="AV221" s="27">
        <f>L221</f>
        <v>0.051400799999999996</v>
      </c>
    </row>
    <row r="222" spans="1:6" ht="12.75">
      <c r="A222" s="43"/>
      <c r="B222" s="43"/>
      <c r="C222" s="43"/>
      <c r="D222" s="31" t="s">
        <v>510</v>
      </c>
      <c r="E222" s="43"/>
      <c r="F222" s="43"/>
    </row>
    <row r="223" spans="1:48" ht="12.75">
      <c r="A223" s="23" t="s">
        <v>511</v>
      </c>
      <c r="B223" s="23"/>
      <c r="C223" s="23" t="s">
        <v>512</v>
      </c>
      <c r="D223" s="23" t="s">
        <v>513</v>
      </c>
      <c r="E223" s="23" t="s">
        <v>75</v>
      </c>
      <c r="F223" s="24">
        <v>155.76</v>
      </c>
      <c r="G223" s="47">
        <v>0</v>
      </c>
      <c r="H223" s="25">
        <f>F223*AE223</f>
        <v>0</v>
      </c>
      <c r="I223" s="25">
        <f>J223-H223</f>
        <v>0</v>
      </c>
      <c r="J223" s="25">
        <f>F223*G223</f>
        <v>0</v>
      </c>
      <c r="K223" s="25">
        <v>0.00082</v>
      </c>
      <c r="L223" s="25">
        <f>F223*K223</f>
        <v>0.12772319999999998</v>
      </c>
      <c r="M223" s="26" t="s">
        <v>32</v>
      </c>
      <c r="P223" s="27">
        <f>IF(AG223="5",J223,0)</f>
        <v>0</v>
      </c>
      <c r="R223" s="27">
        <f>IF(AG223="1",H223,0)</f>
        <v>0</v>
      </c>
      <c r="S223" s="27">
        <f>IF(AG223="1",I223,0)</f>
        <v>0</v>
      </c>
      <c r="T223" s="27">
        <f>IF(AG223="7",H223,0)</f>
        <v>0</v>
      </c>
      <c r="U223" s="27">
        <f>IF(AG223="7",I223,0)</f>
        <v>0</v>
      </c>
      <c r="V223" s="27">
        <f>IF(AG223="2",H223,0)</f>
        <v>0</v>
      </c>
      <c r="W223" s="27">
        <f>IF(AG223="2",I223,0)</f>
        <v>0</v>
      </c>
      <c r="X223" s="27">
        <f>IF(AG223="0",J223,0)</f>
        <v>0</v>
      </c>
      <c r="Y223" s="17"/>
      <c r="Z223" s="25">
        <f>IF(AD223=0,J223,0)</f>
        <v>0</v>
      </c>
      <c r="AA223" s="25">
        <f>IF(AD223=15,J223,0)</f>
        <v>0</v>
      </c>
      <c r="AB223" s="25">
        <f>IF(AD223=21,J223,0)</f>
        <v>0</v>
      </c>
      <c r="AD223" s="27">
        <v>15</v>
      </c>
      <c r="AE223" s="27">
        <f>G223*0.0818461538461538</f>
        <v>0</v>
      </c>
      <c r="AF223" s="27">
        <f>G223*(1-0.0818461538461538)</f>
        <v>0</v>
      </c>
      <c r="AG223" s="26" t="s">
        <v>54</v>
      </c>
      <c r="AM223" s="27">
        <f>F223*AE223</f>
        <v>0</v>
      </c>
      <c r="AN223" s="27">
        <f>F223*AF223</f>
        <v>0</v>
      </c>
      <c r="AO223" s="28" t="s">
        <v>508</v>
      </c>
      <c r="AP223" s="28" t="s">
        <v>509</v>
      </c>
      <c r="AQ223" s="17" t="s">
        <v>35</v>
      </c>
      <c r="AS223" s="27">
        <f>AM223+AN223</f>
        <v>0</v>
      </c>
      <c r="AT223" s="27">
        <f>G223/(100-AU223)*100</f>
        <v>0</v>
      </c>
      <c r="AU223" s="27">
        <v>0</v>
      </c>
      <c r="AV223" s="27">
        <f>L223</f>
        <v>0.12772319999999998</v>
      </c>
    </row>
    <row r="224" spans="1:6" ht="12.75">
      <c r="A224" s="43"/>
      <c r="B224" s="43"/>
      <c r="C224" s="43"/>
      <c r="D224" s="31" t="s">
        <v>514</v>
      </c>
      <c r="E224" s="43"/>
      <c r="F224" s="43"/>
    </row>
    <row r="225" spans="1:48" ht="12.75">
      <c r="A225" s="32" t="s">
        <v>515</v>
      </c>
      <c r="B225" s="32"/>
      <c r="C225" s="32" t="s">
        <v>516</v>
      </c>
      <c r="D225" s="32" t="s">
        <v>517</v>
      </c>
      <c r="E225" s="32" t="s">
        <v>75</v>
      </c>
      <c r="F225" s="33">
        <v>179.124</v>
      </c>
      <c r="G225" s="50">
        <v>0</v>
      </c>
      <c r="H225" s="34">
        <f>F225*AE225</f>
        <v>0</v>
      </c>
      <c r="I225" s="34">
        <f>J225-H225</f>
        <v>0</v>
      </c>
      <c r="J225" s="34">
        <f>F225*G225</f>
        <v>0</v>
      </c>
      <c r="K225" s="34">
        <v>0.0046</v>
      </c>
      <c r="L225" s="34">
        <f>F225*K225</f>
        <v>0.8239704</v>
      </c>
      <c r="M225" s="35" t="s">
        <v>32</v>
      </c>
      <c r="P225" s="27">
        <f>IF(AG225="5",J225,0)</f>
        <v>0</v>
      </c>
      <c r="R225" s="27">
        <f>IF(AG225="1",H225,0)</f>
        <v>0</v>
      </c>
      <c r="S225" s="27">
        <f>IF(AG225="1",I225,0)</f>
        <v>0</v>
      </c>
      <c r="T225" s="27">
        <f>IF(AG225="7",H225,0)</f>
        <v>0</v>
      </c>
      <c r="U225" s="27">
        <f>IF(AG225="7",I225,0)</f>
        <v>0</v>
      </c>
      <c r="V225" s="27">
        <f>IF(AG225="2",H225,0)</f>
        <v>0</v>
      </c>
      <c r="W225" s="27">
        <f>IF(AG225="2",I225,0)</f>
        <v>0</v>
      </c>
      <c r="X225" s="27">
        <f>IF(AG225="0",J225,0)</f>
        <v>0</v>
      </c>
      <c r="Y225" s="17"/>
      <c r="Z225" s="34">
        <f>IF(AD225=0,J225,0)</f>
        <v>0</v>
      </c>
      <c r="AA225" s="34">
        <f>IF(AD225=15,J225,0)</f>
        <v>0</v>
      </c>
      <c r="AB225" s="34">
        <f>IF(AD225=21,J225,0)</f>
        <v>0</v>
      </c>
      <c r="AD225" s="27">
        <v>15</v>
      </c>
      <c r="AE225" s="27">
        <f>G225*1</f>
        <v>0</v>
      </c>
      <c r="AF225" s="27">
        <f>G225*(1-1)</f>
        <v>0</v>
      </c>
      <c r="AG225" s="35" t="s">
        <v>54</v>
      </c>
      <c r="AM225" s="27">
        <f>F225*AE225</f>
        <v>0</v>
      </c>
      <c r="AN225" s="27">
        <f>F225*AF225</f>
        <v>0</v>
      </c>
      <c r="AO225" s="28" t="s">
        <v>508</v>
      </c>
      <c r="AP225" s="28" t="s">
        <v>509</v>
      </c>
      <c r="AQ225" s="17" t="s">
        <v>35</v>
      </c>
      <c r="AS225" s="27">
        <f>AM225+AN225</f>
        <v>0</v>
      </c>
      <c r="AT225" s="27">
        <f>G225/(100-AU225)*100</f>
        <v>0</v>
      </c>
      <c r="AU225" s="27">
        <v>0</v>
      </c>
      <c r="AV225" s="27">
        <f>L225</f>
        <v>0.8239704</v>
      </c>
    </row>
    <row r="226" spans="1:48" ht="12.75">
      <c r="A226" s="32" t="s">
        <v>518</v>
      </c>
      <c r="B226" s="32"/>
      <c r="C226" s="32" t="s">
        <v>519</v>
      </c>
      <c r="D226" s="32" t="s">
        <v>520</v>
      </c>
      <c r="E226" s="32" t="s">
        <v>75</v>
      </c>
      <c r="F226" s="33">
        <v>179.124</v>
      </c>
      <c r="G226" s="50">
        <v>0</v>
      </c>
      <c r="H226" s="34">
        <f>F226*AE226</f>
        <v>0</v>
      </c>
      <c r="I226" s="34">
        <f>J226-H226</f>
        <v>0</v>
      </c>
      <c r="J226" s="34">
        <f>F226*G226</f>
        <v>0</v>
      </c>
      <c r="K226" s="34">
        <v>0.0045</v>
      </c>
      <c r="L226" s="34">
        <f>F226*K226</f>
        <v>0.8060579999999999</v>
      </c>
      <c r="M226" s="35" t="s">
        <v>32</v>
      </c>
      <c r="P226" s="27">
        <f>IF(AG226="5",J226,0)</f>
        <v>0</v>
      </c>
      <c r="R226" s="27">
        <f>IF(AG226="1",H226,0)</f>
        <v>0</v>
      </c>
      <c r="S226" s="27">
        <f>IF(AG226="1",I226,0)</f>
        <v>0</v>
      </c>
      <c r="T226" s="27">
        <f>IF(AG226="7",H226,0)</f>
        <v>0</v>
      </c>
      <c r="U226" s="27">
        <f>IF(AG226="7",I226,0)</f>
        <v>0</v>
      </c>
      <c r="V226" s="27">
        <f>IF(AG226="2",H226,0)</f>
        <v>0</v>
      </c>
      <c r="W226" s="27">
        <f>IF(AG226="2",I226,0)</f>
        <v>0</v>
      </c>
      <c r="X226" s="27">
        <f>IF(AG226="0",J226,0)</f>
        <v>0</v>
      </c>
      <c r="Y226" s="17"/>
      <c r="Z226" s="34">
        <f>IF(AD226=0,J226,0)</f>
        <v>0</v>
      </c>
      <c r="AA226" s="34">
        <f>IF(AD226=15,J226,0)</f>
        <v>0</v>
      </c>
      <c r="AB226" s="34">
        <f>IF(AD226=21,J226,0)</f>
        <v>0</v>
      </c>
      <c r="AD226" s="27">
        <v>15</v>
      </c>
      <c r="AE226" s="27">
        <f>G226*1</f>
        <v>0</v>
      </c>
      <c r="AF226" s="27">
        <f>G226*(1-1)</f>
        <v>0</v>
      </c>
      <c r="AG226" s="35" t="s">
        <v>54</v>
      </c>
      <c r="AM226" s="27">
        <f>F226*AE226</f>
        <v>0</v>
      </c>
      <c r="AN226" s="27">
        <f>F226*AF226</f>
        <v>0</v>
      </c>
      <c r="AO226" s="28" t="s">
        <v>508</v>
      </c>
      <c r="AP226" s="28" t="s">
        <v>509</v>
      </c>
      <c r="AQ226" s="17" t="s">
        <v>35</v>
      </c>
      <c r="AS226" s="27">
        <f>AM226+AN226</f>
        <v>0</v>
      </c>
      <c r="AT226" s="27">
        <f>G226/(100-AU226)*100</f>
        <v>0</v>
      </c>
      <c r="AU226" s="27">
        <v>0</v>
      </c>
      <c r="AV226" s="27">
        <f>L226</f>
        <v>0.8060579999999999</v>
      </c>
    </row>
    <row r="227" spans="1:48" ht="12.75">
      <c r="A227" s="23" t="s">
        <v>521</v>
      </c>
      <c r="B227" s="23"/>
      <c r="C227" s="23" t="s">
        <v>522</v>
      </c>
      <c r="D227" s="23" t="s">
        <v>523</v>
      </c>
      <c r="E227" s="23" t="s">
        <v>75</v>
      </c>
      <c r="F227" s="24">
        <v>18.48</v>
      </c>
      <c r="G227" s="47">
        <v>0</v>
      </c>
      <c r="H227" s="25">
        <f>F227*AE227</f>
        <v>0</v>
      </c>
      <c r="I227" s="25">
        <f>J227-H227</f>
        <v>0</v>
      </c>
      <c r="J227" s="25">
        <f>F227*G227</f>
        <v>0</v>
      </c>
      <c r="K227" s="25">
        <v>0.00368</v>
      </c>
      <c r="L227" s="25">
        <f>F227*K227</f>
        <v>0.06800640000000001</v>
      </c>
      <c r="M227" s="26" t="s">
        <v>32</v>
      </c>
      <c r="P227" s="27">
        <f>IF(AG227="5",J227,0)</f>
        <v>0</v>
      </c>
      <c r="R227" s="27">
        <f>IF(AG227="1",H227,0)</f>
        <v>0</v>
      </c>
      <c r="S227" s="27">
        <f>IF(AG227="1",I227,0)</f>
        <v>0</v>
      </c>
      <c r="T227" s="27">
        <f>IF(AG227="7",H227,0)</f>
        <v>0</v>
      </c>
      <c r="U227" s="27">
        <f>IF(AG227="7",I227,0)</f>
        <v>0</v>
      </c>
      <c r="V227" s="27">
        <f>IF(AG227="2",H227,0)</f>
        <v>0</v>
      </c>
      <c r="W227" s="27">
        <f>IF(AG227="2",I227,0)</f>
        <v>0</v>
      </c>
      <c r="X227" s="27">
        <f>IF(AG227="0",J227,0)</f>
        <v>0</v>
      </c>
      <c r="Y227" s="17"/>
      <c r="Z227" s="25">
        <f>IF(AD227=0,J227,0)</f>
        <v>0</v>
      </c>
      <c r="AA227" s="25">
        <f>IF(AD227=15,J227,0)</f>
        <v>0</v>
      </c>
      <c r="AB227" s="25">
        <f>IF(AD227=21,J227,0)</f>
        <v>0</v>
      </c>
      <c r="AD227" s="27">
        <v>15</v>
      </c>
      <c r="AE227" s="27">
        <f>G227*0.581887287024902</f>
        <v>0</v>
      </c>
      <c r="AF227" s="27">
        <f>G227*(1-0.581887287024902)</f>
        <v>0</v>
      </c>
      <c r="AG227" s="26" t="s">
        <v>54</v>
      </c>
      <c r="AM227" s="27">
        <f>F227*AE227</f>
        <v>0</v>
      </c>
      <c r="AN227" s="27">
        <f>F227*AF227</f>
        <v>0</v>
      </c>
      <c r="AO227" s="28" t="s">
        <v>508</v>
      </c>
      <c r="AP227" s="28" t="s">
        <v>509</v>
      </c>
      <c r="AQ227" s="17" t="s">
        <v>35</v>
      </c>
      <c r="AS227" s="27">
        <f>AM227+AN227</f>
        <v>0</v>
      </c>
      <c r="AT227" s="27">
        <f>G227/(100-AU227)*100</f>
        <v>0</v>
      </c>
      <c r="AU227" s="27">
        <v>0</v>
      </c>
      <c r="AV227" s="27">
        <f>L227</f>
        <v>0.06800640000000001</v>
      </c>
    </row>
    <row r="228" spans="1:6" ht="12.75">
      <c r="A228" s="43"/>
      <c r="B228" s="43"/>
      <c r="C228" s="43"/>
      <c r="D228" s="31" t="s">
        <v>524</v>
      </c>
      <c r="E228" s="43"/>
      <c r="F228" s="43"/>
    </row>
    <row r="229" spans="1:48" ht="12.75">
      <c r="A229" s="23" t="s">
        <v>525</v>
      </c>
      <c r="B229" s="23"/>
      <c r="C229" s="23" t="s">
        <v>526</v>
      </c>
      <c r="D229" s="23" t="s">
        <v>527</v>
      </c>
      <c r="E229" s="23" t="s">
        <v>109</v>
      </c>
      <c r="F229" s="24">
        <v>1.877</v>
      </c>
      <c r="G229" s="47">
        <v>0</v>
      </c>
      <c r="H229" s="25">
        <f>F229*AE229</f>
        <v>0</v>
      </c>
      <c r="I229" s="25">
        <f>J229-H229</f>
        <v>0</v>
      </c>
      <c r="J229" s="25">
        <f>F229*G229</f>
        <v>0</v>
      </c>
      <c r="K229" s="25">
        <v>0</v>
      </c>
      <c r="L229" s="25">
        <f>F229*K229</f>
        <v>0</v>
      </c>
      <c r="M229" s="26" t="s">
        <v>32</v>
      </c>
      <c r="P229" s="27">
        <f>IF(AG229="5",J229,0)</f>
        <v>0</v>
      </c>
      <c r="R229" s="27">
        <f>IF(AG229="1",H229,0)</f>
        <v>0</v>
      </c>
      <c r="S229" s="27">
        <f>IF(AG229="1",I229,0)</f>
        <v>0</v>
      </c>
      <c r="T229" s="27">
        <f>IF(AG229="7",H229,0)</f>
        <v>0</v>
      </c>
      <c r="U229" s="27">
        <f>IF(AG229="7",I229,0)</f>
        <v>0</v>
      </c>
      <c r="V229" s="27">
        <f>IF(AG229="2",H229,0)</f>
        <v>0</v>
      </c>
      <c r="W229" s="27">
        <f>IF(AG229="2",I229,0)</f>
        <v>0</v>
      </c>
      <c r="X229" s="27">
        <f>IF(AG229="0",J229,0)</f>
        <v>0</v>
      </c>
      <c r="Y229" s="17"/>
      <c r="Z229" s="25">
        <f>IF(AD229=0,J229,0)</f>
        <v>0</v>
      </c>
      <c r="AA229" s="25">
        <f>IF(AD229=15,J229,0)</f>
        <v>0</v>
      </c>
      <c r="AB229" s="25">
        <f>IF(AD229=21,J229,0)</f>
        <v>0</v>
      </c>
      <c r="AD229" s="27">
        <v>15</v>
      </c>
      <c r="AE229" s="27">
        <f>G229*0</f>
        <v>0</v>
      </c>
      <c r="AF229" s="27">
        <f>G229*(1-0)</f>
        <v>0</v>
      </c>
      <c r="AG229" s="26" t="s">
        <v>49</v>
      </c>
      <c r="AM229" s="27">
        <f>F229*AE229</f>
        <v>0</v>
      </c>
      <c r="AN229" s="27">
        <f>F229*AF229</f>
        <v>0</v>
      </c>
      <c r="AO229" s="28" t="s">
        <v>508</v>
      </c>
      <c r="AP229" s="28" t="s">
        <v>509</v>
      </c>
      <c r="AQ229" s="17" t="s">
        <v>35</v>
      </c>
      <c r="AS229" s="27">
        <f>AM229+AN229</f>
        <v>0</v>
      </c>
      <c r="AT229" s="27">
        <f>G229/(100-AU229)*100</f>
        <v>0</v>
      </c>
      <c r="AU229" s="27">
        <v>0</v>
      </c>
      <c r="AV229" s="27">
        <f>L229</f>
        <v>0</v>
      </c>
    </row>
    <row r="230" spans="1:37" ht="12.75">
      <c r="A230" s="29"/>
      <c r="B230" s="30"/>
      <c r="C230" s="30" t="s">
        <v>528</v>
      </c>
      <c r="D230" s="30" t="s">
        <v>529</v>
      </c>
      <c r="E230" s="29" t="s">
        <v>10</v>
      </c>
      <c r="F230" s="29" t="s">
        <v>10</v>
      </c>
      <c r="G230" s="48" t="s">
        <v>10</v>
      </c>
      <c r="H230" s="22">
        <f>SUM(H231:H235)</f>
        <v>0</v>
      </c>
      <c r="I230" s="22">
        <f>SUM(I231:I235)</f>
        <v>0</v>
      </c>
      <c r="J230" s="22">
        <f>H230+I230</f>
        <v>0</v>
      </c>
      <c r="K230" s="17"/>
      <c r="L230" s="22">
        <f>SUM(L231:L235)</f>
        <v>0.11716420000000001</v>
      </c>
      <c r="M230" s="17"/>
      <c r="Y230" s="17"/>
      <c r="AI230" s="22">
        <f>SUM(Z231:Z235)</f>
        <v>0</v>
      </c>
      <c r="AJ230" s="22">
        <f>SUM(AA231:AA235)</f>
        <v>0</v>
      </c>
      <c r="AK230" s="22">
        <f>SUM(AB231:AB235)</f>
        <v>0</v>
      </c>
    </row>
    <row r="231" spans="1:48" ht="12.75">
      <c r="A231" s="23" t="s">
        <v>530</v>
      </c>
      <c r="B231" s="23"/>
      <c r="C231" s="23" t="s">
        <v>531</v>
      </c>
      <c r="D231" s="23" t="s">
        <v>532</v>
      </c>
      <c r="E231" s="23" t="s">
        <v>75</v>
      </c>
      <c r="F231" s="24">
        <v>41.255</v>
      </c>
      <c r="G231" s="47">
        <v>0</v>
      </c>
      <c r="H231" s="25">
        <f>F231*AE231</f>
        <v>0</v>
      </c>
      <c r="I231" s="25">
        <f>J231-H231</f>
        <v>0</v>
      </c>
      <c r="J231" s="25">
        <f>F231*G231</f>
        <v>0</v>
      </c>
      <c r="K231" s="25">
        <v>0.00261</v>
      </c>
      <c r="L231" s="25">
        <f>F231*K231</f>
        <v>0.10767555000000001</v>
      </c>
      <c r="M231" s="26" t="s">
        <v>32</v>
      </c>
      <c r="P231" s="27">
        <f>IF(AG231="5",J231,0)</f>
        <v>0</v>
      </c>
      <c r="R231" s="27">
        <f>IF(AG231="1",H231,0)</f>
        <v>0</v>
      </c>
      <c r="S231" s="27">
        <f>IF(AG231="1",I231,0)</f>
        <v>0</v>
      </c>
      <c r="T231" s="27">
        <f>IF(AG231="7",H231,0)</f>
        <v>0</v>
      </c>
      <c r="U231" s="27">
        <f>IF(AG231="7",I231,0)</f>
        <v>0</v>
      </c>
      <c r="V231" s="27">
        <f>IF(AG231="2",H231,0)</f>
        <v>0</v>
      </c>
      <c r="W231" s="27">
        <f>IF(AG231="2",I231,0)</f>
        <v>0</v>
      </c>
      <c r="X231" s="27">
        <f>IF(AG231="0",J231,0)</f>
        <v>0</v>
      </c>
      <c r="Y231" s="17"/>
      <c r="Z231" s="25">
        <f>IF(AD231=0,J231,0)</f>
        <v>0</v>
      </c>
      <c r="AA231" s="25">
        <f>IF(AD231=15,J231,0)</f>
        <v>0</v>
      </c>
      <c r="AB231" s="25">
        <f>IF(AD231=21,J231,0)</f>
        <v>0</v>
      </c>
      <c r="AD231" s="27">
        <v>15</v>
      </c>
      <c r="AE231" s="27">
        <f>G231*0.630444444444444</f>
        <v>0</v>
      </c>
      <c r="AF231" s="27">
        <f>G231*(1-0.630444444444444)</f>
        <v>0</v>
      </c>
      <c r="AG231" s="26" t="s">
        <v>54</v>
      </c>
      <c r="AM231" s="27">
        <f>F231*AE231</f>
        <v>0</v>
      </c>
      <c r="AN231" s="27">
        <f>F231*AF231</f>
        <v>0</v>
      </c>
      <c r="AO231" s="28" t="s">
        <v>533</v>
      </c>
      <c r="AP231" s="28" t="s">
        <v>509</v>
      </c>
      <c r="AQ231" s="17" t="s">
        <v>35</v>
      </c>
      <c r="AS231" s="27">
        <f>AM231+AN231</f>
        <v>0</v>
      </c>
      <c r="AT231" s="27">
        <f>G231/(100-AU231)*100</f>
        <v>0</v>
      </c>
      <c r="AU231" s="27">
        <v>0</v>
      </c>
      <c r="AV231" s="27">
        <f>L231</f>
        <v>0.10767555000000001</v>
      </c>
    </row>
    <row r="232" spans="1:6" ht="12.75">
      <c r="A232" s="43"/>
      <c r="B232" s="43"/>
      <c r="C232" s="43"/>
      <c r="D232" s="31" t="s">
        <v>534</v>
      </c>
      <c r="E232" s="43"/>
      <c r="F232" s="43"/>
    </row>
    <row r="233" spans="1:48" ht="12.75">
      <c r="A233" s="23" t="s">
        <v>535</v>
      </c>
      <c r="B233" s="23"/>
      <c r="C233" s="23" t="s">
        <v>536</v>
      </c>
      <c r="D233" s="23" t="s">
        <v>537</v>
      </c>
      <c r="E233" s="23" t="s">
        <v>75</v>
      </c>
      <c r="F233" s="24">
        <v>41.255</v>
      </c>
      <c r="G233" s="47">
        <v>0</v>
      </c>
      <c r="H233" s="25">
        <f>F233*AE233</f>
        <v>0</v>
      </c>
      <c r="I233" s="25">
        <f>J233-H233</f>
        <v>0</v>
      </c>
      <c r="J233" s="25">
        <f>F233*G233</f>
        <v>0</v>
      </c>
      <c r="K233" s="25">
        <v>0.00023</v>
      </c>
      <c r="L233" s="25">
        <f>F233*K233</f>
        <v>0.009488650000000001</v>
      </c>
      <c r="M233" s="26" t="s">
        <v>32</v>
      </c>
      <c r="P233" s="27">
        <f>IF(AG233="5",J233,0)</f>
        <v>0</v>
      </c>
      <c r="R233" s="27">
        <f>IF(AG233="1",H233,0)</f>
        <v>0</v>
      </c>
      <c r="S233" s="27">
        <f>IF(AG233="1",I233,0)</f>
        <v>0</v>
      </c>
      <c r="T233" s="27">
        <f>IF(AG233="7",H233,0)</f>
        <v>0</v>
      </c>
      <c r="U233" s="27">
        <f>IF(AG233="7",I233,0)</f>
        <v>0</v>
      </c>
      <c r="V233" s="27">
        <f>IF(AG233="2",H233,0)</f>
        <v>0</v>
      </c>
      <c r="W233" s="27">
        <f>IF(AG233="2",I233,0)</f>
        <v>0</v>
      </c>
      <c r="X233" s="27">
        <f>IF(AG233="0",J233,0)</f>
        <v>0</v>
      </c>
      <c r="Y233" s="17"/>
      <c r="Z233" s="25">
        <f>IF(AD233=0,J233,0)</f>
        <v>0</v>
      </c>
      <c r="AA233" s="25">
        <f>IF(AD233=15,J233,0)</f>
        <v>0</v>
      </c>
      <c r="AB233" s="25">
        <f>IF(AD233=21,J233,0)</f>
        <v>0</v>
      </c>
      <c r="AD233" s="27">
        <v>15</v>
      </c>
      <c r="AE233" s="27">
        <f>G233*0.334938088384035</f>
        <v>0</v>
      </c>
      <c r="AF233" s="27">
        <f>G233*(1-0.334938088384035)</f>
        <v>0</v>
      </c>
      <c r="AG233" s="26" t="s">
        <v>54</v>
      </c>
      <c r="AM233" s="27">
        <f>F233*AE233</f>
        <v>0</v>
      </c>
      <c r="AN233" s="27">
        <f>F233*AF233</f>
        <v>0</v>
      </c>
      <c r="AO233" s="28" t="s">
        <v>533</v>
      </c>
      <c r="AP233" s="28" t="s">
        <v>509</v>
      </c>
      <c r="AQ233" s="17" t="s">
        <v>35</v>
      </c>
      <c r="AS233" s="27">
        <f>AM233+AN233</f>
        <v>0</v>
      </c>
      <c r="AT233" s="27">
        <f>G233/(100-AU233)*100</f>
        <v>0</v>
      </c>
      <c r="AU233" s="27">
        <v>0</v>
      </c>
      <c r="AV233" s="27">
        <f>L233</f>
        <v>0.009488650000000001</v>
      </c>
    </row>
    <row r="234" spans="1:6" ht="26.25">
      <c r="A234" s="43"/>
      <c r="B234" s="43"/>
      <c r="C234" s="43"/>
      <c r="D234" s="31" t="s">
        <v>538</v>
      </c>
      <c r="E234" s="43"/>
      <c r="F234" s="43"/>
    </row>
    <row r="235" spans="1:48" ht="12.75">
      <c r="A235" s="23" t="s">
        <v>539</v>
      </c>
      <c r="B235" s="23"/>
      <c r="C235" s="23" t="s">
        <v>540</v>
      </c>
      <c r="D235" s="23" t="s">
        <v>541</v>
      </c>
      <c r="E235" s="23" t="s">
        <v>109</v>
      </c>
      <c r="F235" s="24">
        <v>0.117</v>
      </c>
      <c r="G235" s="47">
        <v>0</v>
      </c>
      <c r="H235" s="25">
        <f>F235*AE235</f>
        <v>0</v>
      </c>
      <c r="I235" s="25">
        <f>J235-H235</f>
        <v>0</v>
      </c>
      <c r="J235" s="25">
        <f>F235*G235</f>
        <v>0</v>
      </c>
      <c r="K235" s="25">
        <v>0</v>
      </c>
      <c r="L235" s="25">
        <f>F235*K235</f>
        <v>0</v>
      </c>
      <c r="M235" s="26" t="s">
        <v>32</v>
      </c>
      <c r="P235" s="27">
        <f>IF(AG235="5",J235,0)</f>
        <v>0</v>
      </c>
      <c r="R235" s="27">
        <f>IF(AG235="1",H235,0)</f>
        <v>0</v>
      </c>
      <c r="S235" s="27">
        <f>IF(AG235="1",I235,0)</f>
        <v>0</v>
      </c>
      <c r="T235" s="27">
        <f>IF(AG235="7",H235,0)</f>
        <v>0</v>
      </c>
      <c r="U235" s="27">
        <f>IF(AG235="7",I235,0)</f>
        <v>0</v>
      </c>
      <c r="V235" s="27">
        <f>IF(AG235="2",H235,0)</f>
        <v>0</v>
      </c>
      <c r="W235" s="27">
        <f>IF(AG235="2",I235,0)</f>
        <v>0</v>
      </c>
      <c r="X235" s="27">
        <f>IF(AG235="0",J235,0)</f>
        <v>0</v>
      </c>
      <c r="Y235" s="17"/>
      <c r="Z235" s="25">
        <f>IF(AD235=0,J235,0)</f>
        <v>0</v>
      </c>
      <c r="AA235" s="25">
        <f>IF(AD235=15,J235,0)</f>
        <v>0</v>
      </c>
      <c r="AB235" s="25">
        <f>IF(AD235=21,J235,0)</f>
        <v>0</v>
      </c>
      <c r="AD235" s="27">
        <v>15</v>
      </c>
      <c r="AE235" s="27">
        <f>G235*0</f>
        <v>0</v>
      </c>
      <c r="AF235" s="27">
        <f>G235*(1-0)</f>
        <v>0</v>
      </c>
      <c r="AG235" s="26" t="s">
        <v>49</v>
      </c>
      <c r="AM235" s="27">
        <f>F235*AE235</f>
        <v>0</v>
      </c>
      <c r="AN235" s="27">
        <f>F235*AF235</f>
        <v>0</v>
      </c>
      <c r="AO235" s="28" t="s">
        <v>533</v>
      </c>
      <c r="AP235" s="28" t="s">
        <v>509</v>
      </c>
      <c r="AQ235" s="17" t="s">
        <v>35</v>
      </c>
      <c r="AS235" s="27">
        <f>AM235+AN235</f>
        <v>0</v>
      </c>
      <c r="AT235" s="27">
        <f>G235/(100-AU235)*100</f>
        <v>0</v>
      </c>
      <c r="AU235" s="27">
        <v>0</v>
      </c>
      <c r="AV235" s="27">
        <f>L235</f>
        <v>0</v>
      </c>
    </row>
    <row r="236" spans="1:37" ht="12.75">
      <c r="A236" s="29"/>
      <c r="B236" s="30"/>
      <c r="C236" s="30" t="s">
        <v>542</v>
      </c>
      <c r="D236" s="30" t="s">
        <v>543</v>
      </c>
      <c r="E236" s="29" t="s">
        <v>10</v>
      </c>
      <c r="F236" s="29" t="s">
        <v>10</v>
      </c>
      <c r="G236" s="48" t="s">
        <v>10</v>
      </c>
      <c r="H236" s="22">
        <f>SUM(H237:H264)</f>
        <v>0</v>
      </c>
      <c r="I236" s="22">
        <f>SUM(I237:I264)</f>
        <v>0</v>
      </c>
      <c r="J236" s="22">
        <f>H236+I236</f>
        <v>0</v>
      </c>
      <c r="K236" s="17"/>
      <c r="L236" s="22">
        <f>SUM(L237:L264)</f>
        <v>0.9641866400000001</v>
      </c>
      <c r="M236" s="17"/>
      <c r="Y236" s="17"/>
      <c r="AI236" s="22">
        <f>SUM(Z237:Z264)</f>
        <v>0</v>
      </c>
      <c r="AJ236" s="22">
        <f>SUM(AA237:AA264)</f>
        <v>0</v>
      </c>
      <c r="AK236" s="22">
        <f>SUM(AB237:AB264)</f>
        <v>0</v>
      </c>
    </row>
    <row r="237" spans="1:48" ht="12.75">
      <c r="A237" s="23" t="s">
        <v>544</v>
      </c>
      <c r="B237" s="23"/>
      <c r="C237" s="23" t="s">
        <v>545</v>
      </c>
      <c r="D237" s="23" t="s">
        <v>546</v>
      </c>
      <c r="E237" s="23" t="s">
        <v>75</v>
      </c>
      <c r="F237" s="24">
        <v>31</v>
      </c>
      <c r="G237" s="47">
        <v>0</v>
      </c>
      <c r="H237" s="25">
        <f>F237*AE237</f>
        <v>0</v>
      </c>
      <c r="I237" s="25">
        <f>J237-H237</f>
        <v>0</v>
      </c>
      <c r="J237" s="25">
        <f>F237*G237</f>
        <v>0</v>
      </c>
      <c r="K237" s="25">
        <v>0</v>
      </c>
      <c r="L237" s="25">
        <f>F237*K237</f>
        <v>0</v>
      </c>
      <c r="M237" s="26" t="s">
        <v>32</v>
      </c>
      <c r="P237" s="27">
        <f>IF(AG237="5",J237,0)</f>
        <v>0</v>
      </c>
      <c r="R237" s="27">
        <f>IF(AG237="1",H237,0)</f>
        <v>0</v>
      </c>
      <c r="S237" s="27">
        <f>IF(AG237="1",I237,0)</f>
        <v>0</v>
      </c>
      <c r="T237" s="27">
        <f>IF(AG237="7",H237,0)</f>
        <v>0</v>
      </c>
      <c r="U237" s="27">
        <f>IF(AG237="7",I237,0)</f>
        <v>0</v>
      </c>
      <c r="V237" s="27">
        <f>IF(AG237="2",H237,0)</f>
        <v>0</v>
      </c>
      <c r="W237" s="27">
        <f>IF(AG237="2",I237,0)</f>
        <v>0</v>
      </c>
      <c r="X237" s="27">
        <f>IF(AG237="0",J237,0)</f>
        <v>0</v>
      </c>
      <c r="Y237" s="17"/>
      <c r="Z237" s="25">
        <f>IF(AD237=0,J237,0)</f>
        <v>0</v>
      </c>
      <c r="AA237" s="25">
        <f>IF(AD237=15,J237,0)</f>
        <v>0</v>
      </c>
      <c r="AB237" s="25">
        <f>IF(AD237=21,J237,0)</f>
        <v>0</v>
      </c>
      <c r="AD237" s="27">
        <v>15</v>
      </c>
      <c r="AE237" s="27">
        <f>G237*0</f>
        <v>0</v>
      </c>
      <c r="AF237" s="27">
        <f>G237*(1-0)</f>
        <v>0</v>
      </c>
      <c r="AG237" s="26" t="s">
        <v>54</v>
      </c>
      <c r="AM237" s="27">
        <f>F237*AE237</f>
        <v>0</v>
      </c>
      <c r="AN237" s="27">
        <f>F237*AF237</f>
        <v>0</v>
      </c>
      <c r="AO237" s="28" t="s">
        <v>547</v>
      </c>
      <c r="AP237" s="28" t="s">
        <v>509</v>
      </c>
      <c r="AQ237" s="17" t="s">
        <v>35</v>
      </c>
      <c r="AS237" s="27">
        <f>AM237+AN237</f>
        <v>0</v>
      </c>
      <c r="AT237" s="27">
        <f>G237/(100-AU237)*100</f>
        <v>0</v>
      </c>
      <c r="AU237" s="27">
        <v>0</v>
      </c>
      <c r="AV237" s="27">
        <f>L237</f>
        <v>0</v>
      </c>
    </row>
    <row r="238" spans="1:6" ht="12.75">
      <c r="A238" s="43"/>
      <c r="B238" s="43"/>
      <c r="C238" s="43"/>
      <c r="D238" s="31" t="s">
        <v>386</v>
      </c>
      <c r="E238" s="43"/>
      <c r="F238" s="43"/>
    </row>
    <row r="239" spans="1:48" ht="12.75">
      <c r="A239" s="32" t="s">
        <v>548</v>
      </c>
      <c r="B239" s="32"/>
      <c r="C239" s="32" t="s">
        <v>549</v>
      </c>
      <c r="D239" s="32" t="s">
        <v>550</v>
      </c>
      <c r="E239" s="32" t="s">
        <v>31</v>
      </c>
      <c r="F239" s="33">
        <v>1.581</v>
      </c>
      <c r="G239" s="50">
        <v>0</v>
      </c>
      <c r="H239" s="34">
        <f>F239*AE239</f>
        <v>0</v>
      </c>
      <c r="I239" s="34">
        <f>J239-H239</f>
        <v>0</v>
      </c>
      <c r="J239" s="34">
        <f>F239*G239</f>
        <v>0</v>
      </c>
      <c r="K239" s="34">
        <v>0.03</v>
      </c>
      <c r="L239" s="34">
        <f>F239*K239</f>
        <v>0.04743</v>
      </c>
      <c r="M239" s="35" t="s">
        <v>32</v>
      </c>
      <c r="P239" s="27">
        <f>IF(AG239="5",J239,0)</f>
        <v>0</v>
      </c>
      <c r="R239" s="27">
        <f>IF(AG239="1",H239,0)</f>
        <v>0</v>
      </c>
      <c r="S239" s="27">
        <f>IF(AG239="1",I239,0)</f>
        <v>0</v>
      </c>
      <c r="T239" s="27">
        <f>IF(AG239="7",H239,0)</f>
        <v>0</v>
      </c>
      <c r="U239" s="27">
        <f>IF(AG239="7",I239,0)</f>
        <v>0</v>
      </c>
      <c r="V239" s="27">
        <f>IF(AG239="2",H239,0)</f>
        <v>0</v>
      </c>
      <c r="W239" s="27">
        <f>IF(AG239="2",I239,0)</f>
        <v>0</v>
      </c>
      <c r="X239" s="27">
        <f>IF(AG239="0",J239,0)</f>
        <v>0</v>
      </c>
      <c r="Y239" s="17"/>
      <c r="Z239" s="34">
        <f>IF(AD239=0,J239,0)</f>
        <v>0</v>
      </c>
      <c r="AA239" s="34">
        <f>IF(AD239=15,J239,0)</f>
        <v>0</v>
      </c>
      <c r="AB239" s="34">
        <f>IF(AD239=21,J239,0)</f>
        <v>0</v>
      </c>
      <c r="AD239" s="27">
        <v>15</v>
      </c>
      <c r="AE239" s="27">
        <f>G239*1</f>
        <v>0</v>
      </c>
      <c r="AF239" s="27">
        <f>G239*(1-1)</f>
        <v>0</v>
      </c>
      <c r="AG239" s="35" t="s">
        <v>54</v>
      </c>
      <c r="AM239" s="27">
        <f>F239*AE239</f>
        <v>0</v>
      </c>
      <c r="AN239" s="27">
        <f>F239*AF239</f>
        <v>0</v>
      </c>
      <c r="AO239" s="28" t="s">
        <v>547</v>
      </c>
      <c r="AP239" s="28" t="s">
        <v>509</v>
      </c>
      <c r="AQ239" s="17" t="s">
        <v>35</v>
      </c>
      <c r="AS239" s="27">
        <f>AM239+AN239</f>
        <v>0</v>
      </c>
      <c r="AT239" s="27">
        <f>G239/(100-AU239)*100</f>
        <v>0</v>
      </c>
      <c r="AU239" s="27">
        <v>0</v>
      </c>
      <c r="AV239" s="27">
        <f>L239</f>
        <v>0.04743</v>
      </c>
    </row>
    <row r="240" spans="1:48" ht="12.75">
      <c r="A240" s="23" t="s">
        <v>551</v>
      </c>
      <c r="B240" s="23"/>
      <c r="C240" s="23" t="s">
        <v>545</v>
      </c>
      <c r="D240" s="23" t="s">
        <v>546</v>
      </c>
      <c r="E240" s="23" t="s">
        <v>75</v>
      </c>
      <c r="F240" s="24">
        <v>80.6</v>
      </c>
      <c r="G240" s="47">
        <v>0</v>
      </c>
      <c r="H240" s="25">
        <f>F240*AE240</f>
        <v>0</v>
      </c>
      <c r="I240" s="25">
        <f>J240-H240</f>
        <v>0</v>
      </c>
      <c r="J240" s="25">
        <f>F240*G240</f>
        <v>0</v>
      </c>
      <c r="K240" s="25">
        <v>0</v>
      </c>
      <c r="L240" s="25">
        <f>F240*K240</f>
        <v>0</v>
      </c>
      <c r="M240" s="26" t="s">
        <v>32</v>
      </c>
      <c r="P240" s="27">
        <f>IF(AG240="5",J240,0)</f>
        <v>0</v>
      </c>
      <c r="R240" s="27">
        <f>IF(AG240="1",H240,0)</f>
        <v>0</v>
      </c>
      <c r="S240" s="27">
        <f>IF(AG240="1",I240,0)</f>
        <v>0</v>
      </c>
      <c r="T240" s="27">
        <f>IF(AG240="7",H240,0)</f>
        <v>0</v>
      </c>
      <c r="U240" s="27">
        <f>IF(AG240="7",I240,0)</f>
        <v>0</v>
      </c>
      <c r="V240" s="27">
        <f>IF(AG240="2",H240,0)</f>
        <v>0</v>
      </c>
      <c r="W240" s="27">
        <f>IF(AG240="2",I240,0)</f>
        <v>0</v>
      </c>
      <c r="X240" s="27">
        <f>IF(AG240="0",J240,0)</f>
        <v>0</v>
      </c>
      <c r="Y240" s="17"/>
      <c r="Z240" s="25">
        <f>IF(AD240=0,J240,0)</f>
        <v>0</v>
      </c>
      <c r="AA240" s="25">
        <f>IF(AD240=15,J240,0)</f>
        <v>0</v>
      </c>
      <c r="AB240" s="25">
        <f>IF(AD240=21,J240,0)</f>
        <v>0</v>
      </c>
      <c r="AD240" s="27">
        <v>15</v>
      </c>
      <c r="AE240" s="27">
        <f>G240*0</f>
        <v>0</v>
      </c>
      <c r="AF240" s="27">
        <f>G240*(1-0)</f>
        <v>0</v>
      </c>
      <c r="AG240" s="26" t="s">
        <v>54</v>
      </c>
      <c r="AM240" s="27">
        <f>F240*AE240</f>
        <v>0</v>
      </c>
      <c r="AN240" s="27">
        <f>F240*AF240</f>
        <v>0</v>
      </c>
      <c r="AO240" s="28" t="s">
        <v>547</v>
      </c>
      <c r="AP240" s="28" t="s">
        <v>509</v>
      </c>
      <c r="AQ240" s="17" t="s">
        <v>35</v>
      </c>
      <c r="AS240" s="27">
        <f>AM240+AN240</f>
        <v>0</v>
      </c>
      <c r="AT240" s="27">
        <f>G240/(100-AU240)*100</f>
        <v>0</v>
      </c>
      <c r="AU240" s="27">
        <v>0</v>
      </c>
      <c r="AV240" s="27">
        <f>L240</f>
        <v>0</v>
      </c>
    </row>
    <row r="241" spans="1:6" ht="12.75">
      <c r="A241" s="43"/>
      <c r="B241" s="43"/>
      <c r="C241" s="43"/>
      <c r="D241" s="31" t="s">
        <v>382</v>
      </c>
      <c r="E241" s="43"/>
      <c r="F241" s="43"/>
    </row>
    <row r="242" spans="1:48" ht="12.75">
      <c r="A242" s="32" t="s">
        <v>552</v>
      </c>
      <c r="B242" s="32"/>
      <c r="C242" s="32" t="s">
        <v>553</v>
      </c>
      <c r="D242" s="32" t="s">
        <v>554</v>
      </c>
      <c r="E242" s="32" t="s">
        <v>31</v>
      </c>
      <c r="F242" s="33">
        <v>14.699</v>
      </c>
      <c r="G242" s="50">
        <v>0</v>
      </c>
      <c r="H242" s="34">
        <f>F242*AE242</f>
        <v>0</v>
      </c>
      <c r="I242" s="34">
        <f>J242-H242</f>
        <v>0</v>
      </c>
      <c r="J242" s="34">
        <f>F242*G242</f>
        <v>0</v>
      </c>
      <c r="K242" s="34">
        <v>0.02</v>
      </c>
      <c r="L242" s="34">
        <f>F242*K242</f>
        <v>0.29398</v>
      </c>
      <c r="M242" s="35" t="s">
        <v>32</v>
      </c>
      <c r="P242" s="27">
        <f>IF(AG242="5",J242,0)</f>
        <v>0</v>
      </c>
      <c r="R242" s="27">
        <f>IF(AG242="1",H242,0)</f>
        <v>0</v>
      </c>
      <c r="S242" s="27">
        <f>IF(AG242="1",I242,0)</f>
        <v>0</v>
      </c>
      <c r="T242" s="27">
        <f>IF(AG242="7",H242,0)</f>
        <v>0</v>
      </c>
      <c r="U242" s="27">
        <f>IF(AG242="7",I242,0)</f>
        <v>0</v>
      </c>
      <c r="V242" s="27">
        <f>IF(AG242="2",H242,0)</f>
        <v>0</v>
      </c>
      <c r="W242" s="27">
        <f>IF(AG242="2",I242,0)</f>
        <v>0</v>
      </c>
      <c r="X242" s="27">
        <f>IF(AG242="0",J242,0)</f>
        <v>0</v>
      </c>
      <c r="Y242" s="17"/>
      <c r="Z242" s="34">
        <f>IF(AD242=0,J242,0)</f>
        <v>0</v>
      </c>
      <c r="AA242" s="34">
        <f>IF(AD242=15,J242,0)</f>
        <v>0</v>
      </c>
      <c r="AB242" s="34">
        <f>IF(AD242=21,J242,0)</f>
        <v>0</v>
      </c>
      <c r="AD242" s="27">
        <v>15</v>
      </c>
      <c r="AE242" s="27">
        <f>G242*1</f>
        <v>0</v>
      </c>
      <c r="AF242" s="27">
        <f>G242*(1-1)</f>
        <v>0</v>
      </c>
      <c r="AG242" s="35" t="s">
        <v>54</v>
      </c>
      <c r="AM242" s="27">
        <f>F242*AE242</f>
        <v>0</v>
      </c>
      <c r="AN242" s="27">
        <f>F242*AF242</f>
        <v>0</v>
      </c>
      <c r="AO242" s="28" t="s">
        <v>547</v>
      </c>
      <c r="AP242" s="28" t="s">
        <v>509</v>
      </c>
      <c r="AQ242" s="17" t="s">
        <v>35</v>
      </c>
      <c r="AS242" s="27">
        <f>AM242+AN242</f>
        <v>0</v>
      </c>
      <c r="AT242" s="27">
        <f>G242/(100-AU242)*100</f>
        <v>0</v>
      </c>
      <c r="AU242" s="27">
        <v>0</v>
      </c>
      <c r="AV242" s="27">
        <f>L242</f>
        <v>0.29398</v>
      </c>
    </row>
    <row r="243" spans="1:48" ht="12.75">
      <c r="A243" s="23" t="s">
        <v>555</v>
      </c>
      <c r="B243" s="23"/>
      <c r="C243" s="23" t="s">
        <v>556</v>
      </c>
      <c r="D243" s="23" t="s">
        <v>557</v>
      </c>
      <c r="E243" s="23" t="s">
        <v>75</v>
      </c>
      <c r="F243" s="24">
        <v>167.166</v>
      </c>
      <c r="G243" s="47">
        <v>0</v>
      </c>
      <c r="H243" s="25">
        <f>F243*AE243</f>
        <v>0</v>
      </c>
      <c r="I243" s="25">
        <f>J243-H243</f>
        <v>0</v>
      </c>
      <c r="J243" s="25">
        <f>F243*G243</f>
        <v>0</v>
      </c>
      <c r="K243" s="25">
        <v>1E-05</v>
      </c>
      <c r="L243" s="25">
        <f>F243*K243</f>
        <v>0.0016716600000000002</v>
      </c>
      <c r="M243" s="26" t="s">
        <v>32</v>
      </c>
      <c r="P243" s="27">
        <f>IF(AG243="5",J243,0)</f>
        <v>0</v>
      </c>
      <c r="R243" s="27">
        <f>IF(AG243="1",H243,0)</f>
        <v>0</v>
      </c>
      <c r="S243" s="27">
        <f>IF(AG243="1",I243,0)</f>
        <v>0</v>
      </c>
      <c r="T243" s="27">
        <f>IF(AG243="7",H243,0)</f>
        <v>0</v>
      </c>
      <c r="U243" s="27">
        <f>IF(AG243="7",I243,0)</f>
        <v>0</v>
      </c>
      <c r="V243" s="27">
        <f>IF(AG243="2",H243,0)</f>
        <v>0</v>
      </c>
      <c r="W243" s="27">
        <f>IF(AG243="2",I243,0)</f>
        <v>0</v>
      </c>
      <c r="X243" s="27">
        <f>IF(AG243="0",J243,0)</f>
        <v>0</v>
      </c>
      <c r="Y243" s="17"/>
      <c r="Z243" s="25">
        <f>IF(AD243=0,J243,0)</f>
        <v>0</v>
      </c>
      <c r="AA243" s="25">
        <f>IF(AD243=15,J243,0)</f>
        <v>0</v>
      </c>
      <c r="AB243" s="25">
        <f>IF(AD243=21,J243,0)</f>
        <v>0</v>
      </c>
      <c r="AD243" s="27">
        <v>15</v>
      </c>
      <c r="AE243" s="27">
        <f>G243*0.176470634433589</f>
        <v>0</v>
      </c>
      <c r="AF243" s="27">
        <f>G243*(1-0.176470634433589)</f>
        <v>0</v>
      </c>
      <c r="AG243" s="26" t="s">
        <v>54</v>
      </c>
      <c r="AM243" s="27">
        <f>F243*AE243</f>
        <v>0</v>
      </c>
      <c r="AN243" s="27">
        <f>F243*AF243</f>
        <v>0</v>
      </c>
      <c r="AO243" s="28" t="s">
        <v>547</v>
      </c>
      <c r="AP243" s="28" t="s">
        <v>509</v>
      </c>
      <c r="AQ243" s="17" t="s">
        <v>35</v>
      </c>
      <c r="AS243" s="27">
        <f>AM243+AN243</f>
        <v>0</v>
      </c>
      <c r="AT243" s="27">
        <f>G243/(100-AU243)*100</f>
        <v>0</v>
      </c>
      <c r="AU243" s="27">
        <v>0</v>
      </c>
      <c r="AV243" s="27">
        <f>L243</f>
        <v>0.0016716600000000002</v>
      </c>
    </row>
    <row r="244" spans="1:6" ht="12.75">
      <c r="A244" s="43"/>
      <c r="B244" s="43"/>
      <c r="C244" s="43"/>
      <c r="D244" s="31" t="s">
        <v>558</v>
      </c>
      <c r="E244" s="43"/>
      <c r="F244" s="43"/>
    </row>
    <row r="245" spans="1:48" ht="12.75">
      <c r="A245" s="23" t="s">
        <v>559</v>
      </c>
      <c r="B245" s="23"/>
      <c r="C245" s="23" t="s">
        <v>560</v>
      </c>
      <c r="D245" s="23" t="s">
        <v>561</v>
      </c>
      <c r="E245" s="23" t="s">
        <v>75</v>
      </c>
      <c r="F245" s="24">
        <v>29.013</v>
      </c>
      <c r="G245" s="47">
        <v>0</v>
      </c>
      <c r="H245" s="25">
        <f>F245*AE245</f>
        <v>0</v>
      </c>
      <c r="I245" s="25">
        <f>J245-H245</f>
        <v>0</v>
      </c>
      <c r="J245" s="25">
        <f>F245*G245</f>
        <v>0</v>
      </c>
      <c r="K245" s="25">
        <v>0.003</v>
      </c>
      <c r="L245" s="25">
        <f>F245*K245</f>
        <v>0.087039</v>
      </c>
      <c r="M245" s="26" t="s">
        <v>32</v>
      </c>
      <c r="P245" s="27">
        <f>IF(AG245="5",J245,0)</f>
        <v>0</v>
      </c>
      <c r="R245" s="27">
        <f>IF(AG245="1",H245,0)</f>
        <v>0</v>
      </c>
      <c r="S245" s="27">
        <f>IF(AG245="1",I245,0)</f>
        <v>0</v>
      </c>
      <c r="T245" s="27">
        <f>IF(AG245="7",H245,0)</f>
        <v>0</v>
      </c>
      <c r="U245" s="27">
        <f>IF(AG245="7",I245,0)</f>
        <v>0</v>
      </c>
      <c r="V245" s="27">
        <f>IF(AG245="2",H245,0)</f>
        <v>0</v>
      </c>
      <c r="W245" s="27">
        <f>IF(AG245="2",I245,0)</f>
        <v>0</v>
      </c>
      <c r="X245" s="27">
        <f>IF(AG245="0",J245,0)</f>
        <v>0</v>
      </c>
      <c r="Y245" s="17"/>
      <c r="Z245" s="25">
        <f>IF(AD245=0,J245,0)</f>
        <v>0</v>
      </c>
      <c r="AA245" s="25">
        <f>IF(AD245=15,J245,0)</f>
        <v>0</v>
      </c>
      <c r="AB245" s="25">
        <f>IF(AD245=21,J245,0)</f>
        <v>0</v>
      </c>
      <c r="AD245" s="27">
        <v>15</v>
      </c>
      <c r="AE245" s="27">
        <f>G245*0.24721062955435</f>
        <v>0</v>
      </c>
      <c r="AF245" s="27">
        <f>G245*(1-0.24721062955435)</f>
        <v>0</v>
      </c>
      <c r="AG245" s="26" t="s">
        <v>54</v>
      </c>
      <c r="AM245" s="27">
        <f>F245*AE245</f>
        <v>0</v>
      </c>
      <c r="AN245" s="27">
        <f>F245*AF245</f>
        <v>0</v>
      </c>
      <c r="AO245" s="28" t="s">
        <v>547</v>
      </c>
      <c r="AP245" s="28" t="s">
        <v>509</v>
      </c>
      <c r="AQ245" s="17" t="s">
        <v>35</v>
      </c>
      <c r="AS245" s="27">
        <f>AM245+AN245</f>
        <v>0</v>
      </c>
      <c r="AT245" s="27">
        <f>G245/(100-AU245)*100</f>
        <v>0</v>
      </c>
      <c r="AU245" s="27">
        <v>0</v>
      </c>
      <c r="AV245" s="27">
        <f>L245</f>
        <v>0.087039</v>
      </c>
    </row>
    <row r="246" spans="1:48" ht="12.75">
      <c r="A246" s="32" t="s">
        <v>562</v>
      </c>
      <c r="B246" s="32"/>
      <c r="C246" s="32" t="s">
        <v>563</v>
      </c>
      <c r="D246" s="32" t="s">
        <v>564</v>
      </c>
      <c r="E246" s="32" t="s">
        <v>31</v>
      </c>
      <c r="F246" s="33">
        <v>2.303</v>
      </c>
      <c r="G246" s="50">
        <v>0</v>
      </c>
      <c r="H246" s="34">
        <f>F246*AE246</f>
        <v>0</v>
      </c>
      <c r="I246" s="34">
        <f>J246-H246</f>
        <v>0</v>
      </c>
      <c r="J246" s="34">
        <f>F246*G246</f>
        <v>0</v>
      </c>
      <c r="K246" s="34">
        <v>0.035</v>
      </c>
      <c r="L246" s="34">
        <f>F246*K246</f>
        <v>0.08060500000000001</v>
      </c>
      <c r="M246" s="35" t="s">
        <v>32</v>
      </c>
      <c r="P246" s="27">
        <f>IF(AG246="5",J246,0)</f>
        <v>0</v>
      </c>
      <c r="R246" s="27">
        <f>IF(AG246="1",H246,0)</f>
        <v>0</v>
      </c>
      <c r="S246" s="27">
        <f>IF(AG246="1",I246,0)</f>
        <v>0</v>
      </c>
      <c r="T246" s="27">
        <f>IF(AG246="7",H246,0)</f>
        <v>0</v>
      </c>
      <c r="U246" s="27">
        <f>IF(AG246="7",I246,0)</f>
        <v>0</v>
      </c>
      <c r="V246" s="27">
        <f>IF(AG246="2",H246,0)</f>
        <v>0</v>
      </c>
      <c r="W246" s="27">
        <f>IF(AG246="2",I246,0)</f>
        <v>0</v>
      </c>
      <c r="X246" s="27">
        <f>IF(AG246="0",J246,0)</f>
        <v>0</v>
      </c>
      <c r="Y246" s="17"/>
      <c r="Z246" s="34">
        <f>IF(AD246=0,J246,0)</f>
        <v>0</v>
      </c>
      <c r="AA246" s="34">
        <f>IF(AD246=15,J246,0)</f>
        <v>0</v>
      </c>
      <c r="AB246" s="34">
        <f>IF(AD246=21,J246,0)</f>
        <v>0</v>
      </c>
      <c r="AD246" s="27">
        <v>15</v>
      </c>
      <c r="AE246" s="27">
        <f>G246*1</f>
        <v>0</v>
      </c>
      <c r="AF246" s="27">
        <f>G246*(1-1)</f>
        <v>0</v>
      </c>
      <c r="AG246" s="35" t="s">
        <v>54</v>
      </c>
      <c r="AM246" s="27">
        <f>F246*AE246</f>
        <v>0</v>
      </c>
      <c r="AN246" s="27">
        <f>F246*AF246</f>
        <v>0</v>
      </c>
      <c r="AO246" s="28" t="s">
        <v>547</v>
      </c>
      <c r="AP246" s="28" t="s">
        <v>509</v>
      </c>
      <c r="AQ246" s="17" t="s">
        <v>35</v>
      </c>
      <c r="AS246" s="27">
        <f>AM246+AN246</f>
        <v>0</v>
      </c>
      <c r="AT246" s="27">
        <f>G246/(100-AU246)*100</f>
        <v>0</v>
      </c>
      <c r="AU246" s="27">
        <v>0</v>
      </c>
      <c r="AV246" s="27">
        <f>L246</f>
        <v>0.08060500000000001</v>
      </c>
    </row>
    <row r="247" spans="1:48" ht="12.75">
      <c r="A247" s="23" t="s">
        <v>565</v>
      </c>
      <c r="B247" s="23"/>
      <c r="C247" s="23" t="s">
        <v>566</v>
      </c>
      <c r="D247" s="23" t="s">
        <v>567</v>
      </c>
      <c r="E247" s="23" t="s">
        <v>75</v>
      </c>
      <c r="F247" s="24">
        <v>33.01</v>
      </c>
      <c r="G247" s="47">
        <v>0</v>
      </c>
      <c r="H247" s="25">
        <f>F247*AE247</f>
        <v>0</v>
      </c>
      <c r="I247" s="25">
        <f>J247-H247</f>
        <v>0</v>
      </c>
      <c r="J247" s="25">
        <f>F247*G247</f>
        <v>0</v>
      </c>
      <c r="K247" s="25">
        <v>0</v>
      </c>
      <c r="L247" s="25">
        <f>F247*K247</f>
        <v>0</v>
      </c>
      <c r="M247" s="26" t="s">
        <v>32</v>
      </c>
      <c r="P247" s="27">
        <f>IF(AG247="5",J247,0)</f>
        <v>0</v>
      </c>
      <c r="R247" s="27">
        <f>IF(AG247="1",H247,0)</f>
        <v>0</v>
      </c>
      <c r="S247" s="27">
        <f>IF(AG247="1",I247,0)</f>
        <v>0</v>
      </c>
      <c r="T247" s="27">
        <f>IF(AG247="7",H247,0)</f>
        <v>0</v>
      </c>
      <c r="U247" s="27">
        <f>IF(AG247="7",I247,0)</f>
        <v>0</v>
      </c>
      <c r="V247" s="27">
        <f>IF(AG247="2",H247,0)</f>
        <v>0</v>
      </c>
      <c r="W247" s="27">
        <f>IF(AG247="2",I247,0)</f>
        <v>0</v>
      </c>
      <c r="X247" s="27">
        <f>IF(AG247="0",J247,0)</f>
        <v>0</v>
      </c>
      <c r="Y247" s="17"/>
      <c r="Z247" s="25">
        <f>IF(AD247=0,J247,0)</f>
        <v>0</v>
      </c>
      <c r="AA247" s="25">
        <f>IF(AD247=15,J247,0)</f>
        <v>0</v>
      </c>
      <c r="AB247" s="25">
        <f>IF(AD247=21,J247,0)</f>
        <v>0</v>
      </c>
      <c r="AD247" s="27">
        <v>15</v>
      </c>
      <c r="AE247" s="27">
        <f>G247*0</f>
        <v>0</v>
      </c>
      <c r="AF247" s="27">
        <f>G247*(1-0)</f>
        <v>0</v>
      </c>
      <c r="AG247" s="26" t="s">
        <v>54</v>
      </c>
      <c r="AM247" s="27">
        <f>F247*AE247</f>
        <v>0</v>
      </c>
      <c r="AN247" s="27">
        <f>F247*AF247</f>
        <v>0</v>
      </c>
      <c r="AO247" s="28" t="s">
        <v>547</v>
      </c>
      <c r="AP247" s="28" t="s">
        <v>509</v>
      </c>
      <c r="AQ247" s="17" t="s">
        <v>35</v>
      </c>
      <c r="AS247" s="27">
        <f>AM247+AN247</f>
        <v>0</v>
      </c>
      <c r="AT247" s="27">
        <f>G247/(100-AU247)*100</f>
        <v>0</v>
      </c>
      <c r="AU247" s="27">
        <v>0</v>
      </c>
      <c r="AV247" s="27">
        <f>L247</f>
        <v>0</v>
      </c>
    </row>
    <row r="248" spans="1:6" ht="12.75">
      <c r="A248" s="43"/>
      <c r="B248" s="43"/>
      <c r="C248" s="43"/>
      <c r="D248" s="31" t="s">
        <v>397</v>
      </c>
      <c r="E248" s="43"/>
      <c r="F248" s="43"/>
    </row>
    <row r="249" spans="1:48" ht="12.75">
      <c r="A249" s="32" t="s">
        <v>568</v>
      </c>
      <c r="B249" s="32"/>
      <c r="C249" s="32" t="s">
        <v>549</v>
      </c>
      <c r="D249" s="32" t="s">
        <v>569</v>
      </c>
      <c r="E249" s="32" t="s">
        <v>31</v>
      </c>
      <c r="F249" s="33">
        <v>2.02</v>
      </c>
      <c r="G249" s="50">
        <v>0</v>
      </c>
      <c r="H249" s="34">
        <f>F249*AE249</f>
        <v>0</v>
      </c>
      <c r="I249" s="34">
        <f>J249-H249</f>
        <v>0</v>
      </c>
      <c r="J249" s="34">
        <f>F249*G249</f>
        <v>0</v>
      </c>
      <c r="K249" s="34">
        <v>0.03</v>
      </c>
      <c r="L249" s="34">
        <f>F249*K249</f>
        <v>0.0606</v>
      </c>
      <c r="M249" s="35" t="s">
        <v>32</v>
      </c>
      <c r="P249" s="27">
        <f>IF(AG249="5",J249,0)</f>
        <v>0</v>
      </c>
      <c r="R249" s="27">
        <f>IF(AG249="1",H249,0)</f>
        <v>0</v>
      </c>
      <c r="S249" s="27">
        <f>IF(AG249="1",I249,0)</f>
        <v>0</v>
      </c>
      <c r="T249" s="27">
        <f>IF(AG249="7",H249,0)</f>
        <v>0</v>
      </c>
      <c r="U249" s="27">
        <f>IF(AG249="7",I249,0)</f>
        <v>0</v>
      </c>
      <c r="V249" s="27">
        <f>IF(AG249="2",H249,0)</f>
        <v>0</v>
      </c>
      <c r="W249" s="27">
        <f>IF(AG249="2",I249,0)</f>
        <v>0</v>
      </c>
      <c r="X249" s="27">
        <f>IF(AG249="0",J249,0)</f>
        <v>0</v>
      </c>
      <c r="Y249" s="17"/>
      <c r="Z249" s="34">
        <f>IF(AD249=0,J249,0)</f>
        <v>0</v>
      </c>
      <c r="AA249" s="34">
        <f>IF(AD249=15,J249,0)</f>
        <v>0</v>
      </c>
      <c r="AB249" s="34">
        <f>IF(AD249=21,J249,0)</f>
        <v>0</v>
      </c>
      <c r="AD249" s="27">
        <v>15</v>
      </c>
      <c r="AE249" s="27">
        <f>G249*1</f>
        <v>0</v>
      </c>
      <c r="AF249" s="27">
        <f>G249*(1-1)</f>
        <v>0</v>
      </c>
      <c r="AG249" s="35" t="s">
        <v>54</v>
      </c>
      <c r="AM249" s="27">
        <f>F249*AE249</f>
        <v>0</v>
      </c>
      <c r="AN249" s="27">
        <f>F249*AF249</f>
        <v>0</v>
      </c>
      <c r="AO249" s="28" t="s">
        <v>547</v>
      </c>
      <c r="AP249" s="28" t="s">
        <v>509</v>
      </c>
      <c r="AQ249" s="17" t="s">
        <v>35</v>
      </c>
      <c r="AS249" s="27">
        <f>AM249+AN249</f>
        <v>0</v>
      </c>
      <c r="AT249" s="27">
        <f>G249/(100-AU249)*100</f>
        <v>0</v>
      </c>
      <c r="AU249" s="27">
        <v>0</v>
      </c>
      <c r="AV249" s="27">
        <f>L249</f>
        <v>0.0606</v>
      </c>
    </row>
    <row r="250" spans="1:48" ht="12.75">
      <c r="A250" s="23" t="s">
        <v>570</v>
      </c>
      <c r="B250" s="23"/>
      <c r="C250" s="23" t="s">
        <v>571</v>
      </c>
      <c r="D250" s="23" t="s">
        <v>572</v>
      </c>
      <c r="E250" s="23" t="s">
        <v>75</v>
      </c>
      <c r="F250" s="24">
        <v>79.1</v>
      </c>
      <c r="G250" s="47">
        <v>0</v>
      </c>
      <c r="H250" s="25">
        <f>F250*AE250</f>
        <v>0</v>
      </c>
      <c r="I250" s="25">
        <f>J250-H250</f>
        <v>0</v>
      </c>
      <c r="J250" s="25">
        <f>F250*G250</f>
        <v>0</v>
      </c>
      <c r="K250" s="25">
        <v>0</v>
      </c>
      <c r="L250" s="25">
        <f>F250*K250</f>
        <v>0</v>
      </c>
      <c r="M250" s="26" t="s">
        <v>32</v>
      </c>
      <c r="P250" s="27">
        <f>IF(AG250="5",J250,0)</f>
        <v>0</v>
      </c>
      <c r="R250" s="27">
        <f>IF(AG250="1",H250,0)</f>
        <v>0</v>
      </c>
      <c r="S250" s="27">
        <f>IF(AG250="1",I250,0)</f>
        <v>0</v>
      </c>
      <c r="T250" s="27">
        <f>IF(AG250="7",H250,0)</f>
        <v>0</v>
      </c>
      <c r="U250" s="27">
        <f>IF(AG250="7",I250,0)</f>
        <v>0</v>
      </c>
      <c r="V250" s="27">
        <f>IF(AG250="2",H250,0)</f>
        <v>0</v>
      </c>
      <c r="W250" s="27">
        <f>IF(AG250="2",I250,0)</f>
        <v>0</v>
      </c>
      <c r="X250" s="27">
        <f>IF(AG250="0",J250,0)</f>
        <v>0</v>
      </c>
      <c r="Y250" s="17"/>
      <c r="Z250" s="25">
        <f>IF(AD250=0,J250,0)</f>
        <v>0</v>
      </c>
      <c r="AA250" s="25">
        <f>IF(AD250=15,J250,0)</f>
        <v>0</v>
      </c>
      <c r="AB250" s="25">
        <f>IF(AD250=21,J250,0)</f>
        <v>0</v>
      </c>
      <c r="AD250" s="27">
        <v>15</v>
      </c>
      <c r="AE250" s="27">
        <f>G250*0</f>
        <v>0</v>
      </c>
      <c r="AF250" s="27">
        <f>G250*(1-0)</f>
        <v>0</v>
      </c>
      <c r="AG250" s="26" t="s">
        <v>54</v>
      </c>
      <c r="AM250" s="27">
        <f>F250*AE250</f>
        <v>0</v>
      </c>
      <c r="AN250" s="27">
        <f>F250*AF250</f>
        <v>0</v>
      </c>
      <c r="AO250" s="28" t="s">
        <v>547</v>
      </c>
      <c r="AP250" s="28" t="s">
        <v>509</v>
      </c>
      <c r="AQ250" s="17" t="s">
        <v>35</v>
      </c>
      <c r="AS250" s="27">
        <f>AM250+AN250</f>
        <v>0</v>
      </c>
      <c r="AT250" s="27">
        <f>G250/(100-AU250)*100</f>
        <v>0</v>
      </c>
      <c r="AU250" s="27">
        <v>0</v>
      </c>
      <c r="AV250" s="27">
        <f>L250</f>
        <v>0</v>
      </c>
    </row>
    <row r="251" spans="1:6" ht="12.75">
      <c r="A251" s="43"/>
      <c r="B251" s="43"/>
      <c r="C251" s="43"/>
      <c r="D251" s="31" t="s">
        <v>401</v>
      </c>
      <c r="E251" s="43"/>
      <c r="F251" s="43"/>
    </row>
    <row r="252" spans="1:48" ht="12.75">
      <c r="A252" s="32" t="s">
        <v>573</v>
      </c>
      <c r="B252" s="32"/>
      <c r="C252" s="32" t="s">
        <v>553</v>
      </c>
      <c r="D252" s="32" t="s">
        <v>574</v>
      </c>
      <c r="E252" s="32" t="s">
        <v>31</v>
      </c>
      <c r="F252" s="33">
        <v>6.455</v>
      </c>
      <c r="G252" s="50">
        <v>0</v>
      </c>
      <c r="H252" s="34">
        <f>F252*AE252</f>
        <v>0</v>
      </c>
      <c r="I252" s="34">
        <f>J252-H252</f>
        <v>0</v>
      </c>
      <c r="J252" s="34">
        <f>F252*G252</f>
        <v>0</v>
      </c>
      <c r="K252" s="34">
        <v>0.02</v>
      </c>
      <c r="L252" s="34">
        <f>F252*K252</f>
        <v>0.1291</v>
      </c>
      <c r="M252" s="35" t="s">
        <v>32</v>
      </c>
      <c r="P252" s="27">
        <f>IF(AG252="5",J252,0)</f>
        <v>0</v>
      </c>
      <c r="R252" s="27">
        <f>IF(AG252="1",H252,0)</f>
        <v>0</v>
      </c>
      <c r="S252" s="27">
        <f>IF(AG252="1",I252,0)</f>
        <v>0</v>
      </c>
      <c r="T252" s="27">
        <f>IF(AG252="7",H252,0)</f>
        <v>0</v>
      </c>
      <c r="U252" s="27">
        <f>IF(AG252="7",I252,0)</f>
        <v>0</v>
      </c>
      <c r="V252" s="27">
        <f>IF(AG252="2",H252,0)</f>
        <v>0</v>
      </c>
      <c r="W252" s="27">
        <f>IF(AG252="2",I252,0)</f>
        <v>0</v>
      </c>
      <c r="X252" s="27">
        <f>IF(AG252="0",J252,0)</f>
        <v>0</v>
      </c>
      <c r="Y252" s="17"/>
      <c r="Z252" s="34">
        <f>IF(AD252=0,J252,0)</f>
        <v>0</v>
      </c>
      <c r="AA252" s="34">
        <f>IF(AD252=15,J252,0)</f>
        <v>0</v>
      </c>
      <c r="AB252" s="34">
        <f>IF(AD252=21,J252,0)</f>
        <v>0</v>
      </c>
      <c r="AD252" s="27">
        <v>15</v>
      </c>
      <c r="AE252" s="27">
        <f>G252*1</f>
        <v>0</v>
      </c>
      <c r="AF252" s="27">
        <f>G252*(1-1)</f>
        <v>0</v>
      </c>
      <c r="AG252" s="35" t="s">
        <v>54</v>
      </c>
      <c r="AM252" s="27">
        <f>F252*AE252</f>
        <v>0</v>
      </c>
      <c r="AN252" s="27">
        <f>F252*AF252</f>
        <v>0</v>
      </c>
      <c r="AO252" s="28" t="s">
        <v>547</v>
      </c>
      <c r="AP252" s="28" t="s">
        <v>509</v>
      </c>
      <c r="AQ252" s="17" t="s">
        <v>35</v>
      </c>
      <c r="AS252" s="27">
        <f>AM252+AN252</f>
        <v>0</v>
      </c>
      <c r="AT252" s="27">
        <f>G252/(100-AU252)*100</f>
        <v>0</v>
      </c>
      <c r="AU252" s="27">
        <v>0</v>
      </c>
      <c r="AV252" s="27">
        <f>L252</f>
        <v>0.1291</v>
      </c>
    </row>
    <row r="253" spans="1:48" ht="12.75">
      <c r="A253" s="23" t="s">
        <v>575</v>
      </c>
      <c r="B253" s="23"/>
      <c r="C253" s="23" t="s">
        <v>576</v>
      </c>
      <c r="D253" s="23" t="s">
        <v>577</v>
      </c>
      <c r="E253" s="23" t="s">
        <v>75</v>
      </c>
      <c r="F253" s="24">
        <v>36.311</v>
      </c>
      <c r="G253" s="47">
        <v>0</v>
      </c>
      <c r="H253" s="25">
        <f>F253*AE253</f>
        <v>0</v>
      </c>
      <c r="I253" s="25">
        <f>J253-H253</f>
        <v>0</v>
      </c>
      <c r="J253" s="25">
        <f>F253*G253</f>
        <v>0</v>
      </c>
      <c r="K253" s="25">
        <v>0.00018</v>
      </c>
      <c r="L253" s="25">
        <f>F253*K253</f>
        <v>0.00653598</v>
      </c>
      <c r="M253" s="26" t="s">
        <v>32</v>
      </c>
      <c r="P253" s="27">
        <f>IF(AG253="5",J253,0)</f>
        <v>0</v>
      </c>
      <c r="R253" s="27">
        <f>IF(AG253="1",H253,0)</f>
        <v>0</v>
      </c>
      <c r="S253" s="27">
        <f>IF(AG253="1",I253,0)</f>
        <v>0</v>
      </c>
      <c r="T253" s="27">
        <f>IF(AG253="7",H253,0)</f>
        <v>0</v>
      </c>
      <c r="U253" s="27">
        <f>IF(AG253="7",I253,0)</f>
        <v>0</v>
      </c>
      <c r="V253" s="27">
        <f>IF(AG253="2",H253,0)</f>
        <v>0</v>
      </c>
      <c r="W253" s="27">
        <f>IF(AG253="2",I253,0)</f>
        <v>0</v>
      </c>
      <c r="X253" s="27">
        <f>IF(AG253="0",J253,0)</f>
        <v>0</v>
      </c>
      <c r="Y253" s="17"/>
      <c r="Z253" s="25">
        <f>IF(AD253=0,J253,0)</f>
        <v>0</v>
      </c>
      <c r="AA253" s="25">
        <f>IF(AD253=15,J253,0)</f>
        <v>0</v>
      </c>
      <c r="AB253" s="25">
        <f>IF(AD253=21,J253,0)</f>
        <v>0</v>
      </c>
      <c r="AD253" s="27">
        <v>15</v>
      </c>
      <c r="AE253" s="27">
        <f>G253*0.330176641212148</f>
        <v>0</v>
      </c>
      <c r="AF253" s="27">
        <f>G253*(1-0.330176641212148)</f>
        <v>0</v>
      </c>
      <c r="AG253" s="26" t="s">
        <v>54</v>
      </c>
      <c r="AM253" s="27">
        <f>F253*AE253</f>
        <v>0</v>
      </c>
      <c r="AN253" s="27">
        <f>F253*AF253</f>
        <v>0</v>
      </c>
      <c r="AO253" s="28" t="s">
        <v>547</v>
      </c>
      <c r="AP253" s="28" t="s">
        <v>509</v>
      </c>
      <c r="AQ253" s="17" t="s">
        <v>35</v>
      </c>
      <c r="AS253" s="27">
        <f>AM253+AN253</f>
        <v>0</v>
      </c>
      <c r="AT253" s="27">
        <f>G253/(100-AU253)*100</f>
        <v>0</v>
      </c>
      <c r="AU253" s="27">
        <v>0</v>
      </c>
      <c r="AV253" s="27">
        <f>L253</f>
        <v>0.00653598</v>
      </c>
    </row>
    <row r="254" spans="1:6" ht="12.75">
      <c r="A254" s="43"/>
      <c r="B254" s="43"/>
      <c r="C254" s="43"/>
      <c r="D254" s="31" t="s">
        <v>578</v>
      </c>
      <c r="E254" s="43"/>
      <c r="F254" s="43"/>
    </row>
    <row r="255" spans="1:48" ht="12.75">
      <c r="A255" s="23" t="s">
        <v>579</v>
      </c>
      <c r="B255" s="23"/>
      <c r="C255" s="23" t="s">
        <v>560</v>
      </c>
      <c r="D255" s="23" t="s">
        <v>580</v>
      </c>
      <c r="E255" s="23" t="s">
        <v>75</v>
      </c>
      <c r="F255" s="24">
        <v>4.435</v>
      </c>
      <c r="G255" s="47">
        <v>0</v>
      </c>
      <c r="H255" s="25">
        <f>F255*AE255</f>
        <v>0</v>
      </c>
      <c r="I255" s="25">
        <f>J255-H255</f>
        <v>0</v>
      </c>
      <c r="J255" s="25">
        <f>F255*G255</f>
        <v>0</v>
      </c>
      <c r="K255" s="25">
        <v>0.003</v>
      </c>
      <c r="L255" s="25">
        <f>F255*K255</f>
        <v>0.013304999999999999</v>
      </c>
      <c r="M255" s="26" t="s">
        <v>32</v>
      </c>
      <c r="P255" s="27">
        <f>IF(AG255="5",J255,0)</f>
        <v>0</v>
      </c>
      <c r="R255" s="27">
        <f>IF(AG255="1",H255,0)</f>
        <v>0</v>
      </c>
      <c r="S255" s="27">
        <f>IF(AG255="1",I255,0)</f>
        <v>0</v>
      </c>
      <c r="T255" s="27">
        <f>IF(AG255="7",H255,0)</f>
        <v>0</v>
      </c>
      <c r="U255" s="27">
        <f>IF(AG255="7",I255,0)</f>
        <v>0</v>
      </c>
      <c r="V255" s="27">
        <f>IF(AG255="2",H255,0)</f>
        <v>0</v>
      </c>
      <c r="W255" s="27">
        <f>IF(AG255="2",I255,0)</f>
        <v>0</v>
      </c>
      <c r="X255" s="27">
        <f>IF(AG255="0",J255,0)</f>
        <v>0</v>
      </c>
      <c r="Y255" s="17"/>
      <c r="Z255" s="25">
        <f>IF(AD255=0,J255,0)</f>
        <v>0</v>
      </c>
      <c r="AA255" s="25">
        <f>IF(AD255=15,J255,0)</f>
        <v>0</v>
      </c>
      <c r="AB255" s="25">
        <f>IF(AD255=21,J255,0)</f>
        <v>0</v>
      </c>
      <c r="AD255" s="27">
        <v>15</v>
      </c>
      <c r="AE255" s="27">
        <f>G255*0.24720910428118</f>
        <v>0</v>
      </c>
      <c r="AF255" s="27">
        <f>G255*(1-0.24720910428118)</f>
        <v>0</v>
      </c>
      <c r="AG255" s="26" t="s">
        <v>54</v>
      </c>
      <c r="AM255" s="27">
        <f>F255*AE255</f>
        <v>0</v>
      </c>
      <c r="AN255" s="27">
        <f>F255*AF255</f>
        <v>0</v>
      </c>
      <c r="AO255" s="28" t="s">
        <v>547</v>
      </c>
      <c r="AP255" s="28" t="s">
        <v>509</v>
      </c>
      <c r="AQ255" s="17" t="s">
        <v>35</v>
      </c>
      <c r="AS255" s="27">
        <f>AM255+AN255</f>
        <v>0</v>
      </c>
      <c r="AT255" s="27">
        <f>G255/(100-AU255)*100</f>
        <v>0</v>
      </c>
      <c r="AU255" s="27">
        <v>0</v>
      </c>
      <c r="AV255" s="27">
        <f>L255</f>
        <v>0.013304999999999999</v>
      </c>
    </row>
    <row r="256" spans="1:48" ht="12.75">
      <c r="A256" s="32" t="s">
        <v>581</v>
      </c>
      <c r="B256" s="32"/>
      <c r="C256" s="32" t="s">
        <v>582</v>
      </c>
      <c r="D256" s="32" t="s">
        <v>583</v>
      </c>
      <c r="E256" s="32" t="s">
        <v>31</v>
      </c>
      <c r="F256" s="33">
        <v>0.452</v>
      </c>
      <c r="G256" s="50">
        <v>0</v>
      </c>
      <c r="H256" s="34">
        <f>F256*AE256</f>
        <v>0</v>
      </c>
      <c r="I256" s="34">
        <f>J256-H256</f>
        <v>0</v>
      </c>
      <c r="J256" s="34">
        <f>F256*G256</f>
        <v>0</v>
      </c>
      <c r="K256" s="34">
        <v>0.03</v>
      </c>
      <c r="L256" s="34">
        <f>F256*K256</f>
        <v>0.01356</v>
      </c>
      <c r="M256" s="35" t="s">
        <v>32</v>
      </c>
      <c r="P256" s="27">
        <f>IF(AG256="5",J256,0)</f>
        <v>0</v>
      </c>
      <c r="R256" s="27">
        <f>IF(AG256="1",H256,0)</f>
        <v>0</v>
      </c>
      <c r="S256" s="27">
        <f>IF(AG256="1",I256,0)</f>
        <v>0</v>
      </c>
      <c r="T256" s="27">
        <f>IF(AG256="7",H256,0)</f>
        <v>0</v>
      </c>
      <c r="U256" s="27">
        <f>IF(AG256="7",I256,0)</f>
        <v>0</v>
      </c>
      <c r="V256" s="27">
        <f>IF(AG256="2",H256,0)</f>
        <v>0</v>
      </c>
      <c r="W256" s="27">
        <f>IF(AG256="2",I256,0)</f>
        <v>0</v>
      </c>
      <c r="X256" s="27">
        <f>IF(AG256="0",J256,0)</f>
        <v>0</v>
      </c>
      <c r="Y256" s="17"/>
      <c r="Z256" s="34">
        <f>IF(AD256=0,J256,0)</f>
        <v>0</v>
      </c>
      <c r="AA256" s="34">
        <f>IF(AD256=15,J256,0)</f>
        <v>0</v>
      </c>
      <c r="AB256" s="34">
        <f>IF(AD256=21,J256,0)</f>
        <v>0</v>
      </c>
      <c r="AD256" s="27">
        <v>15</v>
      </c>
      <c r="AE256" s="27">
        <f>G256*1</f>
        <v>0</v>
      </c>
      <c r="AF256" s="27">
        <f>G256*(1-1)</f>
        <v>0</v>
      </c>
      <c r="AG256" s="35" t="s">
        <v>54</v>
      </c>
      <c r="AM256" s="27">
        <f>F256*AE256</f>
        <v>0</v>
      </c>
      <c r="AN256" s="27">
        <f>F256*AF256</f>
        <v>0</v>
      </c>
      <c r="AO256" s="28" t="s">
        <v>547</v>
      </c>
      <c r="AP256" s="28" t="s">
        <v>509</v>
      </c>
      <c r="AQ256" s="17" t="s">
        <v>35</v>
      </c>
      <c r="AS256" s="27">
        <f>AM256+AN256</f>
        <v>0</v>
      </c>
      <c r="AT256" s="27">
        <f>G256/(100-AU256)*100</f>
        <v>0</v>
      </c>
      <c r="AU256" s="27">
        <v>0</v>
      </c>
      <c r="AV256" s="27">
        <f>L256</f>
        <v>0.01356</v>
      </c>
    </row>
    <row r="257" spans="1:48" ht="12.75">
      <c r="A257" s="23" t="s">
        <v>584</v>
      </c>
      <c r="B257" s="23"/>
      <c r="C257" s="23" t="s">
        <v>560</v>
      </c>
      <c r="D257" s="23" t="s">
        <v>585</v>
      </c>
      <c r="E257" s="23" t="s">
        <v>75</v>
      </c>
      <c r="F257" s="24">
        <v>16.53</v>
      </c>
      <c r="G257" s="47">
        <v>0</v>
      </c>
      <c r="H257" s="25">
        <f>F257*AE257</f>
        <v>0</v>
      </c>
      <c r="I257" s="25">
        <f>J257-H257</f>
        <v>0</v>
      </c>
      <c r="J257" s="25">
        <f>F257*G257</f>
        <v>0</v>
      </c>
      <c r="K257" s="25">
        <v>0.003</v>
      </c>
      <c r="L257" s="25">
        <f>F257*K257</f>
        <v>0.04959</v>
      </c>
      <c r="M257" s="26" t="s">
        <v>32</v>
      </c>
      <c r="P257" s="27">
        <f>IF(AG257="5",J257,0)</f>
        <v>0</v>
      </c>
      <c r="R257" s="27">
        <f>IF(AG257="1",H257,0)</f>
        <v>0</v>
      </c>
      <c r="S257" s="27">
        <f>IF(AG257="1",I257,0)</f>
        <v>0</v>
      </c>
      <c r="T257" s="27">
        <f>IF(AG257="7",H257,0)</f>
        <v>0</v>
      </c>
      <c r="U257" s="27">
        <f>IF(AG257="7",I257,0)</f>
        <v>0</v>
      </c>
      <c r="V257" s="27">
        <f>IF(AG257="2",H257,0)</f>
        <v>0</v>
      </c>
      <c r="W257" s="27">
        <f>IF(AG257="2",I257,0)</f>
        <v>0</v>
      </c>
      <c r="X257" s="27">
        <f>IF(AG257="0",J257,0)</f>
        <v>0</v>
      </c>
      <c r="Y257" s="17"/>
      <c r="Z257" s="25">
        <f>IF(AD257=0,J257,0)</f>
        <v>0</v>
      </c>
      <c r="AA257" s="25">
        <f>IF(AD257=15,J257,0)</f>
        <v>0</v>
      </c>
      <c r="AB257" s="25">
        <f>IF(AD257=21,J257,0)</f>
        <v>0</v>
      </c>
      <c r="AD257" s="27">
        <v>15</v>
      </c>
      <c r="AE257" s="27">
        <f>G257*0.247209658574581</f>
        <v>0</v>
      </c>
      <c r="AF257" s="27">
        <f>G257*(1-0.247209658574581)</f>
        <v>0</v>
      </c>
      <c r="AG257" s="26" t="s">
        <v>54</v>
      </c>
      <c r="AM257" s="27">
        <f>F257*AE257</f>
        <v>0</v>
      </c>
      <c r="AN257" s="27">
        <f>F257*AF257</f>
        <v>0</v>
      </c>
      <c r="AO257" s="28" t="s">
        <v>547</v>
      </c>
      <c r="AP257" s="28" t="s">
        <v>509</v>
      </c>
      <c r="AQ257" s="17" t="s">
        <v>35</v>
      </c>
      <c r="AS257" s="27">
        <f>AM257+AN257</f>
        <v>0</v>
      </c>
      <c r="AT257" s="27">
        <f>G257/(100-AU257)*100</f>
        <v>0</v>
      </c>
      <c r="AU257" s="27">
        <v>0</v>
      </c>
      <c r="AV257" s="27">
        <f>L257</f>
        <v>0.04959</v>
      </c>
    </row>
    <row r="258" spans="1:6" ht="12.75">
      <c r="A258" s="43"/>
      <c r="B258" s="43"/>
      <c r="C258" s="43"/>
      <c r="D258" s="31" t="s">
        <v>586</v>
      </c>
      <c r="E258" s="43"/>
      <c r="F258" s="43"/>
    </row>
    <row r="259" spans="1:48" ht="12.75">
      <c r="A259" s="32" t="s">
        <v>587</v>
      </c>
      <c r="B259" s="32"/>
      <c r="C259" s="32" t="s">
        <v>582</v>
      </c>
      <c r="D259" s="32" t="s">
        <v>583</v>
      </c>
      <c r="E259" s="32" t="s">
        <v>31</v>
      </c>
      <c r="F259" s="33">
        <v>1.685</v>
      </c>
      <c r="G259" s="50">
        <v>0</v>
      </c>
      <c r="H259" s="34">
        <f>F259*AE259</f>
        <v>0</v>
      </c>
      <c r="I259" s="34">
        <f>J259-H259</f>
        <v>0</v>
      </c>
      <c r="J259" s="34">
        <f>F259*G259</f>
        <v>0</v>
      </c>
      <c r="K259" s="34">
        <v>0.03</v>
      </c>
      <c r="L259" s="34">
        <f>F259*K259</f>
        <v>0.05055</v>
      </c>
      <c r="M259" s="35" t="s">
        <v>32</v>
      </c>
      <c r="P259" s="27">
        <f>IF(AG259="5",J259,0)</f>
        <v>0</v>
      </c>
      <c r="R259" s="27">
        <f>IF(AG259="1",H259,0)</f>
        <v>0</v>
      </c>
      <c r="S259" s="27">
        <f>IF(AG259="1",I259,0)</f>
        <v>0</v>
      </c>
      <c r="T259" s="27">
        <f>IF(AG259="7",H259,0)</f>
        <v>0</v>
      </c>
      <c r="U259" s="27">
        <f>IF(AG259="7",I259,0)</f>
        <v>0</v>
      </c>
      <c r="V259" s="27">
        <f>IF(AG259="2",H259,0)</f>
        <v>0</v>
      </c>
      <c r="W259" s="27">
        <f>IF(AG259="2",I259,0)</f>
        <v>0</v>
      </c>
      <c r="X259" s="27">
        <f>IF(AG259="0",J259,0)</f>
        <v>0</v>
      </c>
      <c r="Y259" s="17"/>
      <c r="Z259" s="34">
        <f>IF(AD259=0,J259,0)</f>
        <v>0</v>
      </c>
      <c r="AA259" s="34">
        <f>IF(AD259=15,J259,0)</f>
        <v>0</v>
      </c>
      <c r="AB259" s="34">
        <f>IF(AD259=21,J259,0)</f>
        <v>0</v>
      </c>
      <c r="AD259" s="27">
        <v>15</v>
      </c>
      <c r="AE259" s="27">
        <f>G259*1</f>
        <v>0</v>
      </c>
      <c r="AF259" s="27">
        <f>G259*(1-1)</f>
        <v>0</v>
      </c>
      <c r="AG259" s="35" t="s">
        <v>54</v>
      </c>
      <c r="AM259" s="27">
        <f>F259*AE259</f>
        <v>0</v>
      </c>
      <c r="AN259" s="27">
        <f>F259*AF259</f>
        <v>0</v>
      </c>
      <c r="AO259" s="28" t="s">
        <v>547</v>
      </c>
      <c r="AP259" s="28" t="s">
        <v>509</v>
      </c>
      <c r="AQ259" s="17" t="s">
        <v>35</v>
      </c>
      <c r="AS259" s="27">
        <f>AM259+AN259</f>
        <v>0</v>
      </c>
      <c r="AT259" s="27">
        <f>G259/(100-AU259)*100</f>
        <v>0</v>
      </c>
      <c r="AU259" s="27">
        <v>0</v>
      </c>
      <c r="AV259" s="27">
        <f>L259</f>
        <v>0.05055</v>
      </c>
    </row>
    <row r="260" spans="1:48" ht="12.75">
      <c r="A260" s="23" t="s">
        <v>588</v>
      </c>
      <c r="B260" s="23"/>
      <c r="C260" s="23" t="s">
        <v>589</v>
      </c>
      <c r="D260" s="23" t="s">
        <v>590</v>
      </c>
      <c r="E260" s="23" t="s">
        <v>75</v>
      </c>
      <c r="F260" s="24">
        <v>80.6</v>
      </c>
      <c r="G260" s="47">
        <v>0</v>
      </c>
      <c r="H260" s="25">
        <f>F260*AE260</f>
        <v>0</v>
      </c>
      <c r="I260" s="25">
        <f>J260-H260</f>
        <v>0</v>
      </c>
      <c r="J260" s="25">
        <f>F260*G260</f>
        <v>0</v>
      </c>
      <c r="K260" s="25">
        <v>0.00018</v>
      </c>
      <c r="L260" s="25">
        <f>F260*K260</f>
        <v>0.014508</v>
      </c>
      <c r="M260" s="26" t="s">
        <v>32</v>
      </c>
      <c r="P260" s="27">
        <f>IF(AG260="5",J260,0)</f>
        <v>0</v>
      </c>
      <c r="R260" s="27">
        <f>IF(AG260="1",H260,0)</f>
        <v>0</v>
      </c>
      <c r="S260" s="27">
        <f>IF(AG260="1",I260,0)</f>
        <v>0</v>
      </c>
      <c r="T260" s="27">
        <f>IF(AG260="7",H260,0)</f>
        <v>0</v>
      </c>
      <c r="U260" s="27">
        <f>IF(AG260="7",I260,0)</f>
        <v>0</v>
      </c>
      <c r="V260" s="27">
        <f>IF(AG260="2",H260,0)</f>
        <v>0</v>
      </c>
      <c r="W260" s="27">
        <f>IF(AG260="2",I260,0)</f>
        <v>0</v>
      </c>
      <c r="X260" s="27">
        <f>IF(AG260="0",J260,0)</f>
        <v>0</v>
      </c>
      <c r="Y260" s="17"/>
      <c r="Z260" s="25">
        <f>IF(AD260=0,J260,0)</f>
        <v>0</v>
      </c>
      <c r="AA260" s="25">
        <f>IF(AD260=15,J260,0)</f>
        <v>0</v>
      </c>
      <c r="AB260" s="25">
        <f>IF(AD260=21,J260,0)</f>
        <v>0</v>
      </c>
      <c r="AD260" s="27">
        <v>15</v>
      </c>
      <c r="AE260" s="27">
        <f>G260*0.301685985247629</f>
        <v>0</v>
      </c>
      <c r="AF260" s="27">
        <f>G260*(1-0.301685985247629)</f>
        <v>0</v>
      </c>
      <c r="AG260" s="26" t="s">
        <v>54</v>
      </c>
      <c r="AM260" s="27">
        <f>F260*AE260</f>
        <v>0</v>
      </c>
      <c r="AN260" s="27">
        <f>F260*AF260</f>
        <v>0</v>
      </c>
      <c r="AO260" s="28" t="s">
        <v>547</v>
      </c>
      <c r="AP260" s="28" t="s">
        <v>509</v>
      </c>
      <c r="AQ260" s="17" t="s">
        <v>35</v>
      </c>
      <c r="AS260" s="27">
        <f>AM260+AN260</f>
        <v>0</v>
      </c>
      <c r="AT260" s="27">
        <f>G260/(100-AU260)*100</f>
        <v>0</v>
      </c>
      <c r="AU260" s="27">
        <v>0</v>
      </c>
      <c r="AV260" s="27">
        <f>L260</f>
        <v>0.014508</v>
      </c>
    </row>
    <row r="261" spans="1:6" ht="12.75">
      <c r="A261" s="43"/>
      <c r="B261" s="43"/>
      <c r="C261" s="43"/>
      <c r="D261" s="31" t="s">
        <v>591</v>
      </c>
      <c r="E261" s="43"/>
      <c r="F261" s="43"/>
    </row>
    <row r="262" spans="1:48" ht="12.75">
      <c r="A262" s="23" t="s">
        <v>592</v>
      </c>
      <c r="B262" s="23"/>
      <c r="C262" s="23" t="s">
        <v>593</v>
      </c>
      <c r="D262" s="23" t="s">
        <v>594</v>
      </c>
      <c r="E262" s="23" t="s">
        <v>75</v>
      </c>
      <c r="F262" s="24">
        <v>6.4</v>
      </c>
      <c r="G262" s="47">
        <v>0</v>
      </c>
      <c r="H262" s="25">
        <f>F262*AE262</f>
        <v>0</v>
      </c>
      <c r="I262" s="25">
        <f>J262-H262</f>
        <v>0</v>
      </c>
      <c r="J262" s="25">
        <f>F262*G262</f>
        <v>0</v>
      </c>
      <c r="K262" s="25">
        <v>0.01808</v>
      </c>
      <c r="L262" s="25">
        <f>F262*K262</f>
        <v>0.115712</v>
      </c>
      <c r="M262" s="26" t="s">
        <v>32</v>
      </c>
      <c r="P262" s="27">
        <f>IF(AG262="5",J262,0)</f>
        <v>0</v>
      </c>
      <c r="R262" s="27">
        <f>IF(AG262="1",H262,0)</f>
        <v>0</v>
      </c>
      <c r="S262" s="27">
        <f>IF(AG262="1",I262,0)</f>
        <v>0</v>
      </c>
      <c r="T262" s="27">
        <f>IF(AG262="7",H262,0)</f>
        <v>0</v>
      </c>
      <c r="U262" s="27">
        <f>IF(AG262="7",I262,0)</f>
        <v>0</v>
      </c>
      <c r="V262" s="27">
        <f>IF(AG262="2",H262,0)</f>
        <v>0</v>
      </c>
      <c r="W262" s="27">
        <f>IF(AG262="2",I262,0)</f>
        <v>0</v>
      </c>
      <c r="X262" s="27">
        <f>IF(AG262="0",J262,0)</f>
        <v>0</v>
      </c>
      <c r="Y262" s="17"/>
      <c r="Z262" s="25">
        <f>IF(AD262=0,J262,0)</f>
        <v>0</v>
      </c>
      <c r="AA262" s="25">
        <f>IF(AD262=15,J262,0)</f>
        <v>0</v>
      </c>
      <c r="AB262" s="25">
        <f>IF(AD262=21,J262,0)</f>
        <v>0</v>
      </c>
      <c r="AD262" s="27">
        <v>15</v>
      </c>
      <c r="AE262" s="27">
        <f>G262*0.815167393913988</f>
        <v>0</v>
      </c>
      <c r="AF262" s="27">
        <f>G262*(1-0.815167393913988)</f>
        <v>0</v>
      </c>
      <c r="AG262" s="26" t="s">
        <v>54</v>
      </c>
      <c r="AM262" s="27">
        <f>F262*AE262</f>
        <v>0</v>
      </c>
      <c r="AN262" s="27">
        <f>F262*AF262</f>
        <v>0</v>
      </c>
      <c r="AO262" s="28" t="s">
        <v>547</v>
      </c>
      <c r="AP262" s="28" t="s">
        <v>509</v>
      </c>
      <c r="AQ262" s="17" t="s">
        <v>35</v>
      </c>
      <c r="AS262" s="27">
        <f>AM262+AN262</f>
        <v>0</v>
      </c>
      <c r="AT262" s="27">
        <f>G262/(100-AU262)*100</f>
        <v>0</v>
      </c>
      <c r="AU262" s="27">
        <v>0</v>
      </c>
      <c r="AV262" s="27">
        <f>L262</f>
        <v>0.115712</v>
      </c>
    </row>
    <row r="263" spans="1:6" ht="12.75">
      <c r="A263" s="43"/>
      <c r="B263" s="43"/>
      <c r="C263" s="43"/>
      <c r="D263" s="31" t="s">
        <v>595</v>
      </c>
      <c r="E263" s="43"/>
      <c r="F263" s="43"/>
    </row>
    <row r="264" spans="1:48" ht="12.75">
      <c r="A264" s="23" t="s">
        <v>596</v>
      </c>
      <c r="B264" s="23"/>
      <c r="C264" s="23" t="s">
        <v>597</v>
      </c>
      <c r="D264" s="23" t="s">
        <v>598</v>
      </c>
      <c r="E264" s="23" t="s">
        <v>109</v>
      </c>
      <c r="F264" s="24">
        <v>0.964</v>
      </c>
      <c r="G264" s="47">
        <v>0</v>
      </c>
      <c r="H264" s="25">
        <f>F264*AE264</f>
        <v>0</v>
      </c>
      <c r="I264" s="25">
        <f>J264-H264</f>
        <v>0</v>
      </c>
      <c r="J264" s="25">
        <f>F264*G264</f>
        <v>0</v>
      </c>
      <c r="K264" s="25">
        <v>0</v>
      </c>
      <c r="L264" s="25">
        <f>F264*K264</f>
        <v>0</v>
      </c>
      <c r="M264" s="26" t="s">
        <v>32</v>
      </c>
      <c r="P264" s="27">
        <f>IF(AG264="5",J264,0)</f>
        <v>0</v>
      </c>
      <c r="R264" s="27">
        <f>IF(AG264="1",H264,0)</f>
        <v>0</v>
      </c>
      <c r="S264" s="27">
        <f>IF(AG264="1",I264,0)</f>
        <v>0</v>
      </c>
      <c r="T264" s="27">
        <f>IF(AG264="7",H264,0)</f>
        <v>0</v>
      </c>
      <c r="U264" s="27">
        <f>IF(AG264="7",I264,0)</f>
        <v>0</v>
      </c>
      <c r="V264" s="27">
        <f>IF(AG264="2",H264,0)</f>
        <v>0</v>
      </c>
      <c r="W264" s="27">
        <f>IF(AG264="2",I264,0)</f>
        <v>0</v>
      </c>
      <c r="X264" s="27">
        <f>IF(AG264="0",J264,0)</f>
        <v>0</v>
      </c>
      <c r="Y264" s="17"/>
      <c r="Z264" s="25">
        <f>IF(AD264=0,J264,0)</f>
        <v>0</v>
      </c>
      <c r="AA264" s="25">
        <f>IF(AD264=15,J264,0)</f>
        <v>0</v>
      </c>
      <c r="AB264" s="25">
        <f>IF(AD264=21,J264,0)</f>
        <v>0</v>
      </c>
      <c r="AD264" s="27">
        <v>15</v>
      </c>
      <c r="AE264" s="27">
        <f>G264*0</f>
        <v>0</v>
      </c>
      <c r="AF264" s="27">
        <f>G264*(1-0)</f>
        <v>0</v>
      </c>
      <c r="AG264" s="26" t="s">
        <v>49</v>
      </c>
      <c r="AM264" s="27">
        <f>F264*AE264</f>
        <v>0</v>
      </c>
      <c r="AN264" s="27">
        <f>F264*AF264</f>
        <v>0</v>
      </c>
      <c r="AO264" s="28" t="s">
        <v>547</v>
      </c>
      <c r="AP264" s="28" t="s">
        <v>509</v>
      </c>
      <c r="AQ264" s="17" t="s">
        <v>35</v>
      </c>
      <c r="AS264" s="27">
        <f>AM264+AN264</f>
        <v>0</v>
      </c>
      <c r="AT264" s="27">
        <f>G264/(100-AU264)*100</f>
        <v>0</v>
      </c>
      <c r="AU264" s="27">
        <v>0</v>
      </c>
      <c r="AV264" s="27">
        <f>L264</f>
        <v>0</v>
      </c>
    </row>
    <row r="265" spans="1:37" ht="12.75">
      <c r="A265" s="29"/>
      <c r="B265" s="30"/>
      <c r="C265" s="30" t="s">
        <v>599</v>
      </c>
      <c r="D265" s="30" t="s">
        <v>600</v>
      </c>
      <c r="E265" s="29" t="s">
        <v>10</v>
      </c>
      <c r="F265" s="29" t="s">
        <v>10</v>
      </c>
      <c r="G265" s="48" t="s">
        <v>10</v>
      </c>
      <c r="H265" s="22">
        <f>SUM(H266:H286)</f>
        <v>0</v>
      </c>
      <c r="I265" s="22">
        <f>SUM(I266:I286)</f>
        <v>0</v>
      </c>
      <c r="J265" s="22">
        <f>H265+I265</f>
        <v>0</v>
      </c>
      <c r="K265" s="17"/>
      <c r="L265" s="22">
        <f>SUM(L266:L286)</f>
        <v>7.98142</v>
      </c>
      <c r="M265" s="17"/>
      <c r="Y265" s="17"/>
      <c r="AI265" s="22">
        <f>SUM(Z266:Z286)</f>
        <v>0</v>
      </c>
      <c r="AJ265" s="22">
        <f>SUM(AA266:AA286)</f>
        <v>0</v>
      </c>
      <c r="AK265" s="22">
        <f>SUM(AB266:AB286)</f>
        <v>0</v>
      </c>
    </row>
    <row r="266" spans="1:48" ht="12.75">
      <c r="A266" s="23" t="s">
        <v>601</v>
      </c>
      <c r="B266" s="23"/>
      <c r="C266" s="23" t="s">
        <v>602</v>
      </c>
      <c r="D266" s="23" t="s">
        <v>603</v>
      </c>
      <c r="E266" s="23" t="s">
        <v>41</v>
      </c>
      <c r="F266" s="24">
        <v>8</v>
      </c>
      <c r="G266" s="47">
        <v>0</v>
      </c>
      <c r="H266" s="25">
        <f aca="true" t="shared" si="20" ref="H266:H275">F266*AE266</f>
        <v>0</v>
      </c>
      <c r="I266" s="25">
        <f aca="true" t="shared" si="21" ref="I266:I275">J266-H266</f>
        <v>0</v>
      </c>
      <c r="J266" s="25">
        <f aca="true" t="shared" si="22" ref="J266:J275">F266*G266</f>
        <v>0</v>
      </c>
      <c r="K266" s="25">
        <v>0.21664</v>
      </c>
      <c r="L266" s="25">
        <f aca="true" t="shared" si="23" ref="L266:L275">F266*K266</f>
        <v>1.73312</v>
      </c>
      <c r="M266" s="26" t="s">
        <v>32</v>
      </c>
      <c r="P266" s="27">
        <f aca="true" t="shared" si="24" ref="P266:P275">IF(AG266="5",J266,0)</f>
        <v>0</v>
      </c>
      <c r="R266" s="27">
        <f aca="true" t="shared" si="25" ref="R266:R275">IF(AG266="1",H266,0)</f>
        <v>0</v>
      </c>
      <c r="S266" s="27">
        <f aca="true" t="shared" si="26" ref="S266:S275">IF(AG266="1",I266,0)</f>
        <v>0</v>
      </c>
      <c r="T266" s="27">
        <f aca="true" t="shared" si="27" ref="T266:T275">IF(AG266="7",H266,0)</f>
        <v>0</v>
      </c>
      <c r="U266" s="27">
        <f aca="true" t="shared" si="28" ref="U266:U275">IF(AG266="7",I266,0)</f>
        <v>0</v>
      </c>
      <c r="V266" s="27">
        <f aca="true" t="shared" si="29" ref="V266:V275">IF(AG266="2",H266,0)</f>
        <v>0</v>
      </c>
      <c r="W266" s="27">
        <f aca="true" t="shared" si="30" ref="W266:W275">IF(AG266="2",I266,0)</f>
        <v>0</v>
      </c>
      <c r="X266" s="27">
        <f aca="true" t="shared" si="31" ref="X266:X275">IF(AG266="0",J266,0)</f>
        <v>0</v>
      </c>
      <c r="Y266" s="17"/>
      <c r="Z266" s="25">
        <f aca="true" t="shared" si="32" ref="Z266:Z275">IF(AD266=0,J266,0)</f>
        <v>0</v>
      </c>
      <c r="AA266" s="25">
        <f aca="true" t="shared" si="33" ref="AA266:AA275">IF(AD266=15,J266,0)</f>
        <v>0</v>
      </c>
      <c r="AB266" s="25">
        <f aca="true" t="shared" si="34" ref="AB266:AB275">IF(AD266=21,J266,0)</f>
        <v>0</v>
      </c>
      <c r="AD266" s="27">
        <v>15</v>
      </c>
      <c r="AE266" s="27">
        <f>G266*0.300359409499104</f>
        <v>0</v>
      </c>
      <c r="AF266" s="27">
        <f>G266*(1-0.300359409499104)</f>
        <v>0</v>
      </c>
      <c r="AG266" s="26" t="s">
        <v>54</v>
      </c>
      <c r="AM266" s="27">
        <f aca="true" t="shared" si="35" ref="AM266:AM275">F266*AE266</f>
        <v>0</v>
      </c>
      <c r="AN266" s="27">
        <f aca="true" t="shared" si="36" ref="AN266:AN275">F266*AF266</f>
        <v>0</v>
      </c>
      <c r="AO266" s="28" t="s">
        <v>604</v>
      </c>
      <c r="AP266" s="28" t="s">
        <v>605</v>
      </c>
      <c r="AQ266" s="17" t="s">
        <v>35</v>
      </c>
      <c r="AS266" s="27">
        <f aca="true" t="shared" si="37" ref="AS266:AS275">AM266+AN266</f>
        <v>0</v>
      </c>
      <c r="AT266" s="27">
        <f aca="true" t="shared" si="38" ref="AT266:AT275">G266/(100-AU266)*100</f>
        <v>0</v>
      </c>
      <c r="AU266" s="27">
        <v>0</v>
      </c>
      <c r="AV266" s="27">
        <f aca="true" t="shared" si="39" ref="AV266:AV275">L266</f>
        <v>1.73312</v>
      </c>
    </row>
    <row r="267" spans="1:48" ht="12.75">
      <c r="A267" s="23" t="s">
        <v>606</v>
      </c>
      <c r="B267" s="23"/>
      <c r="C267" s="23" t="s">
        <v>607</v>
      </c>
      <c r="D267" s="23" t="s">
        <v>608</v>
      </c>
      <c r="E267" s="23" t="s">
        <v>41</v>
      </c>
      <c r="F267" s="24">
        <v>10</v>
      </c>
      <c r="G267" s="47">
        <v>0</v>
      </c>
      <c r="H267" s="25">
        <f t="shared" si="20"/>
        <v>0</v>
      </c>
      <c r="I267" s="25">
        <f t="shared" si="21"/>
        <v>0</v>
      </c>
      <c r="J267" s="25">
        <f t="shared" si="22"/>
        <v>0</v>
      </c>
      <c r="K267" s="25">
        <v>0.21706</v>
      </c>
      <c r="L267" s="25">
        <f t="shared" si="23"/>
        <v>2.1706</v>
      </c>
      <c r="M267" s="26" t="s">
        <v>32</v>
      </c>
      <c r="P267" s="27">
        <f t="shared" si="24"/>
        <v>0</v>
      </c>
      <c r="R267" s="27">
        <f t="shared" si="25"/>
        <v>0</v>
      </c>
      <c r="S267" s="27">
        <f t="shared" si="26"/>
        <v>0</v>
      </c>
      <c r="T267" s="27">
        <f t="shared" si="27"/>
        <v>0</v>
      </c>
      <c r="U267" s="27">
        <f t="shared" si="28"/>
        <v>0</v>
      </c>
      <c r="V267" s="27">
        <f t="shared" si="29"/>
        <v>0</v>
      </c>
      <c r="W267" s="27">
        <f t="shared" si="30"/>
        <v>0</v>
      </c>
      <c r="X267" s="27">
        <f t="shared" si="31"/>
        <v>0</v>
      </c>
      <c r="Y267" s="17"/>
      <c r="Z267" s="25">
        <f t="shared" si="32"/>
        <v>0</v>
      </c>
      <c r="AA267" s="25">
        <f t="shared" si="33"/>
        <v>0</v>
      </c>
      <c r="AB267" s="25">
        <f t="shared" si="34"/>
        <v>0</v>
      </c>
      <c r="AD267" s="27">
        <v>15</v>
      </c>
      <c r="AE267" s="27">
        <f>G267*0.361226038410811</f>
        <v>0</v>
      </c>
      <c r="AF267" s="27">
        <f>G267*(1-0.361226038410811)</f>
        <v>0</v>
      </c>
      <c r="AG267" s="26" t="s">
        <v>54</v>
      </c>
      <c r="AM267" s="27">
        <f t="shared" si="35"/>
        <v>0</v>
      </c>
      <c r="AN267" s="27">
        <f t="shared" si="36"/>
        <v>0</v>
      </c>
      <c r="AO267" s="28" t="s">
        <v>604</v>
      </c>
      <c r="AP267" s="28" t="s">
        <v>605</v>
      </c>
      <c r="AQ267" s="17" t="s">
        <v>35</v>
      </c>
      <c r="AS267" s="27">
        <f t="shared" si="37"/>
        <v>0</v>
      </c>
      <c r="AT267" s="27">
        <f t="shared" si="38"/>
        <v>0</v>
      </c>
      <c r="AU267" s="27">
        <v>0</v>
      </c>
      <c r="AV267" s="27">
        <f t="shared" si="39"/>
        <v>2.1706</v>
      </c>
    </row>
    <row r="268" spans="1:48" ht="12.75">
      <c r="A268" s="23" t="s">
        <v>609</v>
      </c>
      <c r="B268" s="23"/>
      <c r="C268" s="23" t="s">
        <v>610</v>
      </c>
      <c r="D268" s="23" t="s">
        <v>611</v>
      </c>
      <c r="E268" s="23" t="s">
        <v>41</v>
      </c>
      <c r="F268" s="24">
        <v>11</v>
      </c>
      <c r="G268" s="47">
        <v>0</v>
      </c>
      <c r="H268" s="25">
        <f t="shared" si="20"/>
        <v>0</v>
      </c>
      <c r="I268" s="25">
        <f t="shared" si="21"/>
        <v>0</v>
      </c>
      <c r="J268" s="25">
        <f t="shared" si="22"/>
        <v>0</v>
      </c>
      <c r="K268" s="25">
        <v>0.35976</v>
      </c>
      <c r="L268" s="25">
        <f t="shared" si="23"/>
        <v>3.9573600000000004</v>
      </c>
      <c r="M268" s="26" t="s">
        <v>32</v>
      </c>
      <c r="P268" s="27">
        <f t="shared" si="24"/>
        <v>0</v>
      </c>
      <c r="R268" s="27">
        <f t="shared" si="25"/>
        <v>0</v>
      </c>
      <c r="S268" s="27">
        <f t="shared" si="26"/>
        <v>0</v>
      </c>
      <c r="T268" s="27">
        <f t="shared" si="27"/>
        <v>0</v>
      </c>
      <c r="U268" s="27">
        <f t="shared" si="28"/>
        <v>0</v>
      </c>
      <c r="V268" s="27">
        <f t="shared" si="29"/>
        <v>0</v>
      </c>
      <c r="W268" s="27">
        <f t="shared" si="30"/>
        <v>0</v>
      </c>
      <c r="X268" s="27">
        <f t="shared" si="31"/>
        <v>0</v>
      </c>
      <c r="Y268" s="17"/>
      <c r="Z268" s="25">
        <f t="shared" si="32"/>
        <v>0</v>
      </c>
      <c r="AA268" s="25">
        <f t="shared" si="33"/>
        <v>0</v>
      </c>
      <c r="AB268" s="25">
        <f t="shared" si="34"/>
        <v>0</v>
      </c>
      <c r="AD268" s="27">
        <v>15</v>
      </c>
      <c r="AE268" s="27">
        <f>G268*0.390900951638291</f>
        <v>0</v>
      </c>
      <c r="AF268" s="27">
        <f>G268*(1-0.390900951638291)</f>
        <v>0</v>
      </c>
      <c r="AG268" s="26" t="s">
        <v>54</v>
      </c>
      <c r="AM268" s="27">
        <f t="shared" si="35"/>
        <v>0</v>
      </c>
      <c r="AN268" s="27">
        <f t="shared" si="36"/>
        <v>0</v>
      </c>
      <c r="AO268" s="28" t="s">
        <v>604</v>
      </c>
      <c r="AP268" s="28" t="s">
        <v>605</v>
      </c>
      <c r="AQ268" s="17" t="s">
        <v>35</v>
      </c>
      <c r="AS268" s="27">
        <f t="shared" si="37"/>
        <v>0</v>
      </c>
      <c r="AT268" s="27">
        <f t="shared" si="38"/>
        <v>0</v>
      </c>
      <c r="AU268" s="27">
        <v>0</v>
      </c>
      <c r="AV268" s="27">
        <f t="shared" si="39"/>
        <v>3.9573600000000004</v>
      </c>
    </row>
    <row r="269" spans="1:48" ht="12.75">
      <c r="A269" s="23" t="s">
        <v>612</v>
      </c>
      <c r="B269" s="23"/>
      <c r="C269" s="23" t="s">
        <v>613</v>
      </c>
      <c r="D269" s="23" t="s">
        <v>614</v>
      </c>
      <c r="E269" s="23" t="s">
        <v>139</v>
      </c>
      <c r="F269" s="24">
        <v>1</v>
      </c>
      <c r="G269" s="47">
        <v>0</v>
      </c>
      <c r="H269" s="25">
        <f t="shared" si="20"/>
        <v>0</v>
      </c>
      <c r="I269" s="25">
        <f t="shared" si="21"/>
        <v>0</v>
      </c>
      <c r="J269" s="25">
        <f t="shared" si="22"/>
        <v>0</v>
      </c>
      <c r="K269" s="25">
        <v>0.00056</v>
      </c>
      <c r="L269" s="25">
        <f t="shared" si="23"/>
        <v>0.00056</v>
      </c>
      <c r="M269" s="26" t="s">
        <v>32</v>
      </c>
      <c r="P269" s="27">
        <f t="shared" si="24"/>
        <v>0</v>
      </c>
      <c r="R269" s="27">
        <f t="shared" si="25"/>
        <v>0</v>
      </c>
      <c r="S269" s="27">
        <f t="shared" si="26"/>
        <v>0</v>
      </c>
      <c r="T269" s="27">
        <f t="shared" si="27"/>
        <v>0</v>
      </c>
      <c r="U269" s="27">
        <f t="shared" si="28"/>
        <v>0</v>
      </c>
      <c r="V269" s="27">
        <f t="shared" si="29"/>
        <v>0</v>
      </c>
      <c r="W269" s="27">
        <f t="shared" si="30"/>
        <v>0</v>
      </c>
      <c r="X269" s="27">
        <f t="shared" si="31"/>
        <v>0</v>
      </c>
      <c r="Y269" s="17"/>
      <c r="Z269" s="25">
        <f t="shared" si="32"/>
        <v>0</v>
      </c>
      <c r="AA269" s="25">
        <f t="shared" si="33"/>
        <v>0</v>
      </c>
      <c r="AB269" s="25">
        <f t="shared" si="34"/>
        <v>0</v>
      </c>
      <c r="AD269" s="27">
        <v>15</v>
      </c>
      <c r="AE269" s="27">
        <f>G269*0.912526389866291</f>
        <v>0</v>
      </c>
      <c r="AF269" s="27">
        <f>G269*(1-0.912526389866291)</f>
        <v>0</v>
      </c>
      <c r="AG269" s="26" t="s">
        <v>54</v>
      </c>
      <c r="AM269" s="27">
        <f t="shared" si="35"/>
        <v>0</v>
      </c>
      <c r="AN269" s="27">
        <f t="shared" si="36"/>
        <v>0</v>
      </c>
      <c r="AO269" s="28" t="s">
        <v>604</v>
      </c>
      <c r="AP269" s="28" t="s">
        <v>605</v>
      </c>
      <c r="AQ269" s="17" t="s">
        <v>35</v>
      </c>
      <c r="AS269" s="27">
        <f t="shared" si="37"/>
        <v>0</v>
      </c>
      <c r="AT269" s="27">
        <f t="shared" si="38"/>
        <v>0</v>
      </c>
      <c r="AU269" s="27">
        <v>0</v>
      </c>
      <c r="AV269" s="27">
        <f t="shared" si="39"/>
        <v>0.00056</v>
      </c>
    </row>
    <row r="270" spans="1:48" ht="12.75">
      <c r="A270" s="23" t="s">
        <v>615</v>
      </c>
      <c r="B270" s="23"/>
      <c r="C270" s="23" t="s">
        <v>616</v>
      </c>
      <c r="D270" s="23" t="s">
        <v>617</v>
      </c>
      <c r="E270" s="23" t="s">
        <v>139</v>
      </c>
      <c r="F270" s="24">
        <v>1</v>
      </c>
      <c r="G270" s="47">
        <v>0</v>
      </c>
      <c r="H270" s="25">
        <f t="shared" si="20"/>
        <v>0</v>
      </c>
      <c r="I270" s="25">
        <f t="shared" si="21"/>
        <v>0</v>
      </c>
      <c r="J270" s="25">
        <f t="shared" si="22"/>
        <v>0</v>
      </c>
      <c r="K270" s="25">
        <v>0.00092</v>
      </c>
      <c r="L270" s="25">
        <f t="shared" si="23"/>
        <v>0.00092</v>
      </c>
      <c r="M270" s="26" t="s">
        <v>32</v>
      </c>
      <c r="P270" s="27">
        <f t="shared" si="24"/>
        <v>0</v>
      </c>
      <c r="R270" s="27">
        <f t="shared" si="25"/>
        <v>0</v>
      </c>
      <c r="S270" s="27">
        <f t="shared" si="26"/>
        <v>0</v>
      </c>
      <c r="T270" s="27">
        <f t="shared" si="27"/>
        <v>0</v>
      </c>
      <c r="U270" s="27">
        <f t="shared" si="28"/>
        <v>0</v>
      </c>
      <c r="V270" s="27">
        <f t="shared" si="29"/>
        <v>0</v>
      </c>
      <c r="W270" s="27">
        <f t="shared" si="30"/>
        <v>0</v>
      </c>
      <c r="X270" s="27">
        <f t="shared" si="31"/>
        <v>0</v>
      </c>
      <c r="Y270" s="17"/>
      <c r="Z270" s="25">
        <f t="shared" si="32"/>
        <v>0</v>
      </c>
      <c r="AA270" s="25">
        <f t="shared" si="33"/>
        <v>0</v>
      </c>
      <c r="AB270" s="25">
        <f t="shared" si="34"/>
        <v>0</v>
      </c>
      <c r="AD270" s="27">
        <v>15</v>
      </c>
      <c r="AE270" s="27">
        <f>G270*0.988770520321281</f>
        <v>0</v>
      </c>
      <c r="AF270" s="27">
        <f>G270*(1-0.988770520321281)</f>
        <v>0</v>
      </c>
      <c r="AG270" s="26" t="s">
        <v>54</v>
      </c>
      <c r="AM270" s="27">
        <f t="shared" si="35"/>
        <v>0</v>
      </c>
      <c r="AN270" s="27">
        <f t="shared" si="36"/>
        <v>0</v>
      </c>
      <c r="AO270" s="28" t="s">
        <v>604</v>
      </c>
      <c r="AP270" s="28" t="s">
        <v>605</v>
      </c>
      <c r="AQ270" s="17" t="s">
        <v>35</v>
      </c>
      <c r="AS270" s="27">
        <f t="shared" si="37"/>
        <v>0</v>
      </c>
      <c r="AT270" s="27">
        <f t="shared" si="38"/>
        <v>0</v>
      </c>
      <c r="AU270" s="27">
        <v>0</v>
      </c>
      <c r="AV270" s="27">
        <f t="shared" si="39"/>
        <v>0.00092</v>
      </c>
    </row>
    <row r="271" spans="1:48" ht="12.75">
      <c r="A271" s="23" t="s">
        <v>618</v>
      </c>
      <c r="B271" s="23"/>
      <c r="C271" s="23" t="s">
        <v>619</v>
      </c>
      <c r="D271" s="23" t="s">
        <v>620</v>
      </c>
      <c r="E271" s="23" t="s">
        <v>41</v>
      </c>
      <c r="F271" s="24">
        <v>8</v>
      </c>
      <c r="G271" s="47">
        <v>0</v>
      </c>
      <c r="H271" s="25">
        <f t="shared" si="20"/>
        <v>0</v>
      </c>
      <c r="I271" s="25">
        <f t="shared" si="21"/>
        <v>0</v>
      </c>
      <c r="J271" s="25">
        <f t="shared" si="22"/>
        <v>0</v>
      </c>
      <c r="K271" s="25">
        <v>0.00038</v>
      </c>
      <c r="L271" s="25">
        <f t="shared" si="23"/>
        <v>0.00304</v>
      </c>
      <c r="M271" s="26" t="s">
        <v>32</v>
      </c>
      <c r="P271" s="27">
        <f t="shared" si="24"/>
        <v>0</v>
      </c>
      <c r="R271" s="27">
        <f t="shared" si="25"/>
        <v>0</v>
      </c>
      <c r="S271" s="27">
        <f t="shared" si="26"/>
        <v>0</v>
      </c>
      <c r="T271" s="27">
        <f t="shared" si="27"/>
        <v>0</v>
      </c>
      <c r="U271" s="27">
        <f t="shared" si="28"/>
        <v>0</v>
      </c>
      <c r="V271" s="27">
        <f t="shared" si="29"/>
        <v>0</v>
      </c>
      <c r="W271" s="27">
        <f t="shared" si="30"/>
        <v>0</v>
      </c>
      <c r="X271" s="27">
        <f t="shared" si="31"/>
        <v>0</v>
      </c>
      <c r="Y271" s="17"/>
      <c r="Z271" s="25">
        <f t="shared" si="32"/>
        <v>0</v>
      </c>
      <c r="AA271" s="25">
        <f t="shared" si="33"/>
        <v>0</v>
      </c>
      <c r="AB271" s="25">
        <f t="shared" si="34"/>
        <v>0</v>
      </c>
      <c r="AD271" s="27">
        <v>15</v>
      </c>
      <c r="AE271" s="27">
        <f>G271*0.335438596491228</f>
        <v>0</v>
      </c>
      <c r="AF271" s="27">
        <f>G271*(1-0.335438596491228)</f>
        <v>0</v>
      </c>
      <c r="AG271" s="26" t="s">
        <v>54</v>
      </c>
      <c r="AM271" s="27">
        <f t="shared" si="35"/>
        <v>0</v>
      </c>
      <c r="AN271" s="27">
        <f t="shared" si="36"/>
        <v>0</v>
      </c>
      <c r="AO271" s="28" t="s">
        <v>604</v>
      </c>
      <c r="AP271" s="28" t="s">
        <v>605</v>
      </c>
      <c r="AQ271" s="17" t="s">
        <v>35</v>
      </c>
      <c r="AS271" s="27">
        <f t="shared" si="37"/>
        <v>0</v>
      </c>
      <c r="AT271" s="27">
        <f t="shared" si="38"/>
        <v>0</v>
      </c>
      <c r="AU271" s="27">
        <v>0</v>
      </c>
      <c r="AV271" s="27">
        <f t="shared" si="39"/>
        <v>0.00304</v>
      </c>
    </row>
    <row r="272" spans="1:48" ht="12.75">
      <c r="A272" s="23" t="s">
        <v>621</v>
      </c>
      <c r="B272" s="23"/>
      <c r="C272" s="23" t="s">
        <v>622</v>
      </c>
      <c r="D272" s="23" t="s">
        <v>623</v>
      </c>
      <c r="E272" s="23" t="s">
        <v>41</v>
      </c>
      <c r="F272" s="24">
        <v>6</v>
      </c>
      <c r="G272" s="47">
        <v>0</v>
      </c>
      <c r="H272" s="25">
        <f t="shared" si="20"/>
        <v>0</v>
      </c>
      <c r="I272" s="25">
        <f t="shared" si="21"/>
        <v>0</v>
      </c>
      <c r="J272" s="25">
        <f t="shared" si="22"/>
        <v>0</v>
      </c>
      <c r="K272" s="25">
        <v>0.00047</v>
      </c>
      <c r="L272" s="25">
        <f t="shared" si="23"/>
        <v>0.00282</v>
      </c>
      <c r="M272" s="26" t="s">
        <v>32</v>
      </c>
      <c r="P272" s="27">
        <f t="shared" si="24"/>
        <v>0</v>
      </c>
      <c r="R272" s="27">
        <f t="shared" si="25"/>
        <v>0</v>
      </c>
      <c r="S272" s="27">
        <f t="shared" si="26"/>
        <v>0</v>
      </c>
      <c r="T272" s="27">
        <f t="shared" si="27"/>
        <v>0</v>
      </c>
      <c r="U272" s="27">
        <f t="shared" si="28"/>
        <v>0</v>
      </c>
      <c r="V272" s="27">
        <f t="shared" si="29"/>
        <v>0</v>
      </c>
      <c r="W272" s="27">
        <f t="shared" si="30"/>
        <v>0</v>
      </c>
      <c r="X272" s="27">
        <f t="shared" si="31"/>
        <v>0</v>
      </c>
      <c r="Y272" s="17"/>
      <c r="Z272" s="25">
        <f t="shared" si="32"/>
        <v>0</v>
      </c>
      <c r="AA272" s="25">
        <f t="shared" si="33"/>
        <v>0</v>
      </c>
      <c r="AB272" s="25">
        <f t="shared" si="34"/>
        <v>0</v>
      </c>
      <c r="AD272" s="27">
        <v>15</v>
      </c>
      <c r="AE272" s="27">
        <f>G272*0.319267734553776</f>
        <v>0</v>
      </c>
      <c r="AF272" s="27">
        <f>G272*(1-0.319267734553776)</f>
        <v>0</v>
      </c>
      <c r="AG272" s="26" t="s">
        <v>54</v>
      </c>
      <c r="AM272" s="27">
        <f t="shared" si="35"/>
        <v>0</v>
      </c>
      <c r="AN272" s="27">
        <f t="shared" si="36"/>
        <v>0</v>
      </c>
      <c r="AO272" s="28" t="s">
        <v>604</v>
      </c>
      <c r="AP272" s="28" t="s">
        <v>605</v>
      </c>
      <c r="AQ272" s="17" t="s">
        <v>35</v>
      </c>
      <c r="AS272" s="27">
        <f t="shared" si="37"/>
        <v>0</v>
      </c>
      <c r="AT272" s="27">
        <f t="shared" si="38"/>
        <v>0</v>
      </c>
      <c r="AU272" s="27">
        <v>0</v>
      </c>
      <c r="AV272" s="27">
        <f t="shared" si="39"/>
        <v>0.00282</v>
      </c>
    </row>
    <row r="273" spans="1:48" ht="12.75">
      <c r="A273" s="23" t="s">
        <v>624</v>
      </c>
      <c r="B273" s="23"/>
      <c r="C273" s="23" t="s">
        <v>625</v>
      </c>
      <c r="D273" s="23" t="s">
        <v>626</v>
      </c>
      <c r="E273" s="23" t="s">
        <v>41</v>
      </c>
      <c r="F273" s="24">
        <v>1</v>
      </c>
      <c r="G273" s="47">
        <v>0</v>
      </c>
      <c r="H273" s="25">
        <f t="shared" si="20"/>
        <v>0</v>
      </c>
      <c r="I273" s="25">
        <f t="shared" si="21"/>
        <v>0</v>
      </c>
      <c r="J273" s="25">
        <f t="shared" si="22"/>
        <v>0</v>
      </c>
      <c r="K273" s="25">
        <v>0.00152</v>
      </c>
      <c r="L273" s="25">
        <f t="shared" si="23"/>
        <v>0.00152</v>
      </c>
      <c r="M273" s="26" t="s">
        <v>32</v>
      </c>
      <c r="P273" s="27">
        <f t="shared" si="24"/>
        <v>0</v>
      </c>
      <c r="R273" s="27">
        <f t="shared" si="25"/>
        <v>0</v>
      </c>
      <c r="S273" s="27">
        <f t="shared" si="26"/>
        <v>0</v>
      </c>
      <c r="T273" s="27">
        <f t="shared" si="27"/>
        <v>0</v>
      </c>
      <c r="U273" s="27">
        <f t="shared" si="28"/>
        <v>0</v>
      </c>
      <c r="V273" s="27">
        <f t="shared" si="29"/>
        <v>0</v>
      </c>
      <c r="W273" s="27">
        <f t="shared" si="30"/>
        <v>0</v>
      </c>
      <c r="X273" s="27">
        <f t="shared" si="31"/>
        <v>0</v>
      </c>
      <c r="Y273" s="17"/>
      <c r="Z273" s="25">
        <f t="shared" si="32"/>
        <v>0</v>
      </c>
      <c r="AA273" s="25">
        <f t="shared" si="33"/>
        <v>0</v>
      </c>
      <c r="AB273" s="25">
        <f t="shared" si="34"/>
        <v>0</v>
      </c>
      <c r="AD273" s="27">
        <v>15</v>
      </c>
      <c r="AE273" s="27">
        <f>G273*0.304721030042918</f>
        <v>0</v>
      </c>
      <c r="AF273" s="27">
        <f>G273*(1-0.304721030042918)</f>
        <v>0</v>
      </c>
      <c r="AG273" s="26" t="s">
        <v>54</v>
      </c>
      <c r="AM273" s="27">
        <f t="shared" si="35"/>
        <v>0</v>
      </c>
      <c r="AN273" s="27">
        <f t="shared" si="36"/>
        <v>0</v>
      </c>
      <c r="AO273" s="28" t="s">
        <v>604</v>
      </c>
      <c r="AP273" s="28" t="s">
        <v>605</v>
      </c>
      <c r="AQ273" s="17" t="s">
        <v>35</v>
      </c>
      <c r="AS273" s="27">
        <f t="shared" si="37"/>
        <v>0</v>
      </c>
      <c r="AT273" s="27">
        <f t="shared" si="38"/>
        <v>0</v>
      </c>
      <c r="AU273" s="27">
        <v>0</v>
      </c>
      <c r="AV273" s="27">
        <f t="shared" si="39"/>
        <v>0.00152</v>
      </c>
    </row>
    <row r="274" spans="1:48" ht="12.75">
      <c r="A274" s="23" t="s">
        <v>627</v>
      </c>
      <c r="B274" s="23"/>
      <c r="C274" s="23" t="s">
        <v>628</v>
      </c>
      <c r="D274" s="23" t="s">
        <v>629</v>
      </c>
      <c r="E274" s="23" t="s">
        <v>41</v>
      </c>
      <c r="F274" s="24">
        <v>1</v>
      </c>
      <c r="G274" s="47">
        <v>0</v>
      </c>
      <c r="H274" s="25">
        <f t="shared" si="20"/>
        <v>0</v>
      </c>
      <c r="I274" s="25">
        <f t="shared" si="21"/>
        <v>0</v>
      </c>
      <c r="J274" s="25">
        <f t="shared" si="22"/>
        <v>0</v>
      </c>
      <c r="K274" s="25">
        <v>0.00288</v>
      </c>
      <c r="L274" s="25">
        <f t="shared" si="23"/>
        <v>0.00288</v>
      </c>
      <c r="M274" s="26" t="s">
        <v>32</v>
      </c>
      <c r="P274" s="27">
        <f t="shared" si="24"/>
        <v>0</v>
      </c>
      <c r="R274" s="27">
        <f t="shared" si="25"/>
        <v>0</v>
      </c>
      <c r="S274" s="27">
        <f t="shared" si="26"/>
        <v>0</v>
      </c>
      <c r="T274" s="27">
        <f t="shared" si="27"/>
        <v>0</v>
      </c>
      <c r="U274" s="27">
        <f t="shared" si="28"/>
        <v>0</v>
      </c>
      <c r="V274" s="27">
        <f t="shared" si="29"/>
        <v>0</v>
      </c>
      <c r="W274" s="27">
        <f t="shared" si="30"/>
        <v>0</v>
      </c>
      <c r="X274" s="27">
        <f t="shared" si="31"/>
        <v>0</v>
      </c>
      <c r="Y274" s="17"/>
      <c r="Z274" s="25">
        <f t="shared" si="32"/>
        <v>0</v>
      </c>
      <c r="AA274" s="25">
        <f t="shared" si="33"/>
        <v>0</v>
      </c>
      <c r="AB274" s="25">
        <f t="shared" si="34"/>
        <v>0</v>
      </c>
      <c r="AD274" s="27">
        <v>15</v>
      </c>
      <c r="AE274" s="27">
        <f>G274*0.490524017467249</f>
        <v>0</v>
      </c>
      <c r="AF274" s="27">
        <f>G274*(1-0.490524017467249)</f>
        <v>0</v>
      </c>
      <c r="AG274" s="26" t="s">
        <v>54</v>
      </c>
      <c r="AM274" s="27">
        <f t="shared" si="35"/>
        <v>0</v>
      </c>
      <c r="AN274" s="27">
        <f t="shared" si="36"/>
        <v>0</v>
      </c>
      <c r="AO274" s="28" t="s">
        <v>604</v>
      </c>
      <c r="AP274" s="28" t="s">
        <v>605</v>
      </c>
      <c r="AQ274" s="17" t="s">
        <v>35</v>
      </c>
      <c r="AS274" s="27">
        <f t="shared" si="37"/>
        <v>0</v>
      </c>
      <c r="AT274" s="27">
        <f t="shared" si="38"/>
        <v>0</v>
      </c>
      <c r="AU274" s="27">
        <v>0</v>
      </c>
      <c r="AV274" s="27">
        <f t="shared" si="39"/>
        <v>0.00288</v>
      </c>
    </row>
    <row r="275" spans="1:48" ht="12.75">
      <c r="A275" s="23" t="s">
        <v>630</v>
      </c>
      <c r="B275" s="23"/>
      <c r="C275" s="23" t="s">
        <v>631</v>
      </c>
      <c r="D275" s="23" t="s">
        <v>632</v>
      </c>
      <c r="E275" s="23" t="s">
        <v>139</v>
      </c>
      <c r="F275" s="24">
        <v>1</v>
      </c>
      <c r="G275" s="47">
        <v>0</v>
      </c>
      <c r="H275" s="25">
        <f t="shared" si="20"/>
        <v>0</v>
      </c>
      <c r="I275" s="25">
        <f t="shared" si="21"/>
        <v>0</v>
      </c>
      <c r="J275" s="25">
        <f t="shared" si="22"/>
        <v>0</v>
      </c>
      <c r="K275" s="25">
        <v>0.0032</v>
      </c>
      <c r="L275" s="25">
        <f t="shared" si="23"/>
        <v>0.0032</v>
      </c>
      <c r="M275" s="26" t="s">
        <v>32</v>
      </c>
      <c r="P275" s="27">
        <f t="shared" si="24"/>
        <v>0</v>
      </c>
      <c r="R275" s="27">
        <f t="shared" si="25"/>
        <v>0</v>
      </c>
      <c r="S275" s="27">
        <f t="shared" si="26"/>
        <v>0</v>
      </c>
      <c r="T275" s="27">
        <f t="shared" si="27"/>
        <v>0</v>
      </c>
      <c r="U275" s="27">
        <f t="shared" si="28"/>
        <v>0</v>
      </c>
      <c r="V275" s="27">
        <f t="shared" si="29"/>
        <v>0</v>
      </c>
      <c r="W275" s="27">
        <f t="shared" si="30"/>
        <v>0</v>
      </c>
      <c r="X275" s="27">
        <f t="shared" si="31"/>
        <v>0</v>
      </c>
      <c r="Y275" s="17"/>
      <c r="Z275" s="25">
        <f t="shared" si="32"/>
        <v>0</v>
      </c>
      <c r="AA275" s="25">
        <f t="shared" si="33"/>
        <v>0</v>
      </c>
      <c r="AB275" s="25">
        <f t="shared" si="34"/>
        <v>0</v>
      </c>
      <c r="AD275" s="27">
        <v>15</v>
      </c>
      <c r="AE275" s="27">
        <f>G275*0.940424836601307</f>
        <v>0</v>
      </c>
      <c r="AF275" s="27">
        <f>G275*(1-0.940424836601307)</f>
        <v>0</v>
      </c>
      <c r="AG275" s="26" t="s">
        <v>54</v>
      </c>
      <c r="AM275" s="27">
        <f t="shared" si="35"/>
        <v>0</v>
      </c>
      <c r="AN275" s="27">
        <f t="shared" si="36"/>
        <v>0</v>
      </c>
      <c r="AO275" s="28" t="s">
        <v>604</v>
      </c>
      <c r="AP275" s="28" t="s">
        <v>605</v>
      </c>
      <c r="AQ275" s="17" t="s">
        <v>35</v>
      </c>
      <c r="AS275" s="27">
        <f t="shared" si="37"/>
        <v>0</v>
      </c>
      <c r="AT275" s="27">
        <f t="shared" si="38"/>
        <v>0</v>
      </c>
      <c r="AU275" s="27">
        <v>0</v>
      </c>
      <c r="AV275" s="27">
        <f t="shared" si="39"/>
        <v>0.0032</v>
      </c>
    </row>
    <row r="276" spans="1:6" ht="12.75">
      <c r="A276" s="43"/>
      <c r="B276" s="43"/>
      <c r="C276" s="43"/>
      <c r="D276" s="31" t="s">
        <v>633</v>
      </c>
      <c r="E276" s="43"/>
      <c r="F276" s="43"/>
    </row>
    <row r="277" spans="1:48" ht="12.75">
      <c r="A277" s="23" t="s">
        <v>634</v>
      </c>
      <c r="B277" s="23"/>
      <c r="C277" s="23" t="s">
        <v>635</v>
      </c>
      <c r="D277" s="23" t="s">
        <v>636</v>
      </c>
      <c r="E277" s="23" t="s">
        <v>41</v>
      </c>
      <c r="F277" s="24">
        <v>7</v>
      </c>
      <c r="G277" s="47">
        <v>0</v>
      </c>
      <c r="H277" s="25">
        <f aca="true" t="shared" si="40" ref="H277:H282">F277*AE277</f>
        <v>0</v>
      </c>
      <c r="I277" s="25">
        <f aca="true" t="shared" si="41" ref="I277:I282">J277-H277</f>
        <v>0</v>
      </c>
      <c r="J277" s="25">
        <f aca="true" t="shared" si="42" ref="J277:J282">F277*G277</f>
        <v>0</v>
      </c>
      <c r="K277" s="25">
        <v>0.00131</v>
      </c>
      <c r="L277" s="25">
        <f aca="true" t="shared" si="43" ref="L277:L282">F277*K277</f>
        <v>0.00917</v>
      </c>
      <c r="M277" s="26" t="s">
        <v>32</v>
      </c>
      <c r="P277" s="27">
        <f aca="true" t="shared" si="44" ref="P277:P282">IF(AG277="5",J277,0)</f>
        <v>0</v>
      </c>
      <c r="R277" s="27">
        <f aca="true" t="shared" si="45" ref="R277:R282">IF(AG277="1",H277,0)</f>
        <v>0</v>
      </c>
      <c r="S277" s="27">
        <f aca="true" t="shared" si="46" ref="S277:S282">IF(AG277="1",I277,0)</f>
        <v>0</v>
      </c>
      <c r="T277" s="27">
        <f aca="true" t="shared" si="47" ref="T277:T282">IF(AG277="7",H277,0)</f>
        <v>0</v>
      </c>
      <c r="U277" s="27">
        <f aca="true" t="shared" si="48" ref="U277:U282">IF(AG277="7",I277,0)</f>
        <v>0</v>
      </c>
      <c r="V277" s="27">
        <f aca="true" t="shared" si="49" ref="V277:V282">IF(AG277="2",H277,0)</f>
        <v>0</v>
      </c>
      <c r="W277" s="27">
        <f aca="true" t="shared" si="50" ref="W277:W282">IF(AG277="2",I277,0)</f>
        <v>0</v>
      </c>
      <c r="X277" s="27">
        <f aca="true" t="shared" si="51" ref="X277:X282">IF(AG277="0",J277,0)</f>
        <v>0</v>
      </c>
      <c r="Y277" s="17"/>
      <c r="Z277" s="25">
        <f aca="true" t="shared" si="52" ref="Z277:Z282">IF(AD277=0,J277,0)</f>
        <v>0</v>
      </c>
      <c r="AA277" s="25">
        <f aca="true" t="shared" si="53" ref="AA277:AA282">IF(AD277=15,J277,0)</f>
        <v>0</v>
      </c>
      <c r="AB277" s="25">
        <f aca="true" t="shared" si="54" ref="AB277:AB282">IF(AD277=21,J277,0)</f>
        <v>0</v>
      </c>
      <c r="AD277" s="27">
        <v>15</v>
      </c>
      <c r="AE277" s="27">
        <f>G277*0.415212765957447</f>
        <v>0</v>
      </c>
      <c r="AF277" s="27">
        <f>G277*(1-0.415212765957447)</f>
        <v>0</v>
      </c>
      <c r="AG277" s="26" t="s">
        <v>54</v>
      </c>
      <c r="AM277" s="27">
        <f aca="true" t="shared" si="55" ref="AM277:AM282">F277*AE277</f>
        <v>0</v>
      </c>
      <c r="AN277" s="27">
        <f aca="true" t="shared" si="56" ref="AN277:AN282">F277*AF277</f>
        <v>0</v>
      </c>
      <c r="AO277" s="28" t="s">
        <v>604</v>
      </c>
      <c r="AP277" s="28" t="s">
        <v>605</v>
      </c>
      <c r="AQ277" s="17" t="s">
        <v>35</v>
      </c>
      <c r="AS277" s="27">
        <f aca="true" t="shared" si="57" ref="AS277:AS282">AM277+AN277</f>
        <v>0</v>
      </c>
      <c r="AT277" s="27">
        <f aca="true" t="shared" si="58" ref="AT277:AT282">G277/(100-AU277)*100</f>
        <v>0</v>
      </c>
      <c r="AU277" s="27">
        <v>0</v>
      </c>
      <c r="AV277" s="27">
        <f aca="true" t="shared" si="59" ref="AV277:AV282">L277</f>
        <v>0.00917</v>
      </c>
    </row>
    <row r="278" spans="1:48" ht="12.75">
      <c r="A278" s="23" t="s">
        <v>637</v>
      </c>
      <c r="B278" s="23"/>
      <c r="C278" s="23" t="s">
        <v>638</v>
      </c>
      <c r="D278" s="23" t="s">
        <v>639</v>
      </c>
      <c r="E278" s="23" t="s">
        <v>139</v>
      </c>
      <c r="F278" s="24">
        <v>1</v>
      </c>
      <c r="G278" s="47">
        <v>0</v>
      </c>
      <c r="H278" s="25">
        <f t="shared" si="40"/>
        <v>0</v>
      </c>
      <c r="I278" s="25">
        <f t="shared" si="41"/>
        <v>0</v>
      </c>
      <c r="J278" s="25">
        <f t="shared" si="42"/>
        <v>0</v>
      </c>
      <c r="K278" s="25">
        <v>0.07966</v>
      </c>
      <c r="L278" s="25">
        <f t="shared" si="43"/>
        <v>0.07966</v>
      </c>
      <c r="M278" s="26" t="s">
        <v>32</v>
      </c>
      <c r="P278" s="27">
        <f t="shared" si="44"/>
        <v>0</v>
      </c>
      <c r="R278" s="27">
        <f t="shared" si="45"/>
        <v>0</v>
      </c>
      <c r="S278" s="27">
        <f t="shared" si="46"/>
        <v>0</v>
      </c>
      <c r="T278" s="27">
        <f t="shared" si="47"/>
        <v>0</v>
      </c>
      <c r="U278" s="27">
        <f t="shared" si="48"/>
        <v>0</v>
      </c>
      <c r="V278" s="27">
        <f t="shared" si="49"/>
        <v>0</v>
      </c>
      <c r="W278" s="27">
        <f t="shared" si="50"/>
        <v>0</v>
      </c>
      <c r="X278" s="27">
        <f t="shared" si="51"/>
        <v>0</v>
      </c>
      <c r="Y278" s="17"/>
      <c r="Z278" s="25">
        <f t="shared" si="52"/>
        <v>0</v>
      </c>
      <c r="AA278" s="25">
        <f t="shared" si="53"/>
        <v>0</v>
      </c>
      <c r="AB278" s="25">
        <f t="shared" si="54"/>
        <v>0</v>
      </c>
      <c r="AD278" s="27">
        <v>15</v>
      </c>
      <c r="AE278" s="27">
        <f>G278*0.917047041674122</f>
        <v>0</v>
      </c>
      <c r="AF278" s="27">
        <f>G278*(1-0.917047041674122)</f>
        <v>0</v>
      </c>
      <c r="AG278" s="26" t="s">
        <v>54</v>
      </c>
      <c r="AM278" s="27">
        <f t="shared" si="55"/>
        <v>0</v>
      </c>
      <c r="AN278" s="27">
        <f t="shared" si="56"/>
        <v>0</v>
      </c>
      <c r="AO278" s="28" t="s">
        <v>604</v>
      </c>
      <c r="AP278" s="28" t="s">
        <v>605</v>
      </c>
      <c r="AQ278" s="17" t="s">
        <v>35</v>
      </c>
      <c r="AS278" s="27">
        <f t="shared" si="57"/>
        <v>0</v>
      </c>
      <c r="AT278" s="27">
        <f t="shared" si="58"/>
        <v>0</v>
      </c>
      <c r="AU278" s="27">
        <v>0</v>
      </c>
      <c r="AV278" s="27">
        <f t="shared" si="59"/>
        <v>0.07966</v>
      </c>
    </row>
    <row r="279" spans="1:48" ht="12.75">
      <c r="A279" s="23" t="s">
        <v>640</v>
      </c>
      <c r="B279" s="23"/>
      <c r="C279" s="23" t="s">
        <v>641</v>
      </c>
      <c r="D279" s="23" t="s">
        <v>642</v>
      </c>
      <c r="E279" s="23" t="s">
        <v>41</v>
      </c>
      <c r="F279" s="24">
        <v>40</v>
      </c>
      <c r="G279" s="47">
        <v>0</v>
      </c>
      <c r="H279" s="25">
        <f t="shared" si="40"/>
        <v>0</v>
      </c>
      <c r="I279" s="25">
        <f t="shared" si="41"/>
        <v>0</v>
      </c>
      <c r="J279" s="25">
        <f t="shared" si="42"/>
        <v>0</v>
      </c>
      <c r="K279" s="25">
        <v>0</v>
      </c>
      <c r="L279" s="25">
        <f t="shared" si="43"/>
        <v>0</v>
      </c>
      <c r="M279" s="26" t="s">
        <v>32</v>
      </c>
      <c r="P279" s="27">
        <f t="shared" si="44"/>
        <v>0</v>
      </c>
      <c r="R279" s="27">
        <f t="shared" si="45"/>
        <v>0</v>
      </c>
      <c r="S279" s="27">
        <f t="shared" si="46"/>
        <v>0</v>
      </c>
      <c r="T279" s="27">
        <f t="shared" si="47"/>
        <v>0</v>
      </c>
      <c r="U279" s="27">
        <f t="shared" si="48"/>
        <v>0</v>
      </c>
      <c r="V279" s="27">
        <f t="shared" si="49"/>
        <v>0</v>
      </c>
      <c r="W279" s="27">
        <f t="shared" si="50"/>
        <v>0</v>
      </c>
      <c r="X279" s="27">
        <f t="shared" si="51"/>
        <v>0</v>
      </c>
      <c r="Y279" s="17"/>
      <c r="Z279" s="25">
        <f t="shared" si="52"/>
        <v>0</v>
      </c>
      <c r="AA279" s="25">
        <f t="shared" si="53"/>
        <v>0</v>
      </c>
      <c r="AB279" s="25">
        <f t="shared" si="54"/>
        <v>0</v>
      </c>
      <c r="AD279" s="27">
        <v>15</v>
      </c>
      <c r="AE279" s="27">
        <f>G279*0.0273170731707317</f>
        <v>0</v>
      </c>
      <c r="AF279" s="27">
        <f>G279*(1-0.0273170731707317)</f>
        <v>0</v>
      </c>
      <c r="AG279" s="26" t="s">
        <v>54</v>
      </c>
      <c r="AM279" s="27">
        <f t="shared" si="55"/>
        <v>0</v>
      </c>
      <c r="AN279" s="27">
        <f t="shared" si="56"/>
        <v>0</v>
      </c>
      <c r="AO279" s="28" t="s">
        <v>604</v>
      </c>
      <c r="AP279" s="28" t="s">
        <v>605</v>
      </c>
      <c r="AQ279" s="17" t="s">
        <v>35</v>
      </c>
      <c r="AS279" s="27">
        <f t="shared" si="57"/>
        <v>0</v>
      </c>
      <c r="AT279" s="27">
        <f t="shared" si="58"/>
        <v>0</v>
      </c>
      <c r="AU279" s="27">
        <v>0</v>
      </c>
      <c r="AV279" s="27">
        <f t="shared" si="59"/>
        <v>0</v>
      </c>
    </row>
    <row r="280" spans="1:48" ht="12.75">
      <c r="A280" s="23" t="s">
        <v>643</v>
      </c>
      <c r="B280" s="23"/>
      <c r="C280" s="23" t="s">
        <v>644</v>
      </c>
      <c r="D280" s="23" t="s">
        <v>645</v>
      </c>
      <c r="E280" s="23" t="s">
        <v>41</v>
      </c>
      <c r="F280" s="24">
        <v>11</v>
      </c>
      <c r="G280" s="47">
        <v>0</v>
      </c>
      <c r="H280" s="25">
        <f t="shared" si="40"/>
        <v>0</v>
      </c>
      <c r="I280" s="25">
        <f t="shared" si="41"/>
        <v>0</v>
      </c>
      <c r="J280" s="25">
        <f t="shared" si="42"/>
        <v>0</v>
      </c>
      <c r="K280" s="25">
        <v>0</v>
      </c>
      <c r="L280" s="25">
        <f t="shared" si="43"/>
        <v>0</v>
      </c>
      <c r="M280" s="26" t="s">
        <v>32</v>
      </c>
      <c r="P280" s="27">
        <f t="shared" si="44"/>
        <v>0</v>
      </c>
      <c r="R280" s="27">
        <f t="shared" si="45"/>
        <v>0</v>
      </c>
      <c r="S280" s="27">
        <f t="shared" si="46"/>
        <v>0</v>
      </c>
      <c r="T280" s="27">
        <f t="shared" si="47"/>
        <v>0</v>
      </c>
      <c r="U280" s="27">
        <f t="shared" si="48"/>
        <v>0</v>
      </c>
      <c r="V280" s="27">
        <f t="shared" si="49"/>
        <v>0</v>
      </c>
      <c r="W280" s="27">
        <f t="shared" si="50"/>
        <v>0</v>
      </c>
      <c r="X280" s="27">
        <f t="shared" si="51"/>
        <v>0</v>
      </c>
      <c r="Y280" s="17"/>
      <c r="Z280" s="25">
        <f t="shared" si="52"/>
        <v>0</v>
      </c>
      <c r="AA280" s="25">
        <f t="shared" si="53"/>
        <v>0</v>
      </c>
      <c r="AB280" s="25">
        <f t="shared" si="54"/>
        <v>0</v>
      </c>
      <c r="AD280" s="27">
        <v>15</v>
      </c>
      <c r="AE280" s="27">
        <f>G280*0.0835518920944174</f>
        <v>0</v>
      </c>
      <c r="AF280" s="27">
        <f>G280*(1-0.0835518920944174)</f>
        <v>0</v>
      </c>
      <c r="AG280" s="26" t="s">
        <v>54</v>
      </c>
      <c r="AM280" s="27">
        <f t="shared" si="55"/>
        <v>0</v>
      </c>
      <c r="AN280" s="27">
        <f t="shared" si="56"/>
        <v>0</v>
      </c>
      <c r="AO280" s="28" t="s">
        <v>604</v>
      </c>
      <c r="AP280" s="28" t="s">
        <v>605</v>
      </c>
      <c r="AQ280" s="17" t="s">
        <v>35</v>
      </c>
      <c r="AS280" s="27">
        <f t="shared" si="57"/>
        <v>0</v>
      </c>
      <c r="AT280" s="27">
        <f t="shared" si="58"/>
        <v>0</v>
      </c>
      <c r="AU280" s="27">
        <v>0</v>
      </c>
      <c r="AV280" s="27">
        <f t="shared" si="59"/>
        <v>0</v>
      </c>
    </row>
    <row r="281" spans="1:48" ht="12.75">
      <c r="A281" s="23" t="s">
        <v>646</v>
      </c>
      <c r="B281" s="23"/>
      <c r="C281" s="23" t="s">
        <v>647</v>
      </c>
      <c r="D281" s="23" t="s">
        <v>648</v>
      </c>
      <c r="E281" s="23" t="s">
        <v>41</v>
      </c>
      <c r="F281" s="24">
        <v>2</v>
      </c>
      <c r="G281" s="47">
        <v>0</v>
      </c>
      <c r="H281" s="25">
        <f t="shared" si="40"/>
        <v>0</v>
      </c>
      <c r="I281" s="25">
        <f t="shared" si="41"/>
        <v>0</v>
      </c>
      <c r="J281" s="25">
        <f t="shared" si="42"/>
        <v>0</v>
      </c>
      <c r="K281" s="25">
        <v>0.00173</v>
      </c>
      <c r="L281" s="25">
        <f t="shared" si="43"/>
        <v>0.00346</v>
      </c>
      <c r="M281" s="26" t="s">
        <v>32</v>
      </c>
      <c r="P281" s="27">
        <f t="shared" si="44"/>
        <v>0</v>
      </c>
      <c r="R281" s="27">
        <f t="shared" si="45"/>
        <v>0</v>
      </c>
      <c r="S281" s="27">
        <f t="shared" si="46"/>
        <v>0</v>
      </c>
      <c r="T281" s="27">
        <f t="shared" si="47"/>
        <v>0</v>
      </c>
      <c r="U281" s="27">
        <f t="shared" si="48"/>
        <v>0</v>
      </c>
      <c r="V281" s="27">
        <f t="shared" si="49"/>
        <v>0</v>
      </c>
      <c r="W281" s="27">
        <f t="shared" si="50"/>
        <v>0</v>
      </c>
      <c r="X281" s="27">
        <f t="shared" si="51"/>
        <v>0</v>
      </c>
      <c r="Y281" s="17"/>
      <c r="Z281" s="25">
        <f t="shared" si="52"/>
        <v>0</v>
      </c>
      <c r="AA281" s="25">
        <f t="shared" si="53"/>
        <v>0</v>
      </c>
      <c r="AB281" s="25">
        <f t="shared" si="54"/>
        <v>0</v>
      </c>
      <c r="AD281" s="27">
        <v>15</v>
      </c>
      <c r="AE281" s="27">
        <f>G281*0.630692888128222</f>
        <v>0</v>
      </c>
      <c r="AF281" s="27">
        <f>G281*(1-0.630692888128222)</f>
        <v>0</v>
      </c>
      <c r="AG281" s="26" t="s">
        <v>54</v>
      </c>
      <c r="AM281" s="27">
        <f t="shared" si="55"/>
        <v>0</v>
      </c>
      <c r="AN281" s="27">
        <f t="shared" si="56"/>
        <v>0</v>
      </c>
      <c r="AO281" s="28" t="s">
        <v>604</v>
      </c>
      <c r="AP281" s="28" t="s">
        <v>605</v>
      </c>
      <c r="AQ281" s="17" t="s">
        <v>35</v>
      </c>
      <c r="AS281" s="27">
        <f t="shared" si="57"/>
        <v>0</v>
      </c>
      <c r="AT281" s="27">
        <f t="shared" si="58"/>
        <v>0</v>
      </c>
      <c r="AU281" s="27">
        <v>0</v>
      </c>
      <c r="AV281" s="27">
        <f t="shared" si="59"/>
        <v>0.00346</v>
      </c>
    </row>
    <row r="282" spans="1:48" ht="12.75">
      <c r="A282" s="23" t="s">
        <v>649</v>
      </c>
      <c r="B282" s="23"/>
      <c r="C282" s="23" t="s">
        <v>650</v>
      </c>
      <c r="D282" s="23" t="s">
        <v>651</v>
      </c>
      <c r="E282" s="23" t="s">
        <v>41</v>
      </c>
      <c r="F282" s="24">
        <v>3</v>
      </c>
      <c r="G282" s="47">
        <v>0</v>
      </c>
      <c r="H282" s="25">
        <f t="shared" si="40"/>
        <v>0</v>
      </c>
      <c r="I282" s="25">
        <f t="shared" si="41"/>
        <v>0</v>
      </c>
      <c r="J282" s="25">
        <f t="shared" si="42"/>
        <v>0</v>
      </c>
      <c r="K282" s="25">
        <v>0.00245</v>
      </c>
      <c r="L282" s="25">
        <f t="shared" si="43"/>
        <v>0.00735</v>
      </c>
      <c r="M282" s="26" t="s">
        <v>32</v>
      </c>
      <c r="P282" s="27">
        <f t="shared" si="44"/>
        <v>0</v>
      </c>
      <c r="R282" s="27">
        <f t="shared" si="45"/>
        <v>0</v>
      </c>
      <c r="S282" s="27">
        <f t="shared" si="46"/>
        <v>0</v>
      </c>
      <c r="T282" s="27">
        <f t="shared" si="47"/>
        <v>0</v>
      </c>
      <c r="U282" s="27">
        <f t="shared" si="48"/>
        <v>0</v>
      </c>
      <c r="V282" s="27">
        <f t="shared" si="49"/>
        <v>0</v>
      </c>
      <c r="W282" s="27">
        <f t="shared" si="50"/>
        <v>0</v>
      </c>
      <c r="X282" s="27">
        <f t="shared" si="51"/>
        <v>0</v>
      </c>
      <c r="Y282" s="17"/>
      <c r="Z282" s="25">
        <f t="shared" si="52"/>
        <v>0</v>
      </c>
      <c r="AA282" s="25">
        <f t="shared" si="53"/>
        <v>0</v>
      </c>
      <c r="AB282" s="25">
        <f t="shared" si="54"/>
        <v>0</v>
      </c>
      <c r="AD282" s="27">
        <v>15</v>
      </c>
      <c r="AE282" s="27">
        <f>G282*0.7576171875</f>
        <v>0</v>
      </c>
      <c r="AF282" s="27">
        <f>G282*(1-0.7576171875)</f>
        <v>0</v>
      </c>
      <c r="AG282" s="26" t="s">
        <v>54</v>
      </c>
      <c r="AM282" s="27">
        <f t="shared" si="55"/>
        <v>0</v>
      </c>
      <c r="AN282" s="27">
        <f t="shared" si="56"/>
        <v>0</v>
      </c>
      <c r="AO282" s="28" t="s">
        <v>604</v>
      </c>
      <c r="AP282" s="28" t="s">
        <v>605</v>
      </c>
      <c r="AQ282" s="17" t="s">
        <v>35</v>
      </c>
      <c r="AS282" s="27">
        <f t="shared" si="57"/>
        <v>0</v>
      </c>
      <c r="AT282" s="27">
        <f t="shared" si="58"/>
        <v>0</v>
      </c>
      <c r="AU282" s="27">
        <v>0</v>
      </c>
      <c r="AV282" s="27">
        <f t="shared" si="59"/>
        <v>0.00735</v>
      </c>
    </row>
    <row r="283" spans="1:6" ht="12.75">
      <c r="A283" s="43"/>
      <c r="B283" s="43"/>
      <c r="C283" s="43"/>
      <c r="D283" s="31" t="s">
        <v>586</v>
      </c>
      <c r="E283" s="43"/>
      <c r="F283" s="43"/>
    </row>
    <row r="284" spans="1:48" ht="12.75">
      <c r="A284" s="23" t="s">
        <v>652</v>
      </c>
      <c r="B284" s="23"/>
      <c r="C284" s="23" t="s">
        <v>653</v>
      </c>
      <c r="D284" s="23" t="s">
        <v>654</v>
      </c>
      <c r="E284" s="23" t="s">
        <v>41</v>
      </c>
      <c r="F284" s="24">
        <v>4</v>
      </c>
      <c r="G284" s="47">
        <v>0</v>
      </c>
      <c r="H284" s="25">
        <f>F284*AE284</f>
        <v>0</v>
      </c>
      <c r="I284" s="25">
        <f>J284-H284</f>
        <v>0</v>
      </c>
      <c r="J284" s="25">
        <f>F284*G284</f>
        <v>0</v>
      </c>
      <c r="K284" s="25">
        <v>0.00144</v>
      </c>
      <c r="L284" s="25">
        <f>F284*K284</f>
        <v>0.00576</v>
      </c>
      <c r="M284" s="26" t="s">
        <v>32</v>
      </c>
      <c r="P284" s="27">
        <f>IF(AG284="5",J284,0)</f>
        <v>0</v>
      </c>
      <c r="R284" s="27">
        <f>IF(AG284="1",H284,0)</f>
        <v>0</v>
      </c>
      <c r="S284" s="27">
        <f>IF(AG284="1",I284,0)</f>
        <v>0</v>
      </c>
      <c r="T284" s="27">
        <f>IF(AG284="7",H284,0)</f>
        <v>0</v>
      </c>
      <c r="U284" s="27">
        <f>IF(AG284="7",I284,0)</f>
        <v>0</v>
      </c>
      <c r="V284" s="27">
        <f>IF(AG284="2",H284,0)</f>
        <v>0</v>
      </c>
      <c r="W284" s="27">
        <f>IF(AG284="2",I284,0)</f>
        <v>0</v>
      </c>
      <c r="X284" s="27">
        <f>IF(AG284="0",J284,0)</f>
        <v>0</v>
      </c>
      <c r="Y284" s="17"/>
      <c r="Z284" s="25">
        <f>IF(AD284=0,J284,0)</f>
        <v>0</v>
      </c>
      <c r="AA284" s="25">
        <f>IF(AD284=15,J284,0)</f>
        <v>0</v>
      </c>
      <c r="AB284" s="25">
        <f>IF(AD284=21,J284,0)</f>
        <v>0</v>
      </c>
      <c r="AD284" s="27">
        <v>15</v>
      </c>
      <c r="AE284" s="27">
        <f>G284*0.403848920863309</f>
        <v>0</v>
      </c>
      <c r="AF284" s="27">
        <f>G284*(1-0.403848920863309)</f>
        <v>0</v>
      </c>
      <c r="AG284" s="26" t="s">
        <v>54</v>
      </c>
      <c r="AM284" s="27">
        <f>F284*AE284</f>
        <v>0</v>
      </c>
      <c r="AN284" s="27">
        <f>F284*AF284</f>
        <v>0</v>
      </c>
      <c r="AO284" s="28" t="s">
        <v>604</v>
      </c>
      <c r="AP284" s="28" t="s">
        <v>605</v>
      </c>
      <c r="AQ284" s="17" t="s">
        <v>35</v>
      </c>
      <c r="AS284" s="27">
        <f>AM284+AN284</f>
        <v>0</v>
      </c>
      <c r="AT284" s="27">
        <f>G284/(100-AU284)*100</f>
        <v>0</v>
      </c>
      <c r="AU284" s="27">
        <v>0</v>
      </c>
      <c r="AV284" s="27">
        <f>L284</f>
        <v>0.00576</v>
      </c>
    </row>
    <row r="285" spans="1:48" ht="12.75">
      <c r="A285" s="23" t="s">
        <v>655</v>
      </c>
      <c r="B285" s="23"/>
      <c r="C285" s="23" t="s">
        <v>656</v>
      </c>
      <c r="D285" s="23" t="s">
        <v>657</v>
      </c>
      <c r="E285" s="23" t="s">
        <v>139</v>
      </c>
      <c r="F285" s="24">
        <v>2</v>
      </c>
      <c r="G285" s="47">
        <v>0</v>
      </c>
      <c r="H285" s="25">
        <f>F285*AE285</f>
        <v>0</v>
      </c>
      <c r="I285" s="25">
        <f>J285-H285</f>
        <v>0</v>
      </c>
      <c r="J285" s="25">
        <f>F285*G285</f>
        <v>0</v>
      </c>
      <c r="K285" s="25">
        <v>0</v>
      </c>
      <c r="L285" s="25">
        <f>F285*K285</f>
        <v>0</v>
      </c>
      <c r="M285" s="26" t="s">
        <v>32</v>
      </c>
      <c r="P285" s="27">
        <f>IF(AG285="5",J285,0)</f>
        <v>0</v>
      </c>
      <c r="R285" s="27">
        <f>IF(AG285="1",H285,0)</f>
        <v>0</v>
      </c>
      <c r="S285" s="27">
        <f>IF(AG285="1",I285,0)</f>
        <v>0</v>
      </c>
      <c r="T285" s="27">
        <f>IF(AG285="7",H285,0)</f>
        <v>0</v>
      </c>
      <c r="U285" s="27">
        <f>IF(AG285="7",I285,0)</f>
        <v>0</v>
      </c>
      <c r="V285" s="27">
        <f>IF(AG285="2",H285,0)</f>
        <v>0</v>
      </c>
      <c r="W285" s="27">
        <f>IF(AG285="2",I285,0)</f>
        <v>0</v>
      </c>
      <c r="X285" s="27">
        <f>IF(AG285="0",J285,0)</f>
        <v>0</v>
      </c>
      <c r="Y285" s="17"/>
      <c r="Z285" s="25">
        <f>IF(AD285=0,J285,0)</f>
        <v>0</v>
      </c>
      <c r="AA285" s="25">
        <f>IF(AD285=15,J285,0)</f>
        <v>0</v>
      </c>
      <c r="AB285" s="25">
        <f>IF(AD285=21,J285,0)</f>
        <v>0</v>
      </c>
      <c r="AD285" s="27">
        <v>15</v>
      </c>
      <c r="AE285" s="27">
        <f>G285*0.946925704526046</f>
        <v>0</v>
      </c>
      <c r="AF285" s="27">
        <f>G285*(1-0.946925704526046)</f>
        <v>0</v>
      </c>
      <c r="AG285" s="26" t="s">
        <v>54</v>
      </c>
      <c r="AM285" s="27">
        <f>F285*AE285</f>
        <v>0</v>
      </c>
      <c r="AN285" s="27">
        <f>F285*AF285</f>
        <v>0</v>
      </c>
      <c r="AO285" s="28" t="s">
        <v>604</v>
      </c>
      <c r="AP285" s="28" t="s">
        <v>605</v>
      </c>
      <c r="AQ285" s="17" t="s">
        <v>35</v>
      </c>
      <c r="AS285" s="27">
        <f>AM285+AN285</f>
        <v>0</v>
      </c>
      <c r="AT285" s="27">
        <f>G285/(100-AU285)*100</f>
        <v>0</v>
      </c>
      <c r="AU285" s="27">
        <v>0</v>
      </c>
      <c r="AV285" s="27">
        <f>L285</f>
        <v>0</v>
      </c>
    </row>
    <row r="286" spans="1:48" ht="12.75">
      <c r="A286" s="23" t="s">
        <v>658</v>
      </c>
      <c r="B286" s="23"/>
      <c r="C286" s="23" t="s">
        <v>659</v>
      </c>
      <c r="D286" s="23" t="s">
        <v>660</v>
      </c>
      <c r="E286" s="23" t="s">
        <v>109</v>
      </c>
      <c r="F286" s="24">
        <v>7.981</v>
      </c>
      <c r="G286" s="47">
        <v>0</v>
      </c>
      <c r="H286" s="25">
        <f>F286*AE286</f>
        <v>0</v>
      </c>
      <c r="I286" s="25">
        <f>J286-H286</f>
        <v>0</v>
      </c>
      <c r="J286" s="25">
        <f>F286*G286</f>
        <v>0</v>
      </c>
      <c r="K286" s="25">
        <v>0</v>
      </c>
      <c r="L286" s="25">
        <f>F286*K286</f>
        <v>0</v>
      </c>
      <c r="M286" s="26" t="s">
        <v>32</v>
      </c>
      <c r="P286" s="27">
        <f>IF(AG286="5",J286,0)</f>
        <v>0</v>
      </c>
      <c r="R286" s="27">
        <f>IF(AG286="1",H286,0)</f>
        <v>0</v>
      </c>
      <c r="S286" s="27">
        <f>IF(AG286="1",I286,0)</f>
        <v>0</v>
      </c>
      <c r="T286" s="27">
        <f>IF(AG286="7",H286,0)</f>
        <v>0</v>
      </c>
      <c r="U286" s="27">
        <f>IF(AG286="7",I286,0)</f>
        <v>0</v>
      </c>
      <c r="V286" s="27">
        <f>IF(AG286="2",H286,0)</f>
        <v>0</v>
      </c>
      <c r="W286" s="27">
        <f>IF(AG286="2",I286,0)</f>
        <v>0</v>
      </c>
      <c r="X286" s="27">
        <f>IF(AG286="0",J286,0)</f>
        <v>0</v>
      </c>
      <c r="Y286" s="17"/>
      <c r="Z286" s="25">
        <f>IF(AD286=0,J286,0)</f>
        <v>0</v>
      </c>
      <c r="AA286" s="25">
        <f>IF(AD286=15,J286,0)</f>
        <v>0</v>
      </c>
      <c r="AB286" s="25">
        <f>IF(AD286=21,J286,0)</f>
        <v>0</v>
      </c>
      <c r="AD286" s="27">
        <v>15</v>
      </c>
      <c r="AE286" s="27">
        <f>G286*0</f>
        <v>0</v>
      </c>
      <c r="AF286" s="27">
        <f>G286*(1-0)</f>
        <v>0</v>
      </c>
      <c r="AG286" s="26" t="s">
        <v>49</v>
      </c>
      <c r="AM286" s="27">
        <f>F286*AE286</f>
        <v>0</v>
      </c>
      <c r="AN286" s="27">
        <f>F286*AF286</f>
        <v>0</v>
      </c>
      <c r="AO286" s="28" t="s">
        <v>604</v>
      </c>
      <c r="AP286" s="28" t="s">
        <v>605</v>
      </c>
      <c r="AQ286" s="17" t="s">
        <v>35</v>
      </c>
      <c r="AS286" s="27">
        <f>AM286+AN286</f>
        <v>0</v>
      </c>
      <c r="AT286" s="27">
        <f>G286/(100-AU286)*100</f>
        <v>0</v>
      </c>
      <c r="AU286" s="27">
        <v>0</v>
      </c>
      <c r="AV286" s="27">
        <f>L286</f>
        <v>0</v>
      </c>
    </row>
    <row r="287" spans="1:37" ht="12.75">
      <c r="A287" s="29"/>
      <c r="B287" s="30"/>
      <c r="C287" s="30" t="s">
        <v>661</v>
      </c>
      <c r="D287" s="30" t="s">
        <v>662</v>
      </c>
      <c r="E287" s="29" t="s">
        <v>10</v>
      </c>
      <c r="F287" s="29" t="s">
        <v>10</v>
      </c>
      <c r="G287" s="48" t="s">
        <v>10</v>
      </c>
      <c r="H287" s="22">
        <f>SUM(H288:H308)</f>
        <v>0</v>
      </c>
      <c r="I287" s="22">
        <f>SUM(I288:I308)</f>
        <v>0</v>
      </c>
      <c r="J287" s="22">
        <f>H287+I287</f>
        <v>0</v>
      </c>
      <c r="K287" s="17"/>
      <c r="L287" s="22">
        <f>SUM(L288:L308)</f>
        <v>0.5526800000000001</v>
      </c>
      <c r="M287" s="17"/>
      <c r="Y287" s="17"/>
      <c r="AI287" s="22">
        <f>SUM(Z288:Z308)</f>
        <v>0</v>
      </c>
      <c r="AJ287" s="22">
        <f>SUM(AA288:AA308)</f>
        <v>0</v>
      </c>
      <c r="AK287" s="22">
        <f>SUM(AB288:AB308)</f>
        <v>0</v>
      </c>
    </row>
    <row r="288" spans="1:48" ht="12.75">
      <c r="A288" s="23" t="s">
        <v>663</v>
      </c>
      <c r="B288" s="23"/>
      <c r="C288" s="23" t="s">
        <v>664</v>
      </c>
      <c r="D288" s="23" t="s">
        <v>665</v>
      </c>
      <c r="E288" s="23" t="s">
        <v>41</v>
      </c>
      <c r="F288" s="24">
        <v>27</v>
      </c>
      <c r="G288" s="47">
        <v>0</v>
      </c>
      <c r="H288" s="25">
        <f aca="true" t="shared" si="60" ref="H288:H293">F288*AE288</f>
        <v>0</v>
      </c>
      <c r="I288" s="25">
        <f aca="true" t="shared" si="61" ref="I288:I293">J288-H288</f>
        <v>0</v>
      </c>
      <c r="J288" s="25">
        <f aca="true" t="shared" si="62" ref="J288:J293">F288*G288</f>
        <v>0</v>
      </c>
      <c r="K288" s="25">
        <v>0.00392</v>
      </c>
      <c r="L288" s="25">
        <f aca="true" t="shared" si="63" ref="L288:L293">F288*K288</f>
        <v>0.10583999999999999</v>
      </c>
      <c r="M288" s="26" t="s">
        <v>32</v>
      </c>
      <c r="P288" s="27">
        <f aca="true" t="shared" si="64" ref="P288:P293">IF(AG288="5",J288,0)</f>
        <v>0</v>
      </c>
      <c r="R288" s="27">
        <f aca="true" t="shared" si="65" ref="R288:R293">IF(AG288="1",H288,0)</f>
        <v>0</v>
      </c>
      <c r="S288" s="27">
        <f aca="true" t="shared" si="66" ref="S288:S293">IF(AG288="1",I288,0)</f>
        <v>0</v>
      </c>
      <c r="T288" s="27">
        <f aca="true" t="shared" si="67" ref="T288:T293">IF(AG288="7",H288,0)</f>
        <v>0</v>
      </c>
      <c r="U288" s="27">
        <f aca="true" t="shared" si="68" ref="U288:U293">IF(AG288="7",I288,0)</f>
        <v>0</v>
      </c>
      <c r="V288" s="27">
        <f aca="true" t="shared" si="69" ref="V288:V293">IF(AG288="2",H288,0)</f>
        <v>0</v>
      </c>
      <c r="W288" s="27">
        <f aca="true" t="shared" si="70" ref="W288:W293">IF(AG288="2",I288,0)</f>
        <v>0</v>
      </c>
      <c r="X288" s="27">
        <f aca="true" t="shared" si="71" ref="X288:X293">IF(AG288="0",J288,0)</f>
        <v>0</v>
      </c>
      <c r="Y288" s="17"/>
      <c r="Z288" s="25">
        <f aca="true" t="shared" si="72" ref="Z288:Z293">IF(AD288=0,J288,0)</f>
        <v>0</v>
      </c>
      <c r="AA288" s="25">
        <f aca="true" t="shared" si="73" ref="AA288:AA293">IF(AD288=15,J288,0)</f>
        <v>0</v>
      </c>
      <c r="AB288" s="25">
        <f aca="true" t="shared" si="74" ref="AB288:AB293">IF(AD288=21,J288,0)</f>
        <v>0</v>
      </c>
      <c r="AD288" s="27">
        <v>15</v>
      </c>
      <c r="AE288" s="27">
        <f>G288*0.227635009310987</f>
        <v>0</v>
      </c>
      <c r="AF288" s="27">
        <f>G288*(1-0.227635009310987)</f>
        <v>0</v>
      </c>
      <c r="AG288" s="26" t="s">
        <v>54</v>
      </c>
      <c r="AM288" s="27">
        <f aca="true" t="shared" si="75" ref="AM288:AM293">F288*AE288</f>
        <v>0</v>
      </c>
      <c r="AN288" s="27">
        <f aca="true" t="shared" si="76" ref="AN288:AN293">F288*AF288</f>
        <v>0</v>
      </c>
      <c r="AO288" s="28" t="s">
        <v>666</v>
      </c>
      <c r="AP288" s="28" t="s">
        <v>605</v>
      </c>
      <c r="AQ288" s="17" t="s">
        <v>35</v>
      </c>
      <c r="AS288" s="27">
        <f aca="true" t="shared" si="77" ref="AS288:AS293">AM288+AN288</f>
        <v>0</v>
      </c>
      <c r="AT288" s="27">
        <f aca="true" t="shared" si="78" ref="AT288:AT293">G288/(100-AU288)*100</f>
        <v>0</v>
      </c>
      <c r="AU288" s="27">
        <v>0</v>
      </c>
      <c r="AV288" s="27">
        <f aca="true" t="shared" si="79" ref="AV288:AV293">L288</f>
        <v>0.10583999999999999</v>
      </c>
    </row>
    <row r="289" spans="1:48" ht="12.75">
      <c r="A289" s="23" t="s">
        <v>667</v>
      </c>
      <c r="B289" s="23"/>
      <c r="C289" s="23" t="s">
        <v>668</v>
      </c>
      <c r="D289" s="23" t="s">
        <v>669</v>
      </c>
      <c r="E289" s="23" t="s">
        <v>41</v>
      </c>
      <c r="F289" s="24">
        <v>13</v>
      </c>
      <c r="G289" s="47">
        <v>0</v>
      </c>
      <c r="H289" s="25">
        <f t="shared" si="60"/>
        <v>0</v>
      </c>
      <c r="I289" s="25">
        <f t="shared" si="61"/>
        <v>0</v>
      </c>
      <c r="J289" s="25">
        <f t="shared" si="62"/>
        <v>0</v>
      </c>
      <c r="K289" s="25">
        <v>0.00399</v>
      </c>
      <c r="L289" s="25">
        <f t="shared" si="63"/>
        <v>0.05186999999999999</v>
      </c>
      <c r="M289" s="26" t="s">
        <v>32</v>
      </c>
      <c r="P289" s="27">
        <f t="shared" si="64"/>
        <v>0</v>
      </c>
      <c r="R289" s="27">
        <f t="shared" si="65"/>
        <v>0</v>
      </c>
      <c r="S289" s="27">
        <f t="shared" si="66"/>
        <v>0</v>
      </c>
      <c r="T289" s="27">
        <f t="shared" si="67"/>
        <v>0</v>
      </c>
      <c r="U289" s="27">
        <f t="shared" si="68"/>
        <v>0</v>
      </c>
      <c r="V289" s="27">
        <f t="shared" si="69"/>
        <v>0</v>
      </c>
      <c r="W289" s="27">
        <f t="shared" si="70"/>
        <v>0</v>
      </c>
      <c r="X289" s="27">
        <f t="shared" si="71"/>
        <v>0</v>
      </c>
      <c r="Y289" s="17"/>
      <c r="Z289" s="25">
        <f t="shared" si="72"/>
        <v>0</v>
      </c>
      <c r="AA289" s="25">
        <f t="shared" si="73"/>
        <v>0</v>
      </c>
      <c r="AB289" s="25">
        <f t="shared" si="74"/>
        <v>0</v>
      </c>
      <c r="AD289" s="27">
        <v>15</v>
      </c>
      <c r="AE289" s="27">
        <f>G289*0.217589082638362</f>
        <v>0</v>
      </c>
      <c r="AF289" s="27">
        <f>G289*(1-0.217589082638362)</f>
        <v>0</v>
      </c>
      <c r="AG289" s="26" t="s">
        <v>54</v>
      </c>
      <c r="AM289" s="27">
        <f t="shared" si="75"/>
        <v>0</v>
      </c>
      <c r="AN289" s="27">
        <f t="shared" si="76"/>
        <v>0</v>
      </c>
      <c r="AO289" s="28" t="s">
        <v>666</v>
      </c>
      <c r="AP289" s="28" t="s">
        <v>605</v>
      </c>
      <c r="AQ289" s="17" t="s">
        <v>35</v>
      </c>
      <c r="AS289" s="27">
        <f t="shared" si="77"/>
        <v>0</v>
      </c>
      <c r="AT289" s="27">
        <f t="shared" si="78"/>
        <v>0</v>
      </c>
      <c r="AU289" s="27">
        <v>0</v>
      </c>
      <c r="AV289" s="27">
        <f t="shared" si="79"/>
        <v>0.05186999999999999</v>
      </c>
    </row>
    <row r="290" spans="1:48" ht="12.75">
      <c r="A290" s="23" t="s">
        <v>670</v>
      </c>
      <c r="B290" s="23"/>
      <c r="C290" s="23" t="s">
        <v>671</v>
      </c>
      <c r="D290" s="23" t="s">
        <v>672</v>
      </c>
      <c r="E290" s="23" t="s">
        <v>41</v>
      </c>
      <c r="F290" s="24">
        <v>34</v>
      </c>
      <c r="G290" s="47">
        <v>0</v>
      </c>
      <c r="H290" s="25">
        <f t="shared" si="60"/>
        <v>0</v>
      </c>
      <c r="I290" s="25">
        <f t="shared" si="61"/>
        <v>0</v>
      </c>
      <c r="J290" s="25">
        <f t="shared" si="62"/>
        <v>0</v>
      </c>
      <c r="K290" s="25">
        <v>0.00518</v>
      </c>
      <c r="L290" s="25">
        <f t="shared" si="63"/>
        <v>0.17612</v>
      </c>
      <c r="M290" s="26" t="s">
        <v>32</v>
      </c>
      <c r="P290" s="27">
        <f t="shared" si="64"/>
        <v>0</v>
      </c>
      <c r="R290" s="27">
        <f t="shared" si="65"/>
        <v>0</v>
      </c>
      <c r="S290" s="27">
        <f t="shared" si="66"/>
        <v>0</v>
      </c>
      <c r="T290" s="27">
        <f t="shared" si="67"/>
        <v>0</v>
      </c>
      <c r="U290" s="27">
        <f t="shared" si="68"/>
        <v>0</v>
      </c>
      <c r="V290" s="27">
        <f t="shared" si="69"/>
        <v>0</v>
      </c>
      <c r="W290" s="27">
        <f t="shared" si="70"/>
        <v>0</v>
      </c>
      <c r="X290" s="27">
        <f t="shared" si="71"/>
        <v>0</v>
      </c>
      <c r="Y290" s="17"/>
      <c r="Z290" s="25">
        <f t="shared" si="72"/>
        <v>0</v>
      </c>
      <c r="AA290" s="25">
        <f t="shared" si="73"/>
        <v>0</v>
      </c>
      <c r="AB290" s="25">
        <f t="shared" si="74"/>
        <v>0</v>
      </c>
      <c r="AD290" s="27">
        <v>15</v>
      </c>
      <c r="AE290" s="27">
        <f>G290*0.241586932546425</f>
        <v>0</v>
      </c>
      <c r="AF290" s="27">
        <f>G290*(1-0.241586932546425)</f>
        <v>0</v>
      </c>
      <c r="AG290" s="26" t="s">
        <v>54</v>
      </c>
      <c r="AM290" s="27">
        <f t="shared" si="75"/>
        <v>0</v>
      </c>
      <c r="AN290" s="27">
        <f t="shared" si="76"/>
        <v>0</v>
      </c>
      <c r="AO290" s="28" t="s">
        <v>666</v>
      </c>
      <c r="AP290" s="28" t="s">
        <v>605</v>
      </c>
      <c r="AQ290" s="17" t="s">
        <v>35</v>
      </c>
      <c r="AS290" s="27">
        <f t="shared" si="77"/>
        <v>0</v>
      </c>
      <c r="AT290" s="27">
        <f t="shared" si="78"/>
        <v>0</v>
      </c>
      <c r="AU290" s="27">
        <v>0</v>
      </c>
      <c r="AV290" s="27">
        <f t="shared" si="79"/>
        <v>0.17612</v>
      </c>
    </row>
    <row r="291" spans="1:48" ht="12.75">
      <c r="A291" s="23" t="s">
        <v>673</v>
      </c>
      <c r="B291" s="23"/>
      <c r="C291" s="23" t="s">
        <v>674</v>
      </c>
      <c r="D291" s="23" t="s">
        <v>675</v>
      </c>
      <c r="E291" s="23" t="s">
        <v>41</v>
      </c>
      <c r="F291" s="24">
        <v>23</v>
      </c>
      <c r="G291" s="47">
        <v>0</v>
      </c>
      <c r="H291" s="25">
        <f t="shared" si="60"/>
        <v>0</v>
      </c>
      <c r="I291" s="25">
        <f t="shared" si="61"/>
        <v>0</v>
      </c>
      <c r="J291" s="25">
        <f t="shared" si="62"/>
        <v>0</v>
      </c>
      <c r="K291" s="25">
        <v>0.00401</v>
      </c>
      <c r="L291" s="25">
        <f t="shared" si="63"/>
        <v>0.09222999999999999</v>
      </c>
      <c r="M291" s="26" t="s">
        <v>32</v>
      </c>
      <c r="P291" s="27">
        <f t="shared" si="64"/>
        <v>0</v>
      </c>
      <c r="R291" s="27">
        <f t="shared" si="65"/>
        <v>0</v>
      </c>
      <c r="S291" s="27">
        <f t="shared" si="66"/>
        <v>0</v>
      </c>
      <c r="T291" s="27">
        <f t="shared" si="67"/>
        <v>0</v>
      </c>
      <c r="U291" s="27">
        <f t="shared" si="68"/>
        <v>0</v>
      </c>
      <c r="V291" s="27">
        <f t="shared" si="69"/>
        <v>0</v>
      </c>
      <c r="W291" s="27">
        <f t="shared" si="70"/>
        <v>0</v>
      </c>
      <c r="X291" s="27">
        <f t="shared" si="71"/>
        <v>0</v>
      </c>
      <c r="Y291" s="17"/>
      <c r="Z291" s="25">
        <f t="shared" si="72"/>
        <v>0</v>
      </c>
      <c r="AA291" s="25">
        <f t="shared" si="73"/>
        <v>0</v>
      </c>
      <c r="AB291" s="25">
        <f t="shared" si="74"/>
        <v>0</v>
      </c>
      <c r="AD291" s="27">
        <v>15</v>
      </c>
      <c r="AE291" s="27">
        <f>G291*0.230416711073218</f>
        <v>0</v>
      </c>
      <c r="AF291" s="27">
        <f>G291*(1-0.230416711073218)</f>
        <v>0</v>
      </c>
      <c r="AG291" s="26" t="s">
        <v>54</v>
      </c>
      <c r="AM291" s="27">
        <f t="shared" si="75"/>
        <v>0</v>
      </c>
      <c r="AN291" s="27">
        <f t="shared" si="76"/>
        <v>0</v>
      </c>
      <c r="AO291" s="28" t="s">
        <v>666</v>
      </c>
      <c r="AP291" s="28" t="s">
        <v>605</v>
      </c>
      <c r="AQ291" s="17" t="s">
        <v>35</v>
      </c>
      <c r="AS291" s="27">
        <f t="shared" si="77"/>
        <v>0</v>
      </c>
      <c r="AT291" s="27">
        <f t="shared" si="78"/>
        <v>0</v>
      </c>
      <c r="AU291" s="27">
        <v>0</v>
      </c>
      <c r="AV291" s="27">
        <f t="shared" si="79"/>
        <v>0.09222999999999999</v>
      </c>
    </row>
    <row r="292" spans="1:48" ht="12.75">
      <c r="A292" s="23" t="s">
        <v>676</v>
      </c>
      <c r="B292" s="23"/>
      <c r="C292" s="23" t="s">
        <v>677</v>
      </c>
      <c r="D292" s="23" t="s">
        <v>678</v>
      </c>
      <c r="E292" s="23" t="s">
        <v>41</v>
      </c>
      <c r="F292" s="24">
        <v>18</v>
      </c>
      <c r="G292" s="47">
        <v>0</v>
      </c>
      <c r="H292" s="25">
        <f t="shared" si="60"/>
        <v>0</v>
      </c>
      <c r="I292" s="25">
        <f t="shared" si="61"/>
        <v>0</v>
      </c>
      <c r="J292" s="25">
        <f t="shared" si="62"/>
        <v>0</v>
      </c>
      <c r="K292" s="25">
        <v>0.00522</v>
      </c>
      <c r="L292" s="25">
        <f t="shared" si="63"/>
        <v>0.09396</v>
      </c>
      <c r="M292" s="26" t="s">
        <v>32</v>
      </c>
      <c r="P292" s="27">
        <f t="shared" si="64"/>
        <v>0</v>
      </c>
      <c r="R292" s="27">
        <f t="shared" si="65"/>
        <v>0</v>
      </c>
      <c r="S292" s="27">
        <f t="shared" si="66"/>
        <v>0</v>
      </c>
      <c r="T292" s="27">
        <f t="shared" si="67"/>
        <v>0</v>
      </c>
      <c r="U292" s="27">
        <f t="shared" si="68"/>
        <v>0</v>
      </c>
      <c r="V292" s="27">
        <f t="shared" si="69"/>
        <v>0</v>
      </c>
      <c r="W292" s="27">
        <f t="shared" si="70"/>
        <v>0</v>
      </c>
      <c r="X292" s="27">
        <f t="shared" si="71"/>
        <v>0</v>
      </c>
      <c r="Y292" s="17"/>
      <c r="Z292" s="25">
        <f t="shared" si="72"/>
        <v>0</v>
      </c>
      <c r="AA292" s="25">
        <f t="shared" si="73"/>
        <v>0</v>
      </c>
      <c r="AB292" s="25">
        <f t="shared" si="74"/>
        <v>0</v>
      </c>
      <c r="AD292" s="27">
        <v>15</v>
      </c>
      <c r="AE292" s="27">
        <f>G292*0.257058600251102</f>
        <v>0</v>
      </c>
      <c r="AF292" s="27">
        <f>G292*(1-0.257058600251102)</f>
        <v>0</v>
      </c>
      <c r="AG292" s="26" t="s">
        <v>54</v>
      </c>
      <c r="AM292" s="27">
        <f t="shared" si="75"/>
        <v>0</v>
      </c>
      <c r="AN292" s="27">
        <f t="shared" si="76"/>
        <v>0</v>
      </c>
      <c r="AO292" s="28" t="s">
        <v>666</v>
      </c>
      <c r="AP292" s="28" t="s">
        <v>605</v>
      </c>
      <c r="AQ292" s="17" t="s">
        <v>35</v>
      </c>
      <c r="AS292" s="27">
        <f t="shared" si="77"/>
        <v>0</v>
      </c>
      <c r="AT292" s="27">
        <f t="shared" si="78"/>
        <v>0</v>
      </c>
      <c r="AU292" s="27">
        <v>0</v>
      </c>
      <c r="AV292" s="27">
        <f t="shared" si="79"/>
        <v>0.09396</v>
      </c>
    </row>
    <row r="293" spans="1:48" ht="12.75">
      <c r="A293" s="23" t="s">
        <v>679</v>
      </c>
      <c r="B293" s="23"/>
      <c r="C293" s="23" t="s">
        <v>680</v>
      </c>
      <c r="D293" s="23" t="s">
        <v>681</v>
      </c>
      <c r="E293" s="23" t="s">
        <v>41</v>
      </c>
      <c r="F293" s="24">
        <v>27</v>
      </c>
      <c r="G293" s="47">
        <v>0</v>
      </c>
      <c r="H293" s="25">
        <f t="shared" si="60"/>
        <v>0</v>
      </c>
      <c r="I293" s="25">
        <f t="shared" si="61"/>
        <v>0</v>
      </c>
      <c r="J293" s="25">
        <f t="shared" si="62"/>
        <v>0</v>
      </c>
      <c r="K293" s="25">
        <v>2E-05</v>
      </c>
      <c r="L293" s="25">
        <f t="shared" si="63"/>
        <v>0.00054</v>
      </c>
      <c r="M293" s="26" t="s">
        <v>32</v>
      </c>
      <c r="P293" s="27">
        <f t="shared" si="64"/>
        <v>0</v>
      </c>
      <c r="R293" s="27">
        <f t="shared" si="65"/>
        <v>0</v>
      </c>
      <c r="S293" s="27">
        <f t="shared" si="66"/>
        <v>0</v>
      </c>
      <c r="T293" s="27">
        <f t="shared" si="67"/>
        <v>0</v>
      </c>
      <c r="U293" s="27">
        <f t="shared" si="68"/>
        <v>0</v>
      </c>
      <c r="V293" s="27">
        <f t="shared" si="69"/>
        <v>0</v>
      </c>
      <c r="W293" s="27">
        <f t="shared" si="70"/>
        <v>0</v>
      </c>
      <c r="X293" s="27">
        <f t="shared" si="71"/>
        <v>0</v>
      </c>
      <c r="Y293" s="17"/>
      <c r="Z293" s="25">
        <f t="shared" si="72"/>
        <v>0</v>
      </c>
      <c r="AA293" s="25">
        <f t="shared" si="73"/>
        <v>0</v>
      </c>
      <c r="AB293" s="25">
        <f t="shared" si="74"/>
        <v>0</v>
      </c>
      <c r="AD293" s="27">
        <v>15</v>
      </c>
      <c r="AE293" s="27">
        <f>G293*0.311691884456671</f>
        <v>0</v>
      </c>
      <c r="AF293" s="27">
        <f>G293*(1-0.311691884456671)</f>
        <v>0</v>
      </c>
      <c r="AG293" s="26" t="s">
        <v>54</v>
      </c>
      <c r="AM293" s="27">
        <f t="shared" si="75"/>
        <v>0</v>
      </c>
      <c r="AN293" s="27">
        <f t="shared" si="76"/>
        <v>0</v>
      </c>
      <c r="AO293" s="28" t="s">
        <v>666</v>
      </c>
      <c r="AP293" s="28" t="s">
        <v>605</v>
      </c>
      <c r="AQ293" s="17" t="s">
        <v>35</v>
      </c>
      <c r="AS293" s="27">
        <f t="shared" si="77"/>
        <v>0</v>
      </c>
      <c r="AT293" s="27">
        <f t="shared" si="78"/>
        <v>0</v>
      </c>
      <c r="AU293" s="27">
        <v>0</v>
      </c>
      <c r="AV293" s="27">
        <f t="shared" si="79"/>
        <v>0.00054</v>
      </c>
    </row>
    <row r="294" spans="1:6" ht="12.75">
      <c r="A294" s="43"/>
      <c r="B294" s="43"/>
      <c r="C294" s="43"/>
      <c r="D294" s="31" t="s">
        <v>682</v>
      </c>
      <c r="E294" s="43"/>
      <c r="F294" s="43"/>
    </row>
    <row r="295" spans="1:48" ht="12.75">
      <c r="A295" s="23" t="s">
        <v>683</v>
      </c>
      <c r="B295" s="23"/>
      <c r="C295" s="23" t="s">
        <v>684</v>
      </c>
      <c r="D295" s="23" t="s">
        <v>681</v>
      </c>
      <c r="E295" s="23" t="s">
        <v>41</v>
      </c>
      <c r="F295" s="24">
        <v>36</v>
      </c>
      <c r="G295" s="47">
        <v>0</v>
      </c>
      <c r="H295" s="25">
        <f>F295*AE295</f>
        <v>0</v>
      </c>
      <c r="I295" s="25">
        <f>J295-H295</f>
        <v>0</v>
      </c>
      <c r="J295" s="25">
        <f>F295*G295</f>
        <v>0</v>
      </c>
      <c r="K295" s="25">
        <v>3E-05</v>
      </c>
      <c r="L295" s="25">
        <f>F295*K295</f>
        <v>0.00108</v>
      </c>
      <c r="M295" s="26" t="s">
        <v>32</v>
      </c>
      <c r="P295" s="27">
        <f>IF(AG295="5",J295,0)</f>
        <v>0</v>
      </c>
      <c r="R295" s="27">
        <f>IF(AG295="1",H295,0)</f>
        <v>0</v>
      </c>
      <c r="S295" s="27">
        <f>IF(AG295="1",I295,0)</f>
        <v>0</v>
      </c>
      <c r="T295" s="27">
        <f>IF(AG295="7",H295,0)</f>
        <v>0</v>
      </c>
      <c r="U295" s="27">
        <f>IF(AG295="7",I295,0)</f>
        <v>0</v>
      </c>
      <c r="V295" s="27">
        <f>IF(AG295="2",H295,0)</f>
        <v>0</v>
      </c>
      <c r="W295" s="27">
        <f>IF(AG295="2",I295,0)</f>
        <v>0</v>
      </c>
      <c r="X295" s="27">
        <f>IF(AG295="0",J295,0)</f>
        <v>0</v>
      </c>
      <c r="Y295" s="17"/>
      <c r="Z295" s="25">
        <f>IF(AD295=0,J295,0)</f>
        <v>0</v>
      </c>
      <c r="AA295" s="25">
        <f>IF(AD295=15,J295,0)</f>
        <v>0</v>
      </c>
      <c r="AB295" s="25">
        <f>IF(AD295=21,J295,0)</f>
        <v>0</v>
      </c>
      <c r="AD295" s="27">
        <v>15</v>
      </c>
      <c r="AE295" s="27">
        <f>G295*0.344167758846658</f>
        <v>0</v>
      </c>
      <c r="AF295" s="27">
        <f>G295*(1-0.344167758846658)</f>
        <v>0</v>
      </c>
      <c r="AG295" s="26" t="s">
        <v>54</v>
      </c>
      <c r="AM295" s="27">
        <f>F295*AE295</f>
        <v>0</v>
      </c>
      <c r="AN295" s="27">
        <f>F295*AF295</f>
        <v>0</v>
      </c>
      <c r="AO295" s="28" t="s">
        <v>666</v>
      </c>
      <c r="AP295" s="28" t="s">
        <v>605</v>
      </c>
      <c r="AQ295" s="17" t="s">
        <v>35</v>
      </c>
      <c r="AS295" s="27">
        <f>AM295+AN295</f>
        <v>0</v>
      </c>
      <c r="AT295" s="27">
        <f>G295/(100-AU295)*100</f>
        <v>0</v>
      </c>
      <c r="AU295" s="27">
        <v>0</v>
      </c>
      <c r="AV295" s="27">
        <f>L295</f>
        <v>0.00108</v>
      </c>
    </row>
    <row r="296" spans="1:6" ht="12.75">
      <c r="A296" s="43"/>
      <c r="B296" s="43"/>
      <c r="C296" s="43"/>
      <c r="D296" s="31" t="s">
        <v>685</v>
      </c>
      <c r="E296" s="43"/>
      <c r="F296" s="43"/>
    </row>
    <row r="297" spans="1:48" ht="12.75">
      <c r="A297" s="23" t="s">
        <v>686</v>
      </c>
      <c r="B297" s="23"/>
      <c r="C297" s="23" t="s">
        <v>687</v>
      </c>
      <c r="D297" s="23" t="s">
        <v>681</v>
      </c>
      <c r="E297" s="23" t="s">
        <v>41</v>
      </c>
      <c r="F297" s="24">
        <v>52</v>
      </c>
      <c r="G297" s="47">
        <v>0</v>
      </c>
      <c r="H297" s="25">
        <f>F297*AE297</f>
        <v>0</v>
      </c>
      <c r="I297" s="25">
        <f>J297-H297</f>
        <v>0</v>
      </c>
      <c r="J297" s="25">
        <f>F297*G297</f>
        <v>0</v>
      </c>
      <c r="K297" s="25">
        <v>6E-05</v>
      </c>
      <c r="L297" s="25">
        <f>F297*K297</f>
        <v>0.00312</v>
      </c>
      <c r="M297" s="26" t="s">
        <v>32</v>
      </c>
      <c r="P297" s="27">
        <f>IF(AG297="5",J297,0)</f>
        <v>0</v>
      </c>
      <c r="R297" s="27">
        <f>IF(AG297="1",H297,0)</f>
        <v>0</v>
      </c>
      <c r="S297" s="27">
        <f>IF(AG297="1",I297,0)</f>
        <v>0</v>
      </c>
      <c r="T297" s="27">
        <f>IF(AG297="7",H297,0)</f>
        <v>0</v>
      </c>
      <c r="U297" s="27">
        <f>IF(AG297="7",I297,0)</f>
        <v>0</v>
      </c>
      <c r="V297" s="27">
        <f>IF(AG297="2",H297,0)</f>
        <v>0</v>
      </c>
      <c r="W297" s="27">
        <f>IF(AG297="2",I297,0)</f>
        <v>0</v>
      </c>
      <c r="X297" s="27">
        <f>IF(AG297="0",J297,0)</f>
        <v>0</v>
      </c>
      <c r="Y297" s="17"/>
      <c r="Z297" s="25">
        <f>IF(AD297=0,J297,0)</f>
        <v>0</v>
      </c>
      <c r="AA297" s="25">
        <f>IF(AD297=15,J297,0)</f>
        <v>0</v>
      </c>
      <c r="AB297" s="25">
        <f>IF(AD297=21,J297,0)</f>
        <v>0</v>
      </c>
      <c r="AD297" s="27">
        <v>15</v>
      </c>
      <c r="AE297" s="27">
        <f>G297*0.388618925831202</f>
        <v>0</v>
      </c>
      <c r="AF297" s="27">
        <f>G297*(1-0.388618925831202)</f>
        <v>0</v>
      </c>
      <c r="AG297" s="26" t="s">
        <v>54</v>
      </c>
      <c r="AM297" s="27">
        <f>F297*AE297</f>
        <v>0</v>
      </c>
      <c r="AN297" s="27">
        <f>F297*AF297</f>
        <v>0</v>
      </c>
      <c r="AO297" s="28" t="s">
        <v>666</v>
      </c>
      <c r="AP297" s="28" t="s">
        <v>605</v>
      </c>
      <c r="AQ297" s="17" t="s">
        <v>35</v>
      </c>
      <c r="AS297" s="27">
        <f>AM297+AN297</f>
        <v>0</v>
      </c>
      <c r="AT297" s="27">
        <f>G297/(100-AU297)*100</f>
        <v>0</v>
      </c>
      <c r="AU297" s="27">
        <v>0</v>
      </c>
      <c r="AV297" s="27">
        <f>L297</f>
        <v>0.00312</v>
      </c>
    </row>
    <row r="298" spans="1:6" ht="12.75">
      <c r="A298" s="43"/>
      <c r="B298" s="43"/>
      <c r="C298" s="43"/>
      <c r="D298" s="31" t="s">
        <v>688</v>
      </c>
      <c r="E298" s="43"/>
      <c r="F298" s="43"/>
    </row>
    <row r="299" spans="1:48" ht="12.75">
      <c r="A299" s="23" t="s">
        <v>689</v>
      </c>
      <c r="B299" s="23"/>
      <c r="C299" s="23" t="s">
        <v>690</v>
      </c>
      <c r="D299" s="23" t="s">
        <v>691</v>
      </c>
      <c r="E299" s="23" t="s">
        <v>41</v>
      </c>
      <c r="F299" s="24">
        <v>115</v>
      </c>
      <c r="G299" s="47">
        <v>0</v>
      </c>
      <c r="H299" s="25">
        <f aca="true" t="shared" si="80" ref="H299:H308">F299*AE299</f>
        <v>0</v>
      </c>
      <c r="I299" s="25">
        <f aca="true" t="shared" si="81" ref="I299:I308">J299-H299</f>
        <v>0</v>
      </c>
      <c r="J299" s="25">
        <f aca="true" t="shared" si="82" ref="J299:J308">F299*G299</f>
        <v>0</v>
      </c>
      <c r="K299" s="25">
        <v>0.00018</v>
      </c>
      <c r="L299" s="25">
        <f aca="true" t="shared" si="83" ref="L299:L308">F299*K299</f>
        <v>0.0207</v>
      </c>
      <c r="M299" s="26" t="s">
        <v>32</v>
      </c>
      <c r="P299" s="27">
        <f aca="true" t="shared" si="84" ref="P299:P308">IF(AG299="5",J299,0)</f>
        <v>0</v>
      </c>
      <c r="R299" s="27">
        <f aca="true" t="shared" si="85" ref="R299:R308">IF(AG299="1",H299,0)</f>
        <v>0</v>
      </c>
      <c r="S299" s="27">
        <f aca="true" t="shared" si="86" ref="S299:S308">IF(AG299="1",I299,0)</f>
        <v>0</v>
      </c>
      <c r="T299" s="27">
        <f aca="true" t="shared" si="87" ref="T299:T308">IF(AG299="7",H299,0)</f>
        <v>0</v>
      </c>
      <c r="U299" s="27">
        <f aca="true" t="shared" si="88" ref="U299:U308">IF(AG299="7",I299,0)</f>
        <v>0</v>
      </c>
      <c r="V299" s="27">
        <f aca="true" t="shared" si="89" ref="V299:V308">IF(AG299="2",H299,0)</f>
        <v>0</v>
      </c>
      <c r="W299" s="27">
        <f aca="true" t="shared" si="90" ref="W299:W308">IF(AG299="2",I299,0)</f>
        <v>0</v>
      </c>
      <c r="X299" s="27">
        <f aca="true" t="shared" si="91" ref="X299:X308">IF(AG299="0",J299,0)</f>
        <v>0</v>
      </c>
      <c r="Y299" s="17"/>
      <c r="Z299" s="25">
        <f aca="true" t="shared" si="92" ref="Z299:Z308">IF(AD299=0,J299,0)</f>
        <v>0</v>
      </c>
      <c r="AA299" s="25">
        <f aca="true" t="shared" si="93" ref="AA299:AA308">IF(AD299=15,J299,0)</f>
        <v>0</v>
      </c>
      <c r="AB299" s="25">
        <f aca="true" t="shared" si="94" ref="AB299:AB308">IF(AD299=21,J299,0)</f>
        <v>0</v>
      </c>
      <c r="AD299" s="27">
        <v>15</v>
      </c>
      <c r="AE299" s="27">
        <f>G299*0.211428571428571</f>
        <v>0</v>
      </c>
      <c r="AF299" s="27">
        <f>G299*(1-0.211428571428571)</f>
        <v>0</v>
      </c>
      <c r="AG299" s="26" t="s">
        <v>54</v>
      </c>
      <c r="AM299" s="27">
        <f aca="true" t="shared" si="95" ref="AM299:AM308">F299*AE299</f>
        <v>0</v>
      </c>
      <c r="AN299" s="27">
        <f aca="true" t="shared" si="96" ref="AN299:AN308">F299*AF299</f>
        <v>0</v>
      </c>
      <c r="AO299" s="28" t="s">
        <v>666</v>
      </c>
      <c r="AP299" s="28" t="s">
        <v>605</v>
      </c>
      <c r="AQ299" s="17" t="s">
        <v>35</v>
      </c>
      <c r="AS299" s="27">
        <f aca="true" t="shared" si="97" ref="AS299:AS308">AM299+AN299</f>
        <v>0</v>
      </c>
      <c r="AT299" s="27">
        <f aca="true" t="shared" si="98" ref="AT299:AT308">G299/(100-AU299)*100</f>
        <v>0</v>
      </c>
      <c r="AU299" s="27">
        <v>0</v>
      </c>
      <c r="AV299" s="27">
        <f aca="true" t="shared" si="99" ref="AV299:AV308">L299</f>
        <v>0.0207</v>
      </c>
    </row>
    <row r="300" spans="1:48" ht="12.75">
      <c r="A300" s="23" t="s">
        <v>692</v>
      </c>
      <c r="B300" s="23"/>
      <c r="C300" s="23" t="s">
        <v>693</v>
      </c>
      <c r="D300" s="23" t="s">
        <v>694</v>
      </c>
      <c r="E300" s="23" t="s">
        <v>41</v>
      </c>
      <c r="F300" s="24">
        <v>88</v>
      </c>
      <c r="G300" s="47">
        <v>0</v>
      </c>
      <c r="H300" s="25">
        <f t="shared" si="80"/>
        <v>0</v>
      </c>
      <c r="I300" s="25">
        <f t="shared" si="81"/>
        <v>0</v>
      </c>
      <c r="J300" s="25">
        <f t="shared" si="82"/>
        <v>0</v>
      </c>
      <c r="K300" s="25">
        <v>1E-05</v>
      </c>
      <c r="L300" s="25">
        <f t="shared" si="83"/>
        <v>0.00088</v>
      </c>
      <c r="M300" s="26" t="s">
        <v>32</v>
      </c>
      <c r="P300" s="27">
        <f t="shared" si="84"/>
        <v>0</v>
      </c>
      <c r="R300" s="27">
        <f t="shared" si="85"/>
        <v>0</v>
      </c>
      <c r="S300" s="27">
        <f t="shared" si="86"/>
        <v>0</v>
      </c>
      <c r="T300" s="27">
        <f t="shared" si="87"/>
        <v>0</v>
      </c>
      <c r="U300" s="27">
        <f t="shared" si="88"/>
        <v>0</v>
      </c>
      <c r="V300" s="27">
        <f t="shared" si="89"/>
        <v>0</v>
      </c>
      <c r="W300" s="27">
        <f t="shared" si="90"/>
        <v>0</v>
      </c>
      <c r="X300" s="27">
        <f t="shared" si="91"/>
        <v>0</v>
      </c>
      <c r="Y300" s="17"/>
      <c r="Z300" s="25">
        <f t="shared" si="92"/>
        <v>0</v>
      </c>
      <c r="AA300" s="25">
        <f t="shared" si="93"/>
        <v>0</v>
      </c>
      <c r="AB300" s="25">
        <f t="shared" si="94"/>
        <v>0</v>
      </c>
      <c r="AD300" s="27">
        <v>15</v>
      </c>
      <c r="AE300" s="27">
        <f>G300*0.0535055350553506</f>
        <v>0</v>
      </c>
      <c r="AF300" s="27">
        <f>G300*(1-0.0535055350553506)</f>
        <v>0</v>
      </c>
      <c r="AG300" s="26" t="s">
        <v>54</v>
      </c>
      <c r="AM300" s="27">
        <f t="shared" si="95"/>
        <v>0</v>
      </c>
      <c r="AN300" s="27">
        <f t="shared" si="96"/>
        <v>0</v>
      </c>
      <c r="AO300" s="28" t="s">
        <v>666</v>
      </c>
      <c r="AP300" s="28" t="s">
        <v>605</v>
      </c>
      <c r="AQ300" s="17" t="s">
        <v>35</v>
      </c>
      <c r="AS300" s="27">
        <f t="shared" si="97"/>
        <v>0</v>
      </c>
      <c r="AT300" s="27">
        <f t="shared" si="98"/>
        <v>0</v>
      </c>
      <c r="AU300" s="27">
        <v>0</v>
      </c>
      <c r="AV300" s="27">
        <f t="shared" si="99"/>
        <v>0.00088</v>
      </c>
    </row>
    <row r="301" spans="1:48" ht="12.75">
      <c r="A301" s="23" t="s">
        <v>695</v>
      </c>
      <c r="B301" s="23"/>
      <c r="C301" s="23" t="s">
        <v>696</v>
      </c>
      <c r="D301" s="23" t="s">
        <v>697</v>
      </c>
      <c r="E301" s="23" t="s">
        <v>139</v>
      </c>
      <c r="F301" s="24">
        <v>3</v>
      </c>
      <c r="G301" s="47">
        <v>0</v>
      </c>
      <c r="H301" s="25">
        <f t="shared" si="80"/>
        <v>0</v>
      </c>
      <c r="I301" s="25">
        <f t="shared" si="81"/>
        <v>0</v>
      </c>
      <c r="J301" s="25">
        <f t="shared" si="82"/>
        <v>0</v>
      </c>
      <c r="K301" s="25">
        <v>0.0002</v>
      </c>
      <c r="L301" s="25">
        <f t="shared" si="83"/>
        <v>0.0006000000000000001</v>
      </c>
      <c r="M301" s="26" t="s">
        <v>32</v>
      </c>
      <c r="P301" s="27">
        <f t="shared" si="84"/>
        <v>0</v>
      </c>
      <c r="R301" s="27">
        <f t="shared" si="85"/>
        <v>0</v>
      </c>
      <c r="S301" s="27">
        <f t="shared" si="86"/>
        <v>0</v>
      </c>
      <c r="T301" s="27">
        <f t="shared" si="87"/>
        <v>0</v>
      </c>
      <c r="U301" s="27">
        <f t="shared" si="88"/>
        <v>0</v>
      </c>
      <c r="V301" s="27">
        <f t="shared" si="89"/>
        <v>0</v>
      </c>
      <c r="W301" s="27">
        <f t="shared" si="90"/>
        <v>0</v>
      </c>
      <c r="X301" s="27">
        <f t="shared" si="91"/>
        <v>0</v>
      </c>
      <c r="Y301" s="17"/>
      <c r="Z301" s="25">
        <f t="shared" si="92"/>
        <v>0</v>
      </c>
      <c r="AA301" s="25">
        <f t="shared" si="93"/>
        <v>0</v>
      </c>
      <c r="AB301" s="25">
        <f t="shared" si="94"/>
        <v>0</v>
      </c>
      <c r="AD301" s="27">
        <v>15</v>
      </c>
      <c r="AE301" s="27">
        <f>G301*0.648483606557377</f>
        <v>0</v>
      </c>
      <c r="AF301" s="27">
        <f>G301*(1-0.648483606557377)</f>
        <v>0</v>
      </c>
      <c r="AG301" s="26" t="s">
        <v>54</v>
      </c>
      <c r="AM301" s="27">
        <f t="shared" si="95"/>
        <v>0</v>
      </c>
      <c r="AN301" s="27">
        <f t="shared" si="96"/>
        <v>0</v>
      </c>
      <c r="AO301" s="28" t="s">
        <v>666</v>
      </c>
      <c r="AP301" s="28" t="s">
        <v>605</v>
      </c>
      <c r="AQ301" s="17" t="s">
        <v>35</v>
      </c>
      <c r="AS301" s="27">
        <f t="shared" si="97"/>
        <v>0</v>
      </c>
      <c r="AT301" s="27">
        <f t="shared" si="98"/>
        <v>0</v>
      </c>
      <c r="AU301" s="27">
        <v>0</v>
      </c>
      <c r="AV301" s="27">
        <f t="shared" si="99"/>
        <v>0.0006000000000000001</v>
      </c>
    </row>
    <row r="302" spans="1:48" ht="12.75">
      <c r="A302" s="23" t="s">
        <v>698</v>
      </c>
      <c r="B302" s="23"/>
      <c r="C302" s="23" t="s">
        <v>699</v>
      </c>
      <c r="D302" s="23" t="s">
        <v>700</v>
      </c>
      <c r="E302" s="23" t="s">
        <v>139</v>
      </c>
      <c r="F302" s="24">
        <v>1</v>
      </c>
      <c r="G302" s="47">
        <v>0</v>
      </c>
      <c r="H302" s="25">
        <f t="shared" si="80"/>
        <v>0</v>
      </c>
      <c r="I302" s="25">
        <f t="shared" si="81"/>
        <v>0</v>
      </c>
      <c r="J302" s="25">
        <f t="shared" si="82"/>
        <v>0</v>
      </c>
      <c r="K302" s="25">
        <v>0.00032</v>
      </c>
      <c r="L302" s="25">
        <f t="shared" si="83"/>
        <v>0.00032</v>
      </c>
      <c r="M302" s="26" t="s">
        <v>32</v>
      </c>
      <c r="P302" s="27">
        <f t="shared" si="84"/>
        <v>0</v>
      </c>
      <c r="R302" s="27">
        <f t="shared" si="85"/>
        <v>0</v>
      </c>
      <c r="S302" s="27">
        <f t="shared" si="86"/>
        <v>0</v>
      </c>
      <c r="T302" s="27">
        <f t="shared" si="87"/>
        <v>0</v>
      </c>
      <c r="U302" s="27">
        <f t="shared" si="88"/>
        <v>0</v>
      </c>
      <c r="V302" s="27">
        <f t="shared" si="89"/>
        <v>0</v>
      </c>
      <c r="W302" s="27">
        <f t="shared" si="90"/>
        <v>0</v>
      </c>
      <c r="X302" s="27">
        <f t="shared" si="91"/>
        <v>0</v>
      </c>
      <c r="Y302" s="17"/>
      <c r="Z302" s="25">
        <f t="shared" si="92"/>
        <v>0</v>
      </c>
      <c r="AA302" s="25">
        <f t="shared" si="93"/>
        <v>0</v>
      </c>
      <c r="AB302" s="25">
        <f t="shared" si="94"/>
        <v>0</v>
      </c>
      <c r="AD302" s="27">
        <v>15</v>
      </c>
      <c r="AE302" s="27">
        <f>G302*0.740193370165746</f>
        <v>0</v>
      </c>
      <c r="AF302" s="27">
        <f>G302*(1-0.740193370165746)</f>
        <v>0</v>
      </c>
      <c r="AG302" s="26" t="s">
        <v>54</v>
      </c>
      <c r="AM302" s="27">
        <f t="shared" si="95"/>
        <v>0</v>
      </c>
      <c r="AN302" s="27">
        <f t="shared" si="96"/>
        <v>0</v>
      </c>
      <c r="AO302" s="28" t="s">
        <v>666</v>
      </c>
      <c r="AP302" s="28" t="s">
        <v>605</v>
      </c>
      <c r="AQ302" s="17" t="s">
        <v>35</v>
      </c>
      <c r="AS302" s="27">
        <f t="shared" si="97"/>
        <v>0</v>
      </c>
      <c r="AT302" s="27">
        <f t="shared" si="98"/>
        <v>0</v>
      </c>
      <c r="AU302" s="27">
        <v>0</v>
      </c>
      <c r="AV302" s="27">
        <f t="shared" si="99"/>
        <v>0.00032</v>
      </c>
    </row>
    <row r="303" spans="1:48" ht="12.75">
      <c r="A303" s="23" t="s">
        <v>701</v>
      </c>
      <c r="B303" s="23"/>
      <c r="C303" s="23" t="s">
        <v>702</v>
      </c>
      <c r="D303" s="23" t="s">
        <v>703</v>
      </c>
      <c r="E303" s="23" t="s">
        <v>139</v>
      </c>
      <c r="F303" s="24">
        <v>1</v>
      </c>
      <c r="G303" s="47">
        <v>0</v>
      </c>
      <c r="H303" s="25">
        <f t="shared" si="80"/>
        <v>0</v>
      </c>
      <c r="I303" s="25">
        <f t="shared" si="81"/>
        <v>0</v>
      </c>
      <c r="J303" s="25">
        <f t="shared" si="82"/>
        <v>0</v>
      </c>
      <c r="K303" s="25">
        <v>0</v>
      </c>
      <c r="L303" s="25">
        <f t="shared" si="83"/>
        <v>0</v>
      </c>
      <c r="M303" s="26" t="s">
        <v>32</v>
      </c>
      <c r="P303" s="27">
        <f t="shared" si="84"/>
        <v>0</v>
      </c>
      <c r="R303" s="27">
        <f t="shared" si="85"/>
        <v>0</v>
      </c>
      <c r="S303" s="27">
        <f t="shared" si="86"/>
        <v>0</v>
      </c>
      <c r="T303" s="27">
        <f t="shared" si="87"/>
        <v>0</v>
      </c>
      <c r="U303" s="27">
        <f t="shared" si="88"/>
        <v>0</v>
      </c>
      <c r="V303" s="27">
        <f t="shared" si="89"/>
        <v>0</v>
      </c>
      <c r="W303" s="27">
        <f t="shared" si="90"/>
        <v>0</v>
      </c>
      <c r="X303" s="27">
        <f t="shared" si="91"/>
        <v>0</v>
      </c>
      <c r="Y303" s="17"/>
      <c r="Z303" s="25">
        <f t="shared" si="92"/>
        <v>0</v>
      </c>
      <c r="AA303" s="25">
        <f t="shared" si="93"/>
        <v>0</v>
      </c>
      <c r="AB303" s="25">
        <f t="shared" si="94"/>
        <v>0</v>
      </c>
      <c r="AD303" s="27">
        <v>15</v>
      </c>
      <c r="AE303" s="27">
        <f>G303*0.723382352941176</f>
        <v>0</v>
      </c>
      <c r="AF303" s="27">
        <f>G303*(1-0.723382352941176)</f>
        <v>0</v>
      </c>
      <c r="AG303" s="26" t="s">
        <v>54</v>
      </c>
      <c r="AM303" s="27">
        <f t="shared" si="95"/>
        <v>0</v>
      </c>
      <c r="AN303" s="27">
        <f t="shared" si="96"/>
        <v>0</v>
      </c>
      <c r="AO303" s="28" t="s">
        <v>666</v>
      </c>
      <c r="AP303" s="28" t="s">
        <v>605</v>
      </c>
      <c r="AQ303" s="17" t="s">
        <v>35</v>
      </c>
      <c r="AS303" s="27">
        <f t="shared" si="97"/>
        <v>0</v>
      </c>
      <c r="AT303" s="27">
        <f t="shared" si="98"/>
        <v>0</v>
      </c>
      <c r="AU303" s="27">
        <v>0</v>
      </c>
      <c r="AV303" s="27">
        <f t="shared" si="99"/>
        <v>0</v>
      </c>
    </row>
    <row r="304" spans="1:48" ht="12.75">
      <c r="A304" s="23" t="s">
        <v>704</v>
      </c>
      <c r="B304" s="23"/>
      <c r="C304" s="23" t="s">
        <v>705</v>
      </c>
      <c r="D304" s="23" t="s">
        <v>706</v>
      </c>
      <c r="E304" s="23" t="s">
        <v>139</v>
      </c>
      <c r="F304" s="24">
        <v>1</v>
      </c>
      <c r="G304" s="47">
        <v>0</v>
      </c>
      <c r="H304" s="25">
        <f t="shared" si="80"/>
        <v>0</v>
      </c>
      <c r="I304" s="25">
        <f t="shared" si="81"/>
        <v>0</v>
      </c>
      <c r="J304" s="25">
        <f t="shared" si="82"/>
        <v>0</v>
      </c>
      <c r="K304" s="25">
        <v>0.00037</v>
      </c>
      <c r="L304" s="25">
        <f t="shared" si="83"/>
        <v>0.00037</v>
      </c>
      <c r="M304" s="26" t="s">
        <v>32</v>
      </c>
      <c r="P304" s="27">
        <f t="shared" si="84"/>
        <v>0</v>
      </c>
      <c r="R304" s="27">
        <f t="shared" si="85"/>
        <v>0</v>
      </c>
      <c r="S304" s="27">
        <f t="shared" si="86"/>
        <v>0</v>
      </c>
      <c r="T304" s="27">
        <f t="shared" si="87"/>
        <v>0</v>
      </c>
      <c r="U304" s="27">
        <f t="shared" si="88"/>
        <v>0</v>
      </c>
      <c r="V304" s="27">
        <f t="shared" si="89"/>
        <v>0</v>
      </c>
      <c r="W304" s="27">
        <f t="shared" si="90"/>
        <v>0</v>
      </c>
      <c r="X304" s="27">
        <f t="shared" si="91"/>
        <v>0</v>
      </c>
      <c r="Y304" s="17"/>
      <c r="Z304" s="25">
        <f t="shared" si="92"/>
        <v>0</v>
      </c>
      <c r="AA304" s="25">
        <f t="shared" si="93"/>
        <v>0</v>
      </c>
      <c r="AB304" s="25">
        <f t="shared" si="94"/>
        <v>0</v>
      </c>
      <c r="AD304" s="27">
        <v>15</v>
      </c>
      <c r="AE304" s="27">
        <f>G304*0.86506456241033</f>
        <v>0</v>
      </c>
      <c r="AF304" s="27">
        <f>G304*(1-0.86506456241033)</f>
        <v>0</v>
      </c>
      <c r="AG304" s="26" t="s">
        <v>54</v>
      </c>
      <c r="AM304" s="27">
        <f t="shared" si="95"/>
        <v>0</v>
      </c>
      <c r="AN304" s="27">
        <f t="shared" si="96"/>
        <v>0</v>
      </c>
      <c r="AO304" s="28" t="s">
        <v>666</v>
      </c>
      <c r="AP304" s="28" t="s">
        <v>605</v>
      </c>
      <c r="AQ304" s="17" t="s">
        <v>35</v>
      </c>
      <c r="AS304" s="27">
        <f t="shared" si="97"/>
        <v>0</v>
      </c>
      <c r="AT304" s="27">
        <f t="shared" si="98"/>
        <v>0</v>
      </c>
      <c r="AU304" s="27">
        <v>0</v>
      </c>
      <c r="AV304" s="27">
        <f t="shared" si="99"/>
        <v>0.00037</v>
      </c>
    </row>
    <row r="305" spans="1:48" ht="12.75">
      <c r="A305" s="23" t="s">
        <v>707</v>
      </c>
      <c r="B305" s="23"/>
      <c r="C305" s="23" t="s">
        <v>708</v>
      </c>
      <c r="D305" s="23" t="s">
        <v>709</v>
      </c>
      <c r="E305" s="23" t="s">
        <v>139</v>
      </c>
      <c r="F305" s="24">
        <v>1</v>
      </c>
      <c r="G305" s="47">
        <v>0</v>
      </c>
      <c r="H305" s="25">
        <f t="shared" si="80"/>
        <v>0</v>
      </c>
      <c r="I305" s="25">
        <f t="shared" si="81"/>
        <v>0</v>
      </c>
      <c r="J305" s="25">
        <f t="shared" si="82"/>
        <v>0</v>
      </c>
      <c r="K305" s="25">
        <v>0.00055</v>
      </c>
      <c r="L305" s="25">
        <f t="shared" si="83"/>
        <v>0.00055</v>
      </c>
      <c r="M305" s="26" t="s">
        <v>32</v>
      </c>
      <c r="P305" s="27">
        <f t="shared" si="84"/>
        <v>0</v>
      </c>
      <c r="R305" s="27">
        <f t="shared" si="85"/>
        <v>0</v>
      </c>
      <c r="S305" s="27">
        <f t="shared" si="86"/>
        <v>0</v>
      </c>
      <c r="T305" s="27">
        <f t="shared" si="87"/>
        <v>0</v>
      </c>
      <c r="U305" s="27">
        <f t="shared" si="88"/>
        <v>0</v>
      </c>
      <c r="V305" s="27">
        <f t="shared" si="89"/>
        <v>0</v>
      </c>
      <c r="W305" s="27">
        <f t="shared" si="90"/>
        <v>0</v>
      </c>
      <c r="X305" s="27">
        <f t="shared" si="91"/>
        <v>0</v>
      </c>
      <c r="Y305" s="17"/>
      <c r="Z305" s="25">
        <f t="shared" si="92"/>
        <v>0</v>
      </c>
      <c r="AA305" s="25">
        <f t="shared" si="93"/>
        <v>0</v>
      </c>
      <c r="AB305" s="25">
        <f t="shared" si="94"/>
        <v>0</v>
      </c>
      <c r="AD305" s="27">
        <v>15</v>
      </c>
      <c r="AE305" s="27">
        <f>G305*0.820857142857143</f>
        <v>0</v>
      </c>
      <c r="AF305" s="27">
        <f>G305*(1-0.820857142857143)</f>
        <v>0</v>
      </c>
      <c r="AG305" s="26" t="s">
        <v>54</v>
      </c>
      <c r="AM305" s="27">
        <f t="shared" si="95"/>
        <v>0</v>
      </c>
      <c r="AN305" s="27">
        <f t="shared" si="96"/>
        <v>0</v>
      </c>
      <c r="AO305" s="28" t="s">
        <v>666</v>
      </c>
      <c r="AP305" s="28" t="s">
        <v>605</v>
      </c>
      <c r="AQ305" s="17" t="s">
        <v>35</v>
      </c>
      <c r="AS305" s="27">
        <f t="shared" si="97"/>
        <v>0</v>
      </c>
      <c r="AT305" s="27">
        <f t="shared" si="98"/>
        <v>0</v>
      </c>
      <c r="AU305" s="27">
        <v>0</v>
      </c>
      <c r="AV305" s="27">
        <f t="shared" si="99"/>
        <v>0.00055</v>
      </c>
    </row>
    <row r="306" spans="1:48" ht="12.75">
      <c r="A306" s="23" t="s">
        <v>710</v>
      </c>
      <c r="B306" s="23"/>
      <c r="C306" s="23" t="s">
        <v>711</v>
      </c>
      <c r="D306" s="23" t="s">
        <v>712</v>
      </c>
      <c r="E306" s="23" t="s">
        <v>139</v>
      </c>
      <c r="F306" s="24">
        <v>1</v>
      </c>
      <c r="G306" s="47">
        <v>0</v>
      </c>
      <c r="H306" s="25">
        <f t="shared" si="80"/>
        <v>0</v>
      </c>
      <c r="I306" s="25">
        <f t="shared" si="81"/>
        <v>0</v>
      </c>
      <c r="J306" s="25">
        <f t="shared" si="82"/>
        <v>0</v>
      </c>
      <c r="K306" s="25">
        <v>0.00314</v>
      </c>
      <c r="L306" s="25">
        <f t="shared" si="83"/>
        <v>0.00314</v>
      </c>
      <c r="M306" s="26" t="s">
        <v>32</v>
      </c>
      <c r="P306" s="27">
        <f t="shared" si="84"/>
        <v>0</v>
      </c>
      <c r="R306" s="27">
        <f t="shared" si="85"/>
        <v>0</v>
      </c>
      <c r="S306" s="27">
        <f t="shared" si="86"/>
        <v>0</v>
      </c>
      <c r="T306" s="27">
        <f t="shared" si="87"/>
        <v>0</v>
      </c>
      <c r="U306" s="27">
        <f t="shared" si="88"/>
        <v>0</v>
      </c>
      <c r="V306" s="27">
        <f t="shared" si="89"/>
        <v>0</v>
      </c>
      <c r="W306" s="27">
        <f t="shared" si="90"/>
        <v>0</v>
      </c>
      <c r="X306" s="27">
        <f t="shared" si="91"/>
        <v>0</v>
      </c>
      <c r="Y306" s="17"/>
      <c r="Z306" s="25">
        <f t="shared" si="92"/>
        <v>0</v>
      </c>
      <c r="AA306" s="25">
        <f t="shared" si="93"/>
        <v>0</v>
      </c>
      <c r="AB306" s="25">
        <f t="shared" si="94"/>
        <v>0</v>
      </c>
      <c r="AD306" s="27">
        <v>15</v>
      </c>
      <c r="AE306" s="27">
        <f>G306*0.904783068906836</f>
        <v>0</v>
      </c>
      <c r="AF306" s="27">
        <f>G306*(1-0.904783068906836)</f>
        <v>0</v>
      </c>
      <c r="AG306" s="26" t="s">
        <v>54</v>
      </c>
      <c r="AM306" s="27">
        <f t="shared" si="95"/>
        <v>0</v>
      </c>
      <c r="AN306" s="27">
        <f t="shared" si="96"/>
        <v>0</v>
      </c>
      <c r="AO306" s="28" t="s">
        <v>666</v>
      </c>
      <c r="AP306" s="28" t="s">
        <v>605</v>
      </c>
      <c r="AQ306" s="17" t="s">
        <v>35</v>
      </c>
      <c r="AS306" s="27">
        <f t="shared" si="97"/>
        <v>0</v>
      </c>
      <c r="AT306" s="27">
        <f t="shared" si="98"/>
        <v>0</v>
      </c>
      <c r="AU306" s="27">
        <v>0</v>
      </c>
      <c r="AV306" s="27">
        <f t="shared" si="99"/>
        <v>0.00314</v>
      </c>
    </row>
    <row r="307" spans="1:48" ht="12.75">
      <c r="A307" s="23" t="s">
        <v>713</v>
      </c>
      <c r="B307" s="23"/>
      <c r="C307" s="23" t="s">
        <v>714</v>
      </c>
      <c r="D307" s="23" t="s">
        <v>715</v>
      </c>
      <c r="E307" s="23" t="s">
        <v>139</v>
      </c>
      <c r="F307" s="24">
        <v>1</v>
      </c>
      <c r="G307" s="47">
        <v>0</v>
      </c>
      <c r="H307" s="25">
        <f t="shared" si="80"/>
        <v>0</v>
      </c>
      <c r="I307" s="25">
        <f t="shared" si="81"/>
        <v>0</v>
      </c>
      <c r="J307" s="25">
        <f t="shared" si="82"/>
        <v>0</v>
      </c>
      <c r="K307" s="25">
        <v>0.00136</v>
      </c>
      <c r="L307" s="25">
        <f t="shared" si="83"/>
        <v>0.00136</v>
      </c>
      <c r="M307" s="26" t="s">
        <v>32</v>
      </c>
      <c r="P307" s="27">
        <f t="shared" si="84"/>
        <v>0</v>
      </c>
      <c r="R307" s="27">
        <f t="shared" si="85"/>
        <v>0</v>
      </c>
      <c r="S307" s="27">
        <f t="shared" si="86"/>
        <v>0</v>
      </c>
      <c r="T307" s="27">
        <f t="shared" si="87"/>
        <v>0</v>
      </c>
      <c r="U307" s="27">
        <f t="shared" si="88"/>
        <v>0</v>
      </c>
      <c r="V307" s="27">
        <f t="shared" si="89"/>
        <v>0</v>
      </c>
      <c r="W307" s="27">
        <f t="shared" si="90"/>
        <v>0</v>
      </c>
      <c r="X307" s="27">
        <f t="shared" si="91"/>
        <v>0</v>
      </c>
      <c r="Y307" s="17"/>
      <c r="Z307" s="25">
        <f t="shared" si="92"/>
        <v>0</v>
      </c>
      <c r="AA307" s="25">
        <f t="shared" si="93"/>
        <v>0</v>
      </c>
      <c r="AB307" s="25">
        <f t="shared" si="94"/>
        <v>0</v>
      </c>
      <c r="AD307" s="27">
        <v>15</v>
      </c>
      <c r="AE307" s="27">
        <f>G307*0.948389121338912</f>
        <v>0</v>
      </c>
      <c r="AF307" s="27">
        <f>G307*(1-0.948389121338912)</f>
        <v>0</v>
      </c>
      <c r="AG307" s="26" t="s">
        <v>54</v>
      </c>
      <c r="AM307" s="27">
        <f t="shared" si="95"/>
        <v>0</v>
      </c>
      <c r="AN307" s="27">
        <f t="shared" si="96"/>
        <v>0</v>
      </c>
      <c r="AO307" s="28" t="s">
        <v>666</v>
      </c>
      <c r="AP307" s="28" t="s">
        <v>605</v>
      </c>
      <c r="AQ307" s="17" t="s">
        <v>35</v>
      </c>
      <c r="AS307" s="27">
        <f t="shared" si="97"/>
        <v>0</v>
      </c>
      <c r="AT307" s="27">
        <f t="shared" si="98"/>
        <v>0</v>
      </c>
      <c r="AU307" s="27">
        <v>0</v>
      </c>
      <c r="AV307" s="27">
        <f t="shared" si="99"/>
        <v>0.00136</v>
      </c>
    </row>
    <row r="308" spans="1:48" ht="12.75">
      <c r="A308" s="23" t="s">
        <v>716</v>
      </c>
      <c r="B308" s="23"/>
      <c r="C308" s="23" t="s">
        <v>717</v>
      </c>
      <c r="D308" s="23" t="s">
        <v>718</v>
      </c>
      <c r="E308" s="23" t="s">
        <v>109</v>
      </c>
      <c r="F308" s="24">
        <v>0.553</v>
      </c>
      <c r="G308" s="47">
        <v>0</v>
      </c>
      <c r="H308" s="25">
        <f t="shared" si="80"/>
        <v>0</v>
      </c>
      <c r="I308" s="25">
        <f t="shared" si="81"/>
        <v>0</v>
      </c>
      <c r="J308" s="25">
        <f t="shared" si="82"/>
        <v>0</v>
      </c>
      <c r="K308" s="25">
        <v>0</v>
      </c>
      <c r="L308" s="25">
        <f t="shared" si="83"/>
        <v>0</v>
      </c>
      <c r="M308" s="26" t="s">
        <v>32</v>
      </c>
      <c r="P308" s="27">
        <f t="shared" si="84"/>
        <v>0</v>
      </c>
      <c r="R308" s="27">
        <f t="shared" si="85"/>
        <v>0</v>
      </c>
      <c r="S308" s="27">
        <f t="shared" si="86"/>
        <v>0</v>
      </c>
      <c r="T308" s="27">
        <f t="shared" si="87"/>
        <v>0</v>
      </c>
      <c r="U308" s="27">
        <f t="shared" si="88"/>
        <v>0</v>
      </c>
      <c r="V308" s="27">
        <f t="shared" si="89"/>
        <v>0</v>
      </c>
      <c r="W308" s="27">
        <f t="shared" si="90"/>
        <v>0</v>
      </c>
      <c r="X308" s="27">
        <f t="shared" si="91"/>
        <v>0</v>
      </c>
      <c r="Y308" s="17"/>
      <c r="Z308" s="25">
        <f t="shared" si="92"/>
        <v>0</v>
      </c>
      <c r="AA308" s="25">
        <f t="shared" si="93"/>
        <v>0</v>
      </c>
      <c r="AB308" s="25">
        <f t="shared" si="94"/>
        <v>0</v>
      </c>
      <c r="AD308" s="27">
        <v>15</v>
      </c>
      <c r="AE308" s="27">
        <f>G308*0</f>
        <v>0</v>
      </c>
      <c r="AF308" s="27">
        <f>G308*(1-0)</f>
        <v>0</v>
      </c>
      <c r="AG308" s="26" t="s">
        <v>49</v>
      </c>
      <c r="AM308" s="27">
        <f t="shared" si="95"/>
        <v>0</v>
      </c>
      <c r="AN308" s="27">
        <f t="shared" si="96"/>
        <v>0</v>
      </c>
      <c r="AO308" s="28" t="s">
        <v>666</v>
      </c>
      <c r="AP308" s="28" t="s">
        <v>605</v>
      </c>
      <c r="AQ308" s="17" t="s">
        <v>35</v>
      </c>
      <c r="AS308" s="27">
        <f t="shared" si="97"/>
        <v>0</v>
      </c>
      <c r="AT308" s="27">
        <f t="shared" si="98"/>
        <v>0</v>
      </c>
      <c r="AU308" s="27">
        <v>0</v>
      </c>
      <c r="AV308" s="27">
        <f t="shared" si="99"/>
        <v>0</v>
      </c>
    </row>
    <row r="309" spans="1:37" ht="12.75">
      <c r="A309" s="29"/>
      <c r="B309" s="30"/>
      <c r="C309" s="30" t="s">
        <v>719</v>
      </c>
      <c r="D309" s="30" t="s">
        <v>720</v>
      </c>
      <c r="E309" s="29" t="s">
        <v>10</v>
      </c>
      <c r="F309" s="29" t="s">
        <v>10</v>
      </c>
      <c r="G309" s="48" t="s">
        <v>10</v>
      </c>
      <c r="H309" s="22">
        <f>SUM(H310:H314)</f>
        <v>0</v>
      </c>
      <c r="I309" s="22">
        <f>SUM(I310:I314)</f>
        <v>0</v>
      </c>
      <c r="J309" s="22">
        <f>H309+I309</f>
        <v>0</v>
      </c>
      <c r="K309" s="17"/>
      <c r="L309" s="22">
        <f>SUM(L310:L314)</f>
        <v>0.50812524</v>
      </c>
      <c r="M309" s="17"/>
      <c r="Y309" s="17"/>
      <c r="AI309" s="22">
        <f>SUM(Z310:Z314)</f>
        <v>0</v>
      </c>
      <c r="AJ309" s="22">
        <f>SUM(AA310:AA314)</f>
        <v>0</v>
      </c>
      <c r="AK309" s="22">
        <f>SUM(AB310:AB314)</f>
        <v>0</v>
      </c>
    </row>
    <row r="310" spans="1:48" ht="12.75">
      <c r="A310" s="23" t="s">
        <v>721</v>
      </c>
      <c r="B310" s="23"/>
      <c r="C310" s="23" t="s">
        <v>722</v>
      </c>
      <c r="D310" s="23" t="s">
        <v>723</v>
      </c>
      <c r="E310" s="23" t="s">
        <v>75</v>
      </c>
      <c r="F310" s="24">
        <v>124.236</v>
      </c>
      <c r="G310" s="47">
        <v>0</v>
      </c>
      <c r="H310" s="25">
        <f>F310*AE310</f>
        <v>0</v>
      </c>
      <c r="I310" s="25">
        <f>J310-H310</f>
        <v>0</v>
      </c>
      <c r="J310" s="25">
        <f>F310*G310</f>
        <v>0</v>
      </c>
      <c r="K310" s="25">
        <v>0.00264</v>
      </c>
      <c r="L310" s="25">
        <f>F310*K310</f>
        <v>0.32798304</v>
      </c>
      <c r="M310" s="26" t="s">
        <v>32</v>
      </c>
      <c r="P310" s="27">
        <f>IF(AG310="5",J310,0)</f>
        <v>0</v>
      </c>
      <c r="R310" s="27">
        <f>IF(AG310="1",H310,0)</f>
        <v>0</v>
      </c>
      <c r="S310" s="27">
        <f>IF(AG310="1",I310,0)</f>
        <v>0</v>
      </c>
      <c r="T310" s="27">
        <f>IF(AG310="7",H310,0)</f>
        <v>0</v>
      </c>
      <c r="U310" s="27">
        <f>IF(AG310="7",I310,0)</f>
        <v>0</v>
      </c>
      <c r="V310" s="27">
        <f>IF(AG310="2",H310,0)</f>
        <v>0</v>
      </c>
      <c r="W310" s="27">
        <f>IF(AG310="2",I310,0)</f>
        <v>0</v>
      </c>
      <c r="X310" s="27">
        <f>IF(AG310="0",J310,0)</f>
        <v>0</v>
      </c>
      <c r="Y310" s="17"/>
      <c r="Z310" s="25">
        <f>IF(AD310=0,J310,0)</f>
        <v>0</v>
      </c>
      <c r="AA310" s="25">
        <f>IF(AD310=15,J310,0)</f>
        <v>0</v>
      </c>
      <c r="AB310" s="25">
        <f>IF(AD310=21,J310,0)</f>
        <v>0</v>
      </c>
      <c r="AD310" s="27">
        <v>15</v>
      </c>
      <c r="AE310" s="27">
        <f>G310*0.364782608695652</f>
        <v>0</v>
      </c>
      <c r="AF310" s="27">
        <f>G310*(1-0.364782608695652)</f>
        <v>0</v>
      </c>
      <c r="AG310" s="26" t="s">
        <v>54</v>
      </c>
      <c r="AM310" s="27">
        <f>F310*AE310</f>
        <v>0</v>
      </c>
      <c r="AN310" s="27">
        <f>F310*AF310</f>
        <v>0</v>
      </c>
      <c r="AO310" s="28" t="s">
        <v>724</v>
      </c>
      <c r="AP310" s="28" t="s">
        <v>725</v>
      </c>
      <c r="AQ310" s="17" t="s">
        <v>35</v>
      </c>
      <c r="AS310" s="27">
        <f>AM310+AN310</f>
        <v>0</v>
      </c>
      <c r="AT310" s="27">
        <f>G310/(100-AU310)*100</f>
        <v>0</v>
      </c>
      <c r="AU310" s="27">
        <v>0</v>
      </c>
      <c r="AV310" s="27">
        <f>L310</f>
        <v>0.32798304</v>
      </c>
    </row>
    <row r="311" spans="1:6" ht="12.75">
      <c r="A311" s="43"/>
      <c r="B311" s="43"/>
      <c r="C311" s="43"/>
      <c r="D311" s="31" t="s">
        <v>726</v>
      </c>
      <c r="E311" s="43"/>
      <c r="F311" s="43"/>
    </row>
    <row r="312" spans="1:48" ht="12.75">
      <c r="A312" s="23" t="s">
        <v>727</v>
      </c>
      <c r="B312" s="23"/>
      <c r="C312" s="23" t="s">
        <v>728</v>
      </c>
      <c r="D312" s="23" t="s">
        <v>729</v>
      </c>
      <c r="E312" s="23" t="s">
        <v>75</v>
      </c>
      <c r="F312" s="24">
        <v>124.236</v>
      </c>
      <c r="G312" s="47">
        <v>0</v>
      </c>
      <c r="H312" s="25">
        <f>F312*AE312</f>
        <v>0</v>
      </c>
      <c r="I312" s="25">
        <f>J312-H312</f>
        <v>0</v>
      </c>
      <c r="J312" s="25">
        <f>F312*G312</f>
        <v>0</v>
      </c>
      <c r="K312" s="25">
        <v>0.00145</v>
      </c>
      <c r="L312" s="25">
        <f>F312*K312</f>
        <v>0.1801422</v>
      </c>
      <c r="M312" s="26" t="s">
        <v>32</v>
      </c>
      <c r="P312" s="27">
        <f>IF(AG312="5",J312,0)</f>
        <v>0</v>
      </c>
      <c r="R312" s="27">
        <f>IF(AG312="1",H312,0)</f>
        <v>0</v>
      </c>
      <c r="S312" s="27">
        <f>IF(AG312="1",I312,0)</f>
        <v>0</v>
      </c>
      <c r="T312" s="27">
        <f>IF(AG312="7",H312,0)</f>
        <v>0</v>
      </c>
      <c r="U312" s="27">
        <f>IF(AG312="7",I312,0)</f>
        <v>0</v>
      </c>
      <c r="V312" s="27">
        <f>IF(AG312="2",H312,0)</f>
        <v>0</v>
      </c>
      <c r="W312" s="27">
        <f>IF(AG312="2",I312,0)</f>
        <v>0</v>
      </c>
      <c r="X312" s="27">
        <f>IF(AG312="0",J312,0)</f>
        <v>0</v>
      </c>
      <c r="Y312" s="17"/>
      <c r="Z312" s="25">
        <f>IF(AD312=0,J312,0)</f>
        <v>0</v>
      </c>
      <c r="AA312" s="25">
        <f>IF(AD312=15,J312,0)</f>
        <v>0</v>
      </c>
      <c r="AB312" s="25">
        <f>IF(AD312=21,J312,0)</f>
        <v>0</v>
      </c>
      <c r="AD312" s="27">
        <v>15</v>
      </c>
      <c r="AE312" s="27">
        <f>G312*0.424485568586273</f>
        <v>0</v>
      </c>
      <c r="AF312" s="27">
        <f>G312*(1-0.424485568586273)</f>
        <v>0</v>
      </c>
      <c r="AG312" s="26" t="s">
        <v>54</v>
      </c>
      <c r="AM312" s="27">
        <f>F312*AE312</f>
        <v>0</v>
      </c>
      <c r="AN312" s="27">
        <f>F312*AF312</f>
        <v>0</v>
      </c>
      <c r="AO312" s="28" t="s">
        <v>724</v>
      </c>
      <c r="AP312" s="28" t="s">
        <v>725</v>
      </c>
      <c r="AQ312" s="17" t="s">
        <v>35</v>
      </c>
      <c r="AS312" s="27">
        <f>AM312+AN312</f>
        <v>0</v>
      </c>
      <c r="AT312" s="27">
        <f>G312/(100-AU312)*100</f>
        <v>0</v>
      </c>
      <c r="AU312" s="27">
        <v>0</v>
      </c>
      <c r="AV312" s="27">
        <f>L312</f>
        <v>0.1801422</v>
      </c>
    </row>
    <row r="313" spans="1:6" ht="12.75">
      <c r="A313" s="43"/>
      <c r="B313" s="43"/>
      <c r="C313" s="43"/>
      <c r="D313" s="31" t="s">
        <v>730</v>
      </c>
      <c r="E313" s="43"/>
      <c r="F313" s="43"/>
    </row>
    <row r="314" spans="1:48" ht="12.75">
      <c r="A314" s="23" t="s">
        <v>731</v>
      </c>
      <c r="B314" s="23"/>
      <c r="C314" s="23" t="s">
        <v>732</v>
      </c>
      <c r="D314" s="23" t="s">
        <v>733</v>
      </c>
      <c r="E314" s="23" t="s">
        <v>109</v>
      </c>
      <c r="F314" s="24">
        <v>0.508</v>
      </c>
      <c r="G314" s="47">
        <v>0</v>
      </c>
      <c r="H314" s="25">
        <f>F314*AE314</f>
        <v>0</v>
      </c>
      <c r="I314" s="25">
        <f>J314-H314</f>
        <v>0</v>
      </c>
      <c r="J314" s="25">
        <f>F314*G314</f>
        <v>0</v>
      </c>
      <c r="K314" s="25">
        <v>0</v>
      </c>
      <c r="L314" s="25">
        <f>F314*K314</f>
        <v>0</v>
      </c>
      <c r="M314" s="26" t="s">
        <v>32</v>
      </c>
      <c r="P314" s="27">
        <f>IF(AG314="5",J314,0)</f>
        <v>0</v>
      </c>
      <c r="R314" s="27">
        <f>IF(AG314="1",H314,0)</f>
        <v>0</v>
      </c>
      <c r="S314" s="27">
        <f>IF(AG314="1",I314,0)</f>
        <v>0</v>
      </c>
      <c r="T314" s="27">
        <f>IF(AG314="7",H314,0)</f>
        <v>0</v>
      </c>
      <c r="U314" s="27">
        <f>IF(AG314="7",I314,0)</f>
        <v>0</v>
      </c>
      <c r="V314" s="27">
        <f>IF(AG314="2",H314,0)</f>
        <v>0</v>
      </c>
      <c r="W314" s="27">
        <f>IF(AG314="2",I314,0)</f>
        <v>0</v>
      </c>
      <c r="X314" s="27">
        <f>IF(AG314="0",J314,0)</f>
        <v>0</v>
      </c>
      <c r="Y314" s="17"/>
      <c r="Z314" s="25">
        <f>IF(AD314=0,J314,0)</f>
        <v>0</v>
      </c>
      <c r="AA314" s="25">
        <f>IF(AD314=15,J314,0)</f>
        <v>0</v>
      </c>
      <c r="AB314" s="25">
        <f>IF(AD314=21,J314,0)</f>
        <v>0</v>
      </c>
      <c r="AD314" s="27">
        <v>15</v>
      </c>
      <c r="AE314" s="27">
        <f>G314*0</f>
        <v>0</v>
      </c>
      <c r="AF314" s="27">
        <f>G314*(1-0)</f>
        <v>0</v>
      </c>
      <c r="AG314" s="26" t="s">
        <v>49</v>
      </c>
      <c r="AM314" s="27">
        <f>F314*AE314</f>
        <v>0</v>
      </c>
      <c r="AN314" s="27">
        <f>F314*AF314</f>
        <v>0</v>
      </c>
      <c r="AO314" s="28" t="s">
        <v>724</v>
      </c>
      <c r="AP314" s="28" t="s">
        <v>725</v>
      </c>
      <c r="AQ314" s="17" t="s">
        <v>35</v>
      </c>
      <c r="AS314" s="27">
        <f>AM314+AN314</f>
        <v>0</v>
      </c>
      <c r="AT314" s="27">
        <f>G314/(100-AU314)*100</f>
        <v>0</v>
      </c>
      <c r="AU314" s="27">
        <v>0</v>
      </c>
      <c r="AV314" s="27">
        <f>L314</f>
        <v>0</v>
      </c>
    </row>
    <row r="315" spans="1:37" ht="12.75">
      <c r="A315" s="29"/>
      <c r="B315" s="30"/>
      <c r="C315" s="30" t="s">
        <v>734</v>
      </c>
      <c r="D315" s="30" t="s">
        <v>735</v>
      </c>
      <c r="E315" s="29" t="s">
        <v>10</v>
      </c>
      <c r="F315" s="29" t="s">
        <v>10</v>
      </c>
      <c r="G315" s="48" t="s">
        <v>10</v>
      </c>
      <c r="H315" s="22">
        <f>SUM(H316:H316)</f>
        <v>0</v>
      </c>
      <c r="I315" s="22">
        <f>SUM(I316:I316)</f>
        <v>0</v>
      </c>
      <c r="J315" s="22">
        <f>H315+I315</f>
        <v>0</v>
      </c>
      <c r="K315" s="17"/>
      <c r="L315" s="22">
        <f>SUM(L316:L316)</f>
        <v>0</v>
      </c>
      <c r="M315" s="17"/>
      <c r="Y315" s="17"/>
      <c r="AI315" s="22">
        <f>SUM(Z316:Z316)</f>
        <v>0</v>
      </c>
      <c r="AJ315" s="22">
        <f>SUM(AA316:AA316)</f>
        <v>0</v>
      </c>
      <c r="AK315" s="22">
        <f>SUM(AB316:AB316)</f>
        <v>0</v>
      </c>
    </row>
    <row r="316" spans="1:48" ht="12.75">
      <c r="A316" s="23" t="s">
        <v>736</v>
      </c>
      <c r="B316" s="23"/>
      <c r="C316" s="23" t="s">
        <v>737</v>
      </c>
      <c r="D316" s="23" t="s">
        <v>738</v>
      </c>
      <c r="E316" s="23" t="s">
        <v>75</v>
      </c>
      <c r="F316" s="24">
        <v>116</v>
      </c>
      <c r="G316" s="47">
        <v>0</v>
      </c>
      <c r="H316" s="25">
        <f>F316*AE316</f>
        <v>0</v>
      </c>
      <c r="I316" s="25">
        <f>J316-H316</f>
        <v>0</v>
      </c>
      <c r="J316" s="25">
        <f>F316*G316</f>
        <v>0</v>
      </c>
      <c r="K316" s="25">
        <v>0</v>
      </c>
      <c r="L316" s="25">
        <f>F316*K316</f>
        <v>0</v>
      </c>
      <c r="M316" s="26"/>
      <c r="P316" s="27">
        <f>IF(AG316="5",J316,0)</f>
        <v>0</v>
      </c>
      <c r="R316" s="27">
        <f>IF(AG316="1",H316,0)</f>
        <v>0</v>
      </c>
      <c r="S316" s="27">
        <f>IF(AG316="1",I316,0)</f>
        <v>0</v>
      </c>
      <c r="T316" s="27">
        <f>IF(AG316="7",H316,0)</f>
        <v>0</v>
      </c>
      <c r="U316" s="27">
        <f>IF(AG316="7",I316,0)</f>
        <v>0</v>
      </c>
      <c r="V316" s="27">
        <f>IF(AG316="2",H316,0)</f>
        <v>0</v>
      </c>
      <c r="W316" s="27">
        <f>IF(AG316="2",I316,0)</f>
        <v>0</v>
      </c>
      <c r="X316" s="27">
        <f>IF(AG316="0",J316,0)</f>
        <v>0</v>
      </c>
      <c r="Y316" s="17"/>
      <c r="Z316" s="25">
        <f>IF(AD316=0,J316,0)</f>
        <v>0</v>
      </c>
      <c r="AA316" s="25">
        <f>IF(AD316=15,J316,0)</f>
        <v>0</v>
      </c>
      <c r="AB316" s="25">
        <f>IF(AD316=21,J316,0)</f>
        <v>0</v>
      </c>
      <c r="AD316" s="27">
        <v>15</v>
      </c>
      <c r="AE316" s="27">
        <f>G316*0.8</f>
        <v>0</v>
      </c>
      <c r="AF316" s="27">
        <f>G316*(1-0.8)</f>
        <v>0</v>
      </c>
      <c r="AG316" s="26" t="s">
        <v>54</v>
      </c>
      <c r="AM316" s="27">
        <f>F316*AE316</f>
        <v>0</v>
      </c>
      <c r="AN316" s="27">
        <f>F316*AF316</f>
        <v>0</v>
      </c>
      <c r="AO316" s="28" t="s">
        <v>739</v>
      </c>
      <c r="AP316" s="28" t="s">
        <v>725</v>
      </c>
      <c r="AQ316" s="17" t="s">
        <v>35</v>
      </c>
      <c r="AS316" s="27">
        <f>AM316+AN316</f>
        <v>0</v>
      </c>
      <c r="AT316" s="27">
        <f>G316/(100-AU316)*100</f>
        <v>0</v>
      </c>
      <c r="AU316" s="27">
        <v>0</v>
      </c>
      <c r="AV316" s="27">
        <f>L316</f>
        <v>0</v>
      </c>
    </row>
    <row r="317" spans="1:6" ht="12.75">
      <c r="A317" s="43"/>
      <c r="B317" s="43"/>
      <c r="C317" s="43"/>
      <c r="D317" s="31" t="s">
        <v>242</v>
      </c>
      <c r="E317" s="43"/>
      <c r="F317" s="43"/>
    </row>
    <row r="318" spans="1:37" ht="12.75">
      <c r="A318" s="29"/>
      <c r="B318" s="30"/>
      <c r="C318" s="30" t="s">
        <v>740</v>
      </c>
      <c r="D318" s="30" t="s">
        <v>741</v>
      </c>
      <c r="E318" s="29" t="s">
        <v>10</v>
      </c>
      <c r="F318" s="29" t="s">
        <v>10</v>
      </c>
      <c r="G318" s="48" t="s">
        <v>10</v>
      </c>
      <c r="H318" s="22">
        <f>SUM(H319:H327)</f>
        <v>0</v>
      </c>
      <c r="I318" s="22">
        <f>SUM(I319:I327)</f>
        <v>0</v>
      </c>
      <c r="J318" s="22">
        <f>H318+I318</f>
        <v>0</v>
      </c>
      <c r="K318" s="17"/>
      <c r="L318" s="22">
        <f>SUM(L319:L327)</f>
        <v>0.203564</v>
      </c>
      <c r="M318" s="17"/>
      <c r="Y318" s="17"/>
      <c r="AI318" s="22">
        <f>SUM(Z319:Z327)</f>
        <v>0</v>
      </c>
      <c r="AJ318" s="22">
        <f>SUM(AA319:AA327)</f>
        <v>0</v>
      </c>
      <c r="AK318" s="22">
        <f>SUM(AB319:AB327)</f>
        <v>0</v>
      </c>
    </row>
    <row r="319" spans="1:48" ht="12.75">
      <c r="A319" s="23" t="s">
        <v>742</v>
      </c>
      <c r="B319" s="23"/>
      <c r="C319" s="23" t="s">
        <v>743</v>
      </c>
      <c r="D319" s="23" t="s">
        <v>744</v>
      </c>
      <c r="E319" s="23" t="s">
        <v>41</v>
      </c>
      <c r="F319" s="24">
        <v>23.2</v>
      </c>
      <c r="G319" s="47">
        <v>0</v>
      </c>
      <c r="H319" s="25">
        <f>F319*AE319</f>
        <v>0</v>
      </c>
      <c r="I319" s="25">
        <f>J319-H319</f>
        <v>0</v>
      </c>
      <c r="J319" s="25">
        <f>F319*G319</f>
        <v>0</v>
      </c>
      <c r="K319" s="25">
        <v>0.00261</v>
      </c>
      <c r="L319" s="25">
        <f>F319*K319</f>
        <v>0.060551999999999995</v>
      </c>
      <c r="M319" s="26" t="s">
        <v>32</v>
      </c>
      <c r="P319" s="27">
        <f>IF(AG319="5",J319,0)</f>
        <v>0</v>
      </c>
      <c r="R319" s="27">
        <f>IF(AG319="1",H319,0)</f>
        <v>0</v>
      </c>
      <c r="S319" s="27">
        <f>IF(AG319="1",I319,0)</f>
        <v>0</v>
      </c>
      <c r="T319" s="27">
        <f>IF(AG319="7",H319,0)</f>
        <v>0</v>
      </c>
      <c r="U319" s="27">
        <f>IF(AG319="7",I319,0)</f>
        <v>0</v>
      </c>
      <c r="V319" s="27">
        <f>IF(AG319="2",H319,0)</f>
        <v>0</v>
      </c>
      <c r="W319" s="27">
        <f>IF(AG319="2",I319,0)</f>
        <v>0</v>
      </c>
      <c r="X319" s="27">
        <f>IF(AG319="0",J319,0)</f>
        <v>0</v>
      </c>
      <c r="Y319" s="17"/>
      <c r="Z319" s="25">
        <f>IF(AD319=0,J319,0)</f>
        <v>0</v>
      </c>
      <c r="AA319" s="25">
        <f>IF(AD319=15,J319,0)</f>
        <v>0</v>
      </c>
      <c r="AB319" s="25">
        <f>IF(AD319=21,J319,0)</f>
        <v>0</v>
      </c>
      <c r="AD319" s="27">
        <v>15</v>
      </c>
      <c r="AE319" s="27">
        <f>G319*0.700674127207134</f>
        <v>0</v>
      </c>
      <c r="AF319" s="27">
        <f>G319*(1-0.700674127207134)</f>
        <v>0</v>
      </c>
      <c r="AG319" s="26" t="s">
        <v>54</v>
      </c>
      <c r="AM319" s="27">
        <f>F319*AE319</f>
        <v>0</v>
      </c>
      <c r="AN319" s="27">
        <f>F319*AF319</f>
        <v>0</v>
      </c>
      <c r="AO319" s="28" t="s">
        <v>745</v>
      </c>
      <c r="AP319" s="28" t="s">
        <v>725</v>
      </c>
      <c r="AQ319" s="17" t="s">
        <v>35</v>
      </c>
      <c r="AS319" s="27">
        <f>AM319+AN319</f>
        <v>0</v>
      </c>
      <c r="AT319" s="27">
        <f>G319/(100-AU319)*100</f>
        <v>0</v>
      </c>
      <c r="AU319" s="27">
        <v>0</v>
      </c>
      <c r="AV319" s="27">
        <f>L319</f>
        <v>0.060551999999999995</v>
      </c>
    </row>
    <row r="320" spans="1:48" ht="12.75">
      <c r="A320" s="23" t="s">
        <v>746</v>
      </c>
      <c r="B320" s="23"/>
      <c r="C320" s="23" t="s">
        <v>747</v>
      </c>
      <c r="D320" s="23" t="s">
        <v>748</v>
      </c>
      <c r="E320" s="23" t="s">
        <v>139</v>
      </c>
      <c r="F320" s="24">
        <v>2</v>
      </c>
      <c r="G320" s="47">
        <v>0</v>
      </c>
      <c r="H320" s="25">
        <f>F320*AE320</f>
        <v>0</v>
      </c>
      <c r="I320" s="25">
        <f>J320-H320</f>
        <v>0</v>
      </c>
      <c r="J320" s="25">
        <f>F320*G320</f>
        <v>0</v>
      </c>
      <c r="K320" s="25">
        <v>0.00047</v>
      </c>
      <c r="L320" s="25">
        <f>F320*K320</f>
        <v>0.00094</v>
      </c>
      <c r="M320" s="26" t="s">
        <v>32</v>
      </c>
      <c r="P320" s="27">
        <f>IF(AG320="5",J320,0)</f>
        <v>0</v>
      </c>
      <c r="R320" s="27">
        <f>IF(AG320="1",H320,0)</f>
        <v>0</v>
      </c>
      <c r="S320" s="27">
        <f>IF(AG320="1",I320,0)</f>
        <v>0</v>
      </c>
      <c r="T320" s="27">
        <f>IF(AG320="7",H320,0)</f>
        <v>0</v>
      </c>
      <c r="U320" s="27">
        <f>IF(AG320="7",I320,0)</f>
        <v>0</v>
      </c>
      <c r="V320" s="27">
        <f>IF(AG320="2",H320,0)</f>
        <v>0</v>
      </c>
      <c r="W320" s="27">
        <f>IF(AG320="2",I320,0)</f>
        <v>0</v>
      </c>
      <c r="X320" s="27">
        <f>IF(AG320="0",J320,0)</f>
        <v>0</v>
      </c>
      <c r="Y320" s="17"/>
      <c r="Z320" s="25">
        <f>IF(AD320=0,J320,0)</f>
        <v>0</v>
      </c>
      <c r="AA320" s="25">
        <f>IF(AD320=15,J320,0)</f>
        <v>0</v>
      </c>
      <c r="AB320" s="25">
        <f>IF(AD320=21,J320,0)</f>
        <v>0</v>
      </c>
      <c r="AD320" s="27">
        <v>15</v>
      </c>
      <c r="AE320" s="27">
        <f>G320*0.786789189189189</f>
        <v>0</v>
      </c>
      <c r="AF320" s="27">
        <f>G320*(1-0.786789189189189)</f>
        <v>0</v>
      </c>
      <c r="AG320" s="26" t="s">
        <v>54</v>
      </c>
      <c r="AM320" s="27">
        <f>F320*AE320</f>
        <v>0</v>
      </c>
      <c r="AN320" s="27">
        <f>F320*AF320</f>
        <v>0</v>
      </c>
      <c r="AO320" s="28" t="s">
        <v>745</v>
      </c>
      <c r="AP320" s="28" t="s">
        <v>725</v>
      </c>
      <c r="AQ320" s="17" t="s">
        <v>35</v>
      </c>
      <c r="AS320" s="27">
        <f>AM320+AN320</f>
        <v>0</v>
      </c>
      <c r="AT320" s="27">
        <f>G320/(100-AU320)*100</f>
        <v>0</v>
      </c>
      <c r="AU320" s="27">
        <v>0</v>
      </c>
      <c r="AV320" s="27">
        <f>L320</f>
        <v>0.00094</v>
      </c>
    </row>
    <row r="321" spans="1:48" ht="12.75">
      <c r="A321" s="23" t="s">
        <v>749</v>
      </c>
      <c r="B321" s="23"/>
      <c r="C321" s="23" t="s">
        <v>750</v>
      </c>
      <c r="D321" s="23" t="s">
        <v>751</v>
      </c>
      <c r="E321" s="23" t="s">
        <v>41</v>
      </c>
      <c r="F321" s="24">
        <v>11.7</v>
      </c>
      <c r="G321" s="47">
        <v>0</v>
      </c>
      <c r="H321" s="25">
        <f>F321*AE321</f>
        <v>0</v>
      </c>
      <c r="I321" s="25">
        <f>J321-H321</f>
        <v>0</v>
      </c>
      <c r="J321" s="25">
        <f>F321*G321</f>
        <v>0</v>
      </c>
      <c r="K321" s="25">
        <v>0.00203</v>
      </c>
      <c r="L321" s="25">
        <f>F321*K321</f>
        <v>0.023751</v>
      </c>
      <c r="M321" s="26" t="s">
        <v>32</v>
      </c>
      <c r="P321" s="27">
        <f>IF(AG321="5",J321,0)</f>
        <v>0</v>
      </c>
      <c r="R321" s="27">
        <f>IF(AG321="1",H321,0)</f>
        <v>0</v>
      </c>
      <c r="S321" s="27">
        <f>IF(AG321="1",I321,0)</f>
        <v>0</v>
      </c>
      <c r="T321" s="27">
        <f>IF(AG321="7",H321,0)</f>
        <v>0</v>
      </c>
      <c r="U321" s="27">
        <f>IF(AG321="7",I321,0)</f>
        <v>0</v>
      </c>
      <c r="V321" s="27">
        <f>IF(AG321="2",H321,0)</f>
        <v>0</v>
      </c>
      <c r="W321" s="27">
        <f>IF(AG321="2",I321,0)</f>
        <v>0</v>
      </c>
      <c r="X321" s="27">
        <f>IF(AG321="0",J321,0)</f>
        <v>0</v>
      </c>
      <c r="Y321" s="17"/>
      <c r="Z321" s="25">
        <f>IF(AD321=0,J321,0)</f>
        <v>0</v>
      </c>
      <c r="AA321" s="25">
        <f>IF(AD321=15,J321,0)</f>
        <v>0</v>
      </c>
      <c r="AB321" s="25">
        <f>IF(AD321=21,J321,0)</f>
        <v>0</v>
      </c>
      <c r="AD321" s="27">
        <v>15</v>
      </c>
      <c r="AE321" s="27">
        <f>G321*0.756565682318148</f>
        <v>0</v>
      </c>
      <c r="AF321" s="27">
        <f>G321*(1-0.756565682318148)</f>
        <v>0</v>
      </c>
      <c r="AG321" s="26" t="s">
        <v>54</v>
      </c>
      <c r="AM321" s="27">
        <f>F321*AE321</f>
        <v>0</v>
      </c>
      <c r="AN321" s="27">
        <f>F321*AF321</f>
        <v>0</v>
      </c>
      <c r="AO321" s="28" t="s">
        <v>745</v>
      </c>
      <c r="AP321" s="28" t="s">
        <v>725</v>
      </c>
      <c r="AQ321" s="17" t="s">
        <v>35</v>
      </c>
      <c r="AS321" s="27">
        <f>AM321+AN321</f>
        <v>0</v>
      </c>
      <c r="AT321" s="27">
        <f>G321/(100-AU321)*100</f>
        <v>0</v>
      </c>
      <c r="AU321" s="27">
        <v>0</v>
      </c>
      <c r="AV321" s="27">
        <f>L321</f>
        <v>0.023751</v>
      </c>
    </row>
    <row r="322" spans="1:6" ht="12.75">
      <c r="A322" s="43"/>
      <c r="B322" s="43"/>
      <c r="C322" s="43"/>
      <c r="D322" s="31" t="s">
        <v>752</v>
      </c>
      <c r="E322" s="43"/>
      <c r="F322" s="43"/>
    </row>
    <row r="323" spans="1:48" ht="12.75">
      <c r="A323" s="23" t="s">
        <v>753</v>
      </c>
      <c r="B323" s="23"/>
      <c r="C323" s="23" t="s">
        <v>754</v>
      </c>
      <c r="D323" s="23" t="s">
        <v>755</v>
      </c>
      <c r="E323" s="23" t="s">
        <v>75</v>
      </c>
      <c r="F323" s="24">
        <v>1.6</v>
      </c>
      <c r="G323" s="47">
        <v>0</v>
      </c>
      <c r="H323" s="25">
        <f>F323*AE323</f>
        <v>0</v>
      </c>
      <c r="I323" s="25">
        <f>J323-H323</f>
        <v>0</v>
      </c>
      <c r="J323" s="25">
        <f>F323*G323</f>
        <v>0</v>
      </c>
      <c r="K323" s="25">
        <v>0.00744</v>
      </c>
      <c r="L323" s="25">
        <f>F323*K323</f>
        <v>0.011904000000000001</v>
      </c>
      <c r="M323" s="26" t="s">
        <v>32</v>
      </c>
      <c r="P323" s="27">
        <f>IF(AG323="5",J323,0)</f>
        <v>0</v>
      </c>
      <c r="R323" s="27">
        <f>IF(AG323="1",H323,0)</f>
        <v>0</v>
      </c>
      <c r="S323" s="27">
        <f>IF(AG323="1",I323,0)</f>
        <v>0</v>
      </c>
      <c r="T323" s="27">
        <f>IF(AG323="7",H323,0)</f>
        <v>0</v>
      </c>
      <c r="U323" s="27">
        <f>IF(AG323="7",I323,0)</f>
        <v>0</v>
      </c>
      <c r="V323" s="27">
        <f>IF(AG323="2",H323,0)</f>
        <v>0</v>
      </c>
      <c r="W323" s="27">
        <f>IF(AG323="2",I323,0)</f>
        <v>0</v>
      </c>
      <c r="X323" s="27">
        <f>IF(AG323="0",J323,0)</f>
        <v>0</v>
      </c>
      <c r="Y323" s="17"/>
      <c r="Z323" s="25">
        <f>IF(AD323=0,J323,0)</f>
        <v>0</v>
      </c>
      <c r="AA323" s="25">
        <f>IF(AD323=15,J323,0)</f>
        <v>0</v>
      </c>
      <c r="AB323" s="25">
        <f>IF(AD323=21,J323,0)</f>
        <v>0</v>
      </c>
      <c r="AD323" s="27">
        <v>15</v>
      </c>
      <c r="AE323" s="27">
        <f>G323*0.46727397260274</f>
        <v>0</v>
      </c>
      <c r="AF323" s="27">
        <f>G323*(1-0.46727397260274)</f>
        <v>0</v>
      </c>
      <c r="AG323" s="26" t="s">
        <v>54</v>
      </c>
      <c r="AM323" s="27">
        <f>F323*AE323</f>
        <v>0</v>
      </c>
      <c r="AN323" s="27">
        <f>F323*AF323</f>
        <v>0</v>
      </c>
      <c r="AO323" s="28" t="s">
        <v>745</v>
      </c>
      <c r="AP323" s="28" t="s">
        <v>725</v>
      </c>
      <c r="AQ323" s="17" t="s">
        <v>35</v>
      </c>
      <c r="AS323" s="27">
        <f>AM323+AN323</f>
        <v>0</v>
      </c>
      <c r="AT323" s="27">
        <f>G323/(100-AU323)*100</f>
        <v>0</v>
      </c>
      <c r="AU323" s="27">
        <v>0</v>
      </c>
      <c r="AV323" s="27">
        <f>L323</f>
        <v>0.011904000000000001</v>
      </c>
    </row>
    <row r="324" spans="1:48" ht="12.75">
      <c r="A324" s="23" t="s">
        <v>756</v>
      </c>
      <c r="B324" s="23"/>
      <c r="C324" s="23" t="s">
        <v>757</v>
      </c>
      <c r="D324" s="23" t="s">
        <v>758</v>
      </c>
      <c r="E324" s="23" t="s">
        <v>41</v>
      </c>
      <c r="F324" s="24">
        <v>18.15</v>
      </c>
      <c r="G324" s="47">
        <v>0</v>
      </c>
      <c r="H324" s="25">
        <f>F324*AE324</f>
        <v>0</v>
      </c>
      <c r="I324" s="25">
        <f>J324-H324</f>
        <v>0</v>
      </c>
      <c r="J324" s="25">
        <f>F324*G324</f>
        <v>0</v>
      </c>
      <c r="K324" s="25">
        <v>0.00254</v>
      </c>
      <c r="L324" s="25">
        <f>F324*K324</f>
        <v>0.046100999999999996</v>
      </c>
      <c r="M324" s="26" t="s">
        <v>32</v>
      </c>
      <c r="P324" s="27">
        <f>IF(AG324="5",J324,0)</f>
        <v>0</v>
      </c>
      <c r="R324" s="27">
        <f>IF(AG324="1",H324,0)</f>
        <v>0</v>
      </c>
      <c r="S324" s="27">
        <f>IF(AG324="1",I324,0)</f>
        <v>0</v>
      </c>
      <c r="T324" s="27">
        <f>IF(AG324="7",H324,0)</f>
        <v>0</v>
      </c>
      <c r="U324" s="27">
        <f>IF(AG324="7",I324,0)</f>
        <v>0</v>
      </c>
      <c r="V324" s="27">
        <f>IF(AG324="2",H324,0)</f>
        <v>0</v>
      </c>
      <c r="W324" s="27">
        <f>IF(AG324="2",I324,0)</f>
        <v>0</v>
      </c>
      <c r="X324" s="27">
        <f>IF(AG324="0",J324,0)</f>
        <v>0</v>
      </c>
      <c r="Y324" s="17"/>
      <c r="Z324" s="25">
        <f>IF(AD324=0,J324,0)</f>
        <v>0</v>
      </c>
      <c r="AA324" s="25">
        <f>IF(AD324=15,J324,0)</f>
        <v>0</v>
      </c>
      <c r="AB324" s="25">
        <f>IF(AD324=21,J324,0)</f>
        <v>0</v>
      </c>
      <c r="AD324" s="27">
        <v>15</v>
      </c>
      <c r="AE324" s="27">
        <f>G324*0.371042654028436</f>
        <v>0</v>
      </c>
      <c r="AF324" s="27">
        <f>G324*(1-0.371042654028436)</f>
        <v>0</v>
      </c>
      <c r="AG324" s="26" t="s">
        <v>54</v>
      </c>
      <c r="AM324" s="27">
        <f>F324*AE324</f>
        <v>0</v>
      </c>
      <c r="AN324" s="27">
        <f>F324*AF324</f>
        <v>0</v>
      </c>
      <c r="AO324" s="28" t="s">
        <v>745</v>
      </c>
      <c r="AP324" s="28" t="s">
        <v>725</v>
      </c>
      <c r="AQ324" s="17" t="s">
        <v>35</v>
      </c>
      <c r="AS324" s="27">
        <f>AM324+AN324</f>
        <v>0</v>
      </c>
      <c r="AT324" s="27">
        <f>G324/(100-AU324)*100</f>
        <v>0</v>
      </c>
      <c r="AU324" s="27">
        <v>0</v>
      </c>
      <c r="AV324" s="27">
        <f>L324</f>
        <v>0.046100999999999996</v>
      </c>
    </row>
    <row r="325" spans="1:48" ht="12.75">
      <c r="A325" s="23" t="s">
        <v>759</v>
      </c>
      <c r="B325" s="23"/>
      <c r="C325" s="23" t="s">
        <v>760</v>
      </c>
      <c r="D325" s="23" t="s">
        <v>761</v>
      </c>
      <c r="E325" s="23" t="s">
        <v>41</v>
      </c>
      <c r="F325" s="24">
        <v>22.175</v>
      </c>
      <c r="G325" s="47">
        <v>0</v>
      </c>
      <c r="H325" s="25">
        <f>F325*AE325</f>
        <v>0</v>
      </c>
      <c r="I325" s="25">
        <f>J325-H325</f>
        <v>0</v>
      </c>
      <c r="J325" s="25">
        <f>F325*G325</f>
        <v>0</v>
      </c>
      <c r="K325" s="25">
        <v>0.00272</v>
      </c>
      <c r="L325" s="25">
        <f>F325*K325</f>
        <v>0.06031600000000001</v>
      </c>
      <c r="M325" s="26" t="s">
        <v>32</v>
      </c>
      <c r="P325" s="27">
        <f>IF(AG325="5",J325,0)</f>
        <v>0</v>
      </c>
      <c r="R325" s="27">
        <f>IF(AG325="1",H325,0)</f>
        <v>0</v>
      </c>
      <c r="S325" s="27">
        <f>IF(AG325="1",I325,0)</f>
        <v>0</v>
      </c>
      <c r="T325" s="27">
        <f>IF(AG325="7",H325,0)</f>
        <v>0</v>
      </c>
      <c r="U325" s="27">
        <f>IF(AG325="7",I325,0)</f>
        <v>0</v>
      </c>
      <c r="V325" s="27">
        <f>IF(AG325="2",H325,0)</f>
        <v>0</v>
      </c>
      <c r="W325" s="27">
        <f>IF(AG325="2",I325,0)</f>
        <v>0</v>
      </c>
      <c r="X325" s="27">
        <f>IF(AG325="0",J325,0)</f>
        <v>0</v>
      </c>
      <c r="Y325" s="17"/>
      <c r="Z325" s="25">
        <f>IF(AD325=0,J325,0)</f>
        <v>0</v>
      </c>
      <c r="AA325" s="25">
        <f>IF(AD325=15,J325,0)</f>
        <v>0</v>
      </c>
      <c r="AB325" s="25">
        <f>IF(AD325=21,J325,0)</f>
        <v>0</v>
      </c>
      <c r="AD325" s="27">
        <v>15</v>
      </c>
      <c r="AE325" s="27">
        <f>G325*0.484469696969697</f>
        <v>0</v>
      </c>
      <c r="AF325" s="27">
        <f>G325*(1-0.484469696969697)</f>
        <v>0</v>
      </c>
      <c r="AG325" s="26" t="s">
        <v>54</v>
      </c>
      <c r="AM325" s="27">
        <f>F325*AE325</f>
        <v>0</v>
      </c>
      <c r="AN325" s="27">
        <f>F325*AF325</f>
        <v>0</v>
      </c>
      <c r="AO325" s="28" t="s">
        <v>745</v>
      </c>
      <c r="AP325" s="28" t="s">
        <v>725</v>
      </c>
      <c r="AQ325" s="17" t="s">
        <v>35</v>
      </c>
      <c r="AS325" s="27">
        <f>AM325+AN325</f>
        <v>0</v>
      </c>
      <c r="AT325" s="27">
        <f>G325/(100-AU325)*100</f>
        <v>0</v>
      </c>
      <c r="AU325" s="27">
        <v>0</v>
      </c>
      <c r="AV325" s="27">
        <f>L325</f>
        <v>0.06031600000000001</v>
      </c>
    </row>
    <row r="326" spans="1:6" ht="12.75">
      <c r="A326" s="43"/>
      <c r="B326" s="43"/>
      <c r="C326" s="43"/>
      <c r="D326" s="31" t="s">
        <v>178</v>
      </c>
      <c r="E326" s="43"/>
      <c r="F326" s="43"/>
    </row>
    <row r="327" spans="1:48" ht="12.75">
      <c r="A327" s="23" t="s">
        <v>762</v>
      </c>
      <c r="B327" s="23"/>
      <c r="C327" s="23" t="s">
        <v>763</v>
      </c>
      <c r="D327" s="23" t="s">
        <v>764</v>
      </c>
      <c r="E327" s="23" t="s">
        <v>109</v>
      </c>
      <c r="F327" s="24">
        <v>0.204</v>
      </c>
      <c r="G327" s="47">
        <v>0</v>
      </c>
      <c r="H327" s="25">
        <f>F327*AE327</f>
        <v>0</v>
      </c>
      <c r="I327" s="25">
        <f>J327-H327</f>
        <v>0</v>
      </c>
      <c r="J327" s="25">
        <f>F327*G327</f>
        <v>0</v>
      </c>
      <c r="K327" s="25">
        <v>0</v>
      </c>
      <c r="L327" s="25">
        <f>F327*K327</f>
        <v>0</v>
      </c>
      <c r="M327" s="26" t="s">
        <v>32</v>
      </c>
      <c r="P327" s="27">
        <f>IF(AG327="5",J327,0)</f>
        <v>0</v>
      </c>
      <c r="R327" s="27">
        <f>IF(AG327="1",H327,0)</f>
        <v>0</v>
      </c>
      <c r="S327" s="27">
        <f>IF(AG327="1",I327,0)</f>
        <v>0</v>
      </c>
      <c r="T327" s="27">
        <f>IF(AG327="7",H327,0)</f>
        <v>0</v>
      </c>
      <c r="U327" s="27">
        <f>IF(AG327="7",I327,0)</f>
        <v>0</v>
      </c>
      <c r="V327" s="27">
        <f>IF(AG327="2",H327,0)</f>
        <v>0</v>
      </c>
      <c r="W327" s="27">
        <f>IF(AG327="2",I327,0)</f>
        <v>0</v>
      </c>
      <c r="X327" s="27">
        <f>IF(AG327="0",J327,0)</f>
        <v>0</v>
      </c>
      <c r="Y327" s="17"/>
      <c r="Z327" s="25">
        <f>IF(AD327=0,J327,0)</f>
        <v>0</v>
      </c>
      <c r="AA327" s="25">
        <f>IF(AD327=15,J327,0)</f>
        <v>0</v>
      </c>
      <c r="AB327" s="25">
        <f>IF(AD327=21,J327,0)</f>
        <v>0</v>
      </c>
      <c r="AD327" s="27">
        <v>15</v>
      </c>
      <c r="AE327" s="27">
        <f>G327*0</f>
        <v>0</v>
      </c>
      <c r="AF327" s="27">
        <f>G327*(1-0)</f>
        <v>0</v>
      </c>
      <c r="AG327" s="26" t="s">
        <v>49</v>
      </c>
      <c r="AM327" s="27">
        <f>F327*AE327</f>
        <v>0</v>
      </c>
      <c r="AN327" s="27">
        <f>F327*AF327</f>
        <v>0</v>
      </c>
      <c r="AO327" s="28" t="s">
        <v>745</v>
      </c>
      <c r="AP327" s="28" t="s">
        <v>725</v>
      </c>
      <c r="AQ327" s="17" t="s">
        <v>35</v>
      </c>
      <c r="AS327" s="27">
        <f>AM327+AN327</f>
        <v>0</v>
      </c>
      <c r="AT327" s="27">
        <f>G327/(100-AU327)*100</f>
        <v>0</v>
      </c>
      <c r="AU327" s="27">
        <v>0</v>
      </c>
      <c r="AV327" s="27">
        <f>L327</f>
        <v>0</v>
      </c>
    </row>
    <row r="328" spans="1:37" ht="12.75">
      <c r="A328" s="29"/>
      <c r="B328" s="30"/>
      <c r="C328" s="30" t="s">
        <v>765</v>
      </c>
      <c r="D328" s="30" t="s">
        <v>766</v>
      </c>
      <c r="E328" s="29" t="s">
        <v>10</v>
      </c>
      <c r="F328" s="29" t="s">
        <v>10</v>
      </c>
      <c r="G328" s="48" t="s">
        <v>10</v>
      </c>
      <c r="H328" s="22">
        <f>SUM(H329:H334)</f>
        <v>0</v>
      </c>
      <c r="I328" s="22">
        <f>SUM(I329:I334)</f>
        <v>0</v>
      </c>
      <c r="J328" s="22">
        <f>H328+I328</f>
        <v>0</v>
      </c>
      <c r="K328" s="17"/>
      <c r="L328" s="22">
        <f>SUM(L329:L334)</f>
        <v>6.19828912</v>
      </c>
      <c r="M328" s="17"/>
      <c r="Y328" s="17"/>
      <c r="AI328" s="22">
        <f>SUM(Z329:Z334)</f>
        <v>0</v>
      </c>
      <c r="AJ328" s="22">
        <f>SUM(AA329:AA334)</f>
        <v>0</v>
      </c>
      <c r="AK328" s="22">
        <f>SUM(AB329:AB334)</f>
        <v>0</v>
      </c>
    </row>
    <row r="329" spans="1:48" ht="12.75">
      <c r="A329" s="23" t="s">
        <v>767</v>
      </c>
      <c r="B329" s="23"/>
      <c r="C329" s="23" t="s">
        <v>768</v>
      </c>
      <c r="D329" s="23" t="s">
        <v>769</v>
      </c>
      <c r="E329" s="23" t="s">
        <v>75</v>
      </c>
      <c r="F329" s="24">
        <v>124.236</v>
      </c>
      <c r="G329" s="47">
        <v>0</v>
      </c>
      <c r="H329" s="25">
        <f>F329*AE329</f>
        <v>0</v>
      </c>
      <c r="I329" s="25">
        <f>J329-H329</f>
        <v>0</v>
      </c>
      <c r="J329" s="25">
        <f>F329*G329</f>
        <v>0</v>
      </c>
      <c r="K329" s="25">
        <v>0.04962</v>
      </c>
      <c r="L329" s="25">
        <f>F329*K329</f>
        <v>6.16459032</v>
      </c>
      <c r="M329" s="26" t="s">
        <v>32</v>
      </c>
      <c r="P329" s="27">
        <f>IF(AG329="5",J329,0)</f>
        <v>0</v>
      </c>
      <c r="R329" s="27">
        <f>IF(AG329="1",H329,0)</f>
        <v>0</v>
      </c>
      <c r="S329" s="27">
        <f>IF(AG329="1",I329,0)</f>
        <v>0</v>
      </c>
      <c r="T329" s="27">
        <f>IF(AG329="7",H329,0)</f>
        <v>0</v>
      </c>
      <c r="U329" s="27">
        <f>IF(AG329="7",I329,0)</f>
        <v>0</v>
      </c>
      <c r="V329" s="27">
        <f>IF(AG329="2",H329,0)</f>
        <v>0</v>
      </c>
      <c r="W329" s="27">
        <f>IF(AG329="2",I329,0)</f>
        <v>0</v>
      </c>
      <c r="X329" s="27">
        <f>IF(AG329="0",J329,0)</f>
        <v>0</v>
      </c>
      <c r="Y329" s="17"/>
      <c r="Z329" s="25">
        <f>IF(AD329=0,J329,0)</f>
        <v>0</v>
      </c>
      <c r="AA329" s="25">
        <f>IF(AD329=15,J329,0)</f>
        <v>0</v>
      </c>
      <c r="AB329" s="25">
        <f>IF(AD329=21,J329,0)</f>
        <v>0</v>
      </c>
      <c r="AD329" s="27">
        <v>15</v>
      </c>
      <c r="AE329" s="27">
        <f>G329*0.712020981260422</f>
        <v>0</v>
      </c>
      <c r="AF329" s="27">
        <f>G329*(1-0.712020981260422)</f>
        <v>0</v>
      </c>
      <c r="AG329" s="26" t="s">
        <v>54</v>
      </c>
      <c r="AM329" s="27">
        <f>F329*AE329</f>
        <v>0</v>
      </c>
      <c r="AN329" s="27">
        <f>F329*AF329</f>
        <v>0</v>
      </c>
      <c r="AO329" s="28" t="s">
        <v>770</v>
      </c>
      <c r="AP329" s="28" t="s">
        <v>725</v>
      </c>
      <c r="AQ329" s="17" t="s">
        <v>35</v>
      </c>
      <c r="AS329" s="27">
        <f>AM329+AN329</f>
        <v>0</v>
      </c>
      <c r="AT329" s="27">
        <f>G329/(100-AU329)*100</f>
        <v>0</v>
      </c>
      <c r="AU329" s="27">
        <v>0</v>
      </c>
      <c r="AV329" s="27">
        <f>L329</f>
        <v>6.16459032</v>
      </c>
    </row>
    <row r="330" spans="1:6" ht="12.75">
      <c r="A330" s="43"/>
      <c r="B330" s="43"/>
      <c r="C330" s="43"/>
      <c r="D330" s="31" t="s">
        <v>771</v>
      </c>
      <c r="E330" s="43"/>
      <c r="F330" s="43"/>
    </row>
    <row r="331" spans="1:48" ht="12.75">
      <c r="A331" s="23" t="s">
        <v>772</v>
      </c>
      <c r="B331" s="23"/>
      <c r="C331" s="23" t="s">
        <v>773</v>
      </c>
      <c r="D331" s="23" t="s">
        <v>774</v>
      </c>
      <c r="E331" s="23" t="s">
        <v>75</v>
      </c>
      <c r="F331" s="24">
        <v>136.66</v>
      </c>
      <c r="G331" s="47">
        <v>0</v>
      </c>
      <c r="H331" s="25">
        <f>F331*AE331</f>
        <v>0</v>
      </c>
      <c r="I331" s="25">
        <f>J331-H331</f>
        <v>0</v>
      </c>
      <c r="J331" s="25">
        <f>F331*G331</f>
        <v>0</v>
      </c>
      <c r="K331" s="25">
        <v>0.00018</v>
      </c>
      <c r="L331" s="25">
        <f>F331*K331</f>
        <v>0.0245988</v>
      </c>
      <c r="M331" s="26" t="s">
        <v>32</v>
      </c>
      <c r="P331" s="27">
        <f>IF(AG331="5",J331,0)</f>
        <v>0</v>
      </c>
      <c r="R331" s="27">
        <f>IF(AG331="1",H331,0)</f>
        <v>0</v>
      </c>
      <c r="S331" s="27">
        <f>IF(AG331="1",I331,0)</f>
        <v>0</v>
      </c>
      <c r="T331" s="27">
        <f>IF(AG331="7",H331,0)</f>
        <v>0</v>
      </c>
      <c r="U331" s="27">
        <f>IF(AG331="7",I331,0)</f>
        <v>0</v>
      </c>
      <c r="V331" s="27">
        <f>IF(AG331="2",H331,0)</f>
        <v>0</v>
      </c>
      <c r="W331" s="27">
        <f>IF(AG331="2",I331,0)</f>
        <v>0</v>
      </c>
      <c r="X331" s="27">
        <f>IF(AG331="0",J331,0)</f>
        <v>0</v>
      </c>
      <c r="Y331" s="17"/>
      <c r="Z331" s="25">
        <f>IF(AD331=0,J331,0)</f>
        <v>0</v>
      </c>
      <c r="AA331" s="25">
        <f>IF(AD331=15,J331,0)</f>
        <v>0</v>
      </c>
      <c r="AB331" s="25">
        <f>IF(AD331=21,J331,0)</f>
        <v>0</v>
      </c>
      <c r="AD331" s="27">
        <v>15</v>
      </c>
      <c r="AE331" s="27">
        <f>G331*0.517400578031135</f>
        <v>0</v>
      </c>
      <c r="AF331" s="27">
        <f>G331*(1-0.517400578031135)</f>
        <v>0</v>
      </c>
      <c r="AG331" s="26" t="s">
        <v>54</v>
      </c>
      <c r="AM331" s="27">
        <f>F331*AE331</f>
        <v>0</v>
      </c>
      <c r="AN331" s="27">
        <f>F331*AF331</f>
        <v>0</v>
      </c>
      <c r="AO331" s="28" t="s">
        <v>770</v>
      </c>
      <c r="AP331" s="28" t="s">
        <v>725</v>
      </c>
      <c r="AQ331" s="17" t="s">
        <v>35</v>
      </c>
      <c r="AS331" s="27">
        <f>AM331+AN331</f>
        <v>0</v>
      </c>
      <c r="AT331" s="27">
        <f>G331/(100-AU331)*100</f>
        <v>0</v>
      </c>
      <c r="AU331" s="27">
        <v>0</v>
      </c>
      <c r="AV331" s="27">
        <f>L331</f>
        <v>0.0245988</v>
      </c>
    </row>
    <row r="332" spans="1:48" ht="12.75">
      <c r="A332" s="23" t="s">
        <v>775</v>
      </c>
      <c r="B332" s="23"/>
      <c r="C332" s="23" t="s">
        <v>776</v>
      </c>
      <c r="D332" s="23" t="s">
        <v>777</v>
      </c>
      <c r="E332" s="23" t="s">
        <v>139</v>
      </c>
      <c r="F332" s="24">
        <v>1</v>
      </c>
      <c r="G332" s="47">
        <v>0</v>
      </c>
      <c r="H332" s="25">
        <f>F332*AE332</f>
        <v>0</v>
      </c>
      <c r="I332" s="25">
        <f>J332-H332</f>
        <v>0</v>
      </c>
      <c r="J332" s="25">
        <f>F332*G332</f>
        <v>0</v>
      </c>
      <c r="K332" s="25">
        <v>0</v>
      </c>
      <c r="L332" s="25">
        <f>F332*K332</f>
        <v>0</v>
      </c>
      <c r="M332" s="26" t="s">
        <v>32</v>
      </c>
      <c r="P332" s="27">
        <f>IF(AG332="5",J332,0)</f>
        <v>0</v>
      </c>
      <c r="R332" s="27">
        <f>IF(AG332="1",H332,0)</f>
        <v>0</v>
      </c>
      <c r="S332" s="27">
        <f>IF(AG332="1",I332,0)</f>
        <v>0</v>
      </c>
      <c r="T332" s="27">
        <f>IF(AG332="7",H332,0)</f>
        <v>0</v>
      </c>
      <c r="U332" s="27">
        <f>IF(AG332="7",I332,0)</f>
        <v>0</v>
      </c>
      <c r="V332" s="27">
        <f>IF(AG332="2",H332,0)</f>
        <v>0</v>
      </c>
      <c r="W332" s="27">
        <f>IF(AG332="2",I332,0)</f>
        <v>0</v>
      </c>
      <c r="X332" s="27">
        <f>IF(AG332="0",J332,0)</f>
        <v>0</v>
      </c>
      <c r="Y332" s="17"/>
      <c r="Z332" s="25">
        <f>IF(AD332=0,J332,0)</f>
        <v>0</v>
      </c>
      <c r="AA332" s="25">
        <f>IF(AD332=15,J332,0)</f>
        <v>0</v>
      </c>
      <c r="AB332" s="25">
        <f>IF(AD332=21,J332,0)</f>
        <v>0</v>
      </c>
      <c r="AD332" s="27">
        <v>15</v>
      </c>
      <c r="AE332" s="27">
        <f>G332*0</f>
        <v>0</v>
      </c>
      <c r="AF332" s="27">
        <f>G332*(1-0)</f>
        <v>0</v>
      </c>
      <c r="AG332" s="26" t="s">
        <v>54</v>
      </c>
      <c r="AM332" s="27">
        <f>F332*AE332</f>
        <v>0</v>
      </c>
      <c r="AN332" s="27">
        <f>F332*AF332</f>
        <v>0</v>
      </c>
      <c r="AO332" s="28" t="s">
        <v>770</v>
      </c>
      <c r="AP332" s="28" t="s">
        <v>725</v>
      </c>
      <c r="AQ332" s="17" t="s">
        <v>35</v>
      </c>
      <c r="AS332" s="27">
        <f>AM332+AN332</f>
        <v>0</v>
      </c>
      <c r="AT332" s="27">
        <f>G332/(100-AU332)*100</f>
        <v>0</v>
      </c>
      <c r="AU332" s="27">
        <v>0</v>
      </c>
      <c r="AV332" s="27">
        <f>L332</f>
        <v>0</v>
      </c>
    </row>
    <row r="333" spans="1:48" ht="12.75">
      <c r="A333" s="32" t="s">
        <v>778</v>
      </c>
      <c r="B333" s="32"/>
      <c r="C333" s="32" t="s">
        <v>779</v>
      </c>
      <c r="D333" s="32" t="s">
        <v>780</v>
      </c>
      <c r="E333" s="32" t="s">
        <v>139</v>
      </c>
      <c r="F333" s="33">
        <v>1</v>
      </c>
      <c r="G333" s="50">
        <v>0</v>
      </c>
      <c r="H333" s="34">
        <f>F333*AE333</f>
        <v>0</v>
      </c>
      <c r="I333" s="34">
        <f>J333-H333</f>
        <v>0</v>
      </c>
      <c r="J333" s="34">
        <f>F333*G333</f>
        <v>0</v>
      </c>
      <c r="K333" s="34">
        <v>0.0091</v>
      </c>
      <c r="L333" s="34">
        <f>F333*K333</f>
        <v>0.0091</v>
      </c>
      <c r="M333" s="35" t="s">
        <v>32</v>
      </c>
      <c r="P333" s="27">
        <f>IF(AG333="5",J333,0)</f>
        <v>0</v>
      </c>
      <c r="R333" s="27">
        <f>IF(AG333="1",H333,0)</f>
        <v>0</v>
      </c>
      <c r="S333" s="27">
        <f>IF(AG333="1",I333,0)</f>
        <v>0</v>
      </c>
      <c r="T333" s="27">
        <f>IF(AG333="7",H333,0)</f>
        <v>0</v>
      </c>
      <c r="U333" s="27">
        <f>IF(AG333="7",I333,0)</f>
        <v>0</v>
      </c>
      <c r="V333" s="27">
        <f>IF(AG333="2",H333,0)</f>
        <v>0</v>
      </c>
      <c r="W333" s="27">
        <f>IF(AG333="2",I333,0)</f>
        <v>0</v>
      </c>
      <c r="X333" s="27">
        <f>IF(AG333="0",J333,0)</f>
        <v>0</v>
      </c>
      <c r="Y333" s="17"/>
      <c r="Z333" s="34">
        <f>IF(AD333=0,J333,0)</f>
        <v>0</v>
      </c>
      <c r="AA333" s="34">
        <f>IF(AD333=15,J333,0)</f>
        <v>0</v>
      </c>
      <c r="AB333" s="34">
        <f>IF(AD333=21,J333,0)</f>
        <v>0</v>
      </c>
      <c r="AD333" s="27">
        <v>15</v>
      </c>
      <c r="AE333" s="27">
        <f>G333*1</f>
        <v>0</v>
      </c>
      <c r="AF333" s="27">
        <f>G333*(1-1)</f>
        <v>0</v>
      </c>
      <c r="AG333" s="35" t="s">
        <v>54</v>
      </c>
      <c r="AM333" s="27">
        <f>F333*AE333</f>
        <v>0</v>
      </c>
      <c r="AN333" s="27">
        <f>F333*AF333</f>
        <v>0</v>
      </c>
      <c r="AO333" s="28" t="s">
        <v>770</v>
      </c>
      <c r="AP333" s="28" t="s">
        <v>725</v>
      </c>
      <c r="AQ333" s="17" t="s">
        <v>35</v>
      </c>
      <c r="AS333" s="27">
        <f>AM333+AN333</f>
        <v>0</v>
      </c>
      <c r="AT333" s="27">
        <f>G333/(100-AU333)*100</f>
        <v>0</v>
      </c>
      <c r="AU333" s="27">
        <v>0</v>
      </c>
      <c r="AV333" s="27">
        <f>L333</f>
        <v>0.0091</v>
      </c>
    </row>
    <row r="334" spans="1:48" ht="12.75">
      <c r="A334" s="23" t="s">
        <v>781</v>
      </c>
      <c r="B334" s="23"/>
      <c r="C334" s="23" t="s">
        <v>782</v>
      </c>
      <c r="D334" s="23" t="s">
        <v>783</v>
      </c>
      <c r="E334" s="23" t="s">
        <v>109</v>
      </c>
      <c r="F334" s="24">
        <v>6.198</v>
      </c>
      <c r="G334" s="47">
        <v>0</v>
      </c>
      <c r="H334" s="25">
        <f>F334*AE334</f>
        <v>0</v>
      </c>
      <c r="I334" s="25">
        <f>J334-H334</f>
        <v>0</v>
      </c>
      <c r="J334" s="25">
        <f>F334*G334</f>
        <v>0</v>
      </c>
      <c r="K334" s="25">
        <v>0</v>
      </c>
      <c r="L334" s="25">
        <f>F334*K334</f>
        <v>0</v>
      </c>
      <c r="M334" s="26" t="s">
        <v>32</v>
      </c>
      <c r="P334" s="27">
        <f>IF(AG334="5",J334,0)</f>
        <v>0</v>
      </c>
      <c r="R334" s="27">
        <f>IF(AG334="1",H334,0)</f>
        <v>0</v>
      </c>
      <c r="S334" s="27">
        <f>IF(AG334="1",I334,0)</f>
        <v>0</v>
      </c>
      <c r="T334" s="27">
        <f>IF(AG334="7",H334,0)</f>
        <v>0</v>
      </c>
      <c r="U334" s="27">
        <f>IF(AG334="7",I334,0)</f>
        <v>0</v>
      </c>
      <c r="V334" s="27">
        <f>IF(AG334="2",H334,0)</f>
        <v>0</v>
      </c>
      <c r="W334" s="27">
        <f>IF(AG334="2",I334,0)</f>
        <v>0</v>
      </c>
      <c r="X334" s="27">
        <f>IF(AG334="0",J334,0)</f>
        <v>0</v>
      </c>
      <c r="Y334" s="17"/>
      <c r="Z334" s="25">
        <f>IF(AD334=0,J334,0)</f>
        <v>0</v>
      </c>
      <c r="AA334" s="25">
        <f>IF(AD334=15,J334,0)</f>
        <v>0</v>
      </c>
      <c r="AB334" s="25">
        <f>IF(AD334=21,J334,0)</f>
        <v>0</v>
      </c>
      <c r="AD334" s="27">
        <v>15</v>
      </c>
      <c r="AE334" s="27">
        <f>G334*0</f>
        <v>0</v>
      </c>
      <c r="AF334" s="27">
        <f>G334*(1-0)</f>
        <v>0</v>
      </c>
      <c r="AG334" s="26" t="s">
        <v>49</v>
      </c>
      <c r="AM334" s="27">
        <f>F334*AE334</f>
        <v>0</v>
      </c>
      <c r="AN334" s="27">
        <f>F334*AF334</f>
        <v>0</v>
      </c>
      <c r="AO334" s="28" t="s">
        <v>770</v>
      </c>
      <c r="AP334" s="28" t="s">
        <v>725</v>
      </c>
      <c r="AQ334" s="17" t="s">
        <v>35</v>
      </c>
      <c r="AS334" s="27">
        <f>AM334+AN334</f>
        <v>0</v>
      </c>
      <c r="AT334" s="27">
        <f>G334/(100-AU334)*100</f>
        <v>0</v>
      </c>
      <c r="AU334" s="27">
        <v>0</v>
      </c>
      <c r="AV334" s="27">
        <f>L334</f>
        <v>0</v>
      </c>
    </row>
    <row r="335" spans="1:13" ht="12.75">
      <c r="A335" s="36"/>
      <c r="B335" s="36"/>
      <c r="C335" s="36"/>
      <c r="D335" s="36"/>
      <c r="E335" s="36"/>
      <c r="F335" s="36"/>
      <c r="G335" s="51"/>
      <c r="H335" s="37" t="s">
        <v>784</v>
      </c>
      <c r="I335" s="38"/>
      <c r="J335" s="39">
        <f>J3+J5+J12+J15+J18+J20+J23+J43+J45+J65+J68+J86+J105+J108+J122+J133+J163+J175+J192+J201+J203+J207+J212+J220+J230+J236+J265+J287+J309+J315+J318+J328</f>
        <v>0</v>
      </c>
      <c r="K335" s="36"/>
      <c r="L335" s="36"/>
      <c r="M335" s="36"/>
    </row>
    <row r="336" ht="11.25" customHeight="1">
      <c r="A336" s="40" t="s">
        <v>785</v>
      </c>
    </row>
    <row r="337" spans="1:13" ht="12.75">
      <c r="A337" s="41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</row>
  </sheetData>
  <sheetProtection/>
  <mergeCells count="4">
    <mergeCell ref="H1:J1"/>
    <mergeCell ref="K1:L1"/>
    <mergeCell ref="H335:I335"/>
    <mergeCell ref="A337:M337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Uživatel systému Windows</cp:lastModifiedBy>
  <dcterms:created xsi:type="dcterms:W3CDTF">2018-10-10T05:45:19Z</dcterms:created>
  <dcterms:modified xsi:type="dcterms:W3CDTF">2018-10-10T05:52:21Z</dcterms:modified>
  <cp:category/>
  <cp:version/>
  <cp:contentType/>
  <cp:contentStatus/>
</cp:coreProperties>
</file>