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Rozpočet - vybrané sloupce" sheetId="2" r:id="rId2"/>
    <sheet name="Krycí list rozpočtu" sheetId="3" r:id="rId3"/>
    <sheet name="VORN" sheetId="4" r:id="rId4"/>
  </sheets>
  <definedNames>
    <definedName name="vorn_sum">'VORN'!$I$38:$I$38</definedName>
  </definedNames>
  <calcPr fullCalcOnLoad="1"/>
</workbook>
</file>

<file path=xl/sharedStrings.xml><?xml version="1.0" encoding="utf-8"?>
<sst xmlns="http://schemas.openxmlformats.org/spreadsheetml/2006/main" count="1255" uniqueCount="409">
  <si>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</si>
  <si>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</si>
  <si>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</si>
  <si>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</si>
  <si>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</si>
  <si>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</si>
  <si>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</si>
  <si>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</si>
  <si>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</si>
  <si>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</si>
  <si>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</si>
  <si>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</si>
  <si>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</si>
  <si>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</si>
  <si>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</si>
  <si>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</si>
  <si>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</si>
  <si>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</si>
  <si>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</si>
  <si>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</si>
  <si>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</si>
  <si>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</si>
  <si>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</si>
  <si>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</si>
  <si>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</si>
  <si>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</si>
  <si>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</si>
  <si>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</si>
  <si>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</si>
  <si>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</si>
  <si>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</si>
  <si>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</si>
  <si>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</si>
  <si>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</si>
  <si>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</si>
  <si>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</si>
  <si>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</si>
  <si>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</si>
  <si>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</si>
  <si>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</si>
  <si>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</si>
  <si>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</si>
  <si>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</si>
  <si>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</si>
  <si>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</si>
  <si>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</si>
  <si>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</si>
  <si>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</si>
  <si>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</si>
  <si>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</si>
  <si>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</si>
  <si>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</si>
  <si>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</si>
  <si>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</si>
  <si>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</si>
  <si>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</si>
  <si>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</si>
  <si>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</si>
  <si>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</si>
  <si>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</si>
  <si>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</si>
  <si>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</si>
  <si>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</si>
  <si>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</si>
  <si>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</si>
  <si>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</si>
  <si>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</si>
  <si>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</si>
  <si>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</si>
  <si>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</si>
  <si>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</si>
  <si>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</si>
  <si>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</si>
  <si>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</si>
  <si>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</si>
  <si>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</si>
  <si>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</si>
  <si>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</si>
  <si>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</si>
  <si>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</si>
  <si>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</si>
  <si>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</si>
  <si>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</si>
  <si>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Poznámka:</t>
  </si>
  <si>
    <t>vodoměry s možností dopnění modulu na dálkový přenos dat</t>
  </si>
  <si>
    <t>Objekt</t>
  </si>
  <si>
    <t>Kód</t>
  </si>
  <si>
    <t>347015235R00</t>
  </si>
  <si>
    <t>346275111R00</t>
  </si>
  <si>
    <t>612401391RT2</t>
  </si>
  <si>
    <t>612403388R00</t>
  </si>
  <si>
    <t>630300010RAA</t>
  </si>
  <si>
    <t>6324R00</t>
  </si>
  <si>
    <t>721</t>
  </si>
  <si>
    <t>721140802R00</t>
  </si>
  <si>
    <t>721171808R00</t>
  </si>
  <si>
    <t>721160915R00</t>
  </si>
  <si>
    <t>721170965R00</t>
  </si>
  <si>
    <t>721.012</t>
  </si>
  <si>
    <t>721173416R00</t>
  </si>
  <si>
    <t>721173417R00</t>
  </si>
  <si>
    <t>721173426R00</t>
  </si>
  <si>
    <t>721176103R00</t>
  </si>
  <si>
    <t>721176105R00</t>
  </si>
  <si>
    <t>721177125R00</t>
  </si>
  <si>
    <t>721263002RT1</t>
  </si>
  <si>
    <t>721290111R00</t>
  </si>
  <si>
    <t>721290823R00</t>
  </si>
  <si>
    <t>722</t>
  </si>
  <si>
    <t>722160811R00</t>
  </si>
  <si>
    <t>722260811R00</t>
  </si>
  <si>
    <t>722130234R00</t>
  </si>
  <si>
    <t>722172331R00</t>
  </si>
  <si>
    <t>722172332R00</t>
  </si>
  <si>
    <t>722172333R00</t>
  </si>
  <si>
    <t>722172334R00</t>
  </si>
  <si>
    <t>722172335R00</t>
  </si>
  <si>
    <t>722181213RT7</t>
  </si>
  <si>
    <t>722181214RT9</t>
  </si>
  <si>
    <t>722181215RU1</t>
  </si>
  <si>
    <t>722181215RV9</t>
  </si>
  <si>
    <t>722181213RW6</t>
  </si>
  <si>
    <t>722190222R00</t>
  </si>
  <si>
    <t>722130901R00</t>
  </si>
  <si>
    <t>722235692R00</t>
  </si>
  <si>
    <t>722.004</t>
  </si>
  <si>
    <t>722264311R00</t>
  </si>
  <si>
    <t>722224111R00</t>
  </si>
  <si>
    <t>722235111R00</t>
  </si>
  <si>
    <t>722235112R00</t>
  </si>
  <si>
    <t>722235113R00</t>
  </si>
  <si>
    <t>722235114R00</t>
  </si>
  <si>
    <t>722235172R00</t>
  </si>
  <si>
    <t>722290823R00</t>
  </si>
  <si>
    <t>722290234R00</t>
  </si>
  <si>
    <t>722280108R00</t>
  </si>
  <si>
    <t>724</t>
  </si>
  <si>
    <t>7241</t>
  </si>
  <si>
    <t>72410</t>
  </si>
  <si>
    <t>724.102</t>
  </si>
  <si>
    <t>725</t>
  </si>
  <si>
    <t>725210912R00</t>
  </si>
  <si>
    <t>725210982R00</t>
  </si>
  <si>
    <t>725210983R00</t>
  </si>
  <si>
    <t>725220841R00</t>
  </si>
  <si>
    <t>725229102R00</t>
  </si>
  <si>
    <t>725980113R00</t>
  </si>
  <si>
    <t>725980122R00</t>
  </si>
  <si>
    <t>725110811R00</t>
  </si>
  <si>
    <t>725119305R00</t>
  </si>
  <si>
    <t>725000003R00</t>
  </si>
  <si>
    <t>90</t>
  </si>
  <si>
    <t>905      R01</t>
  </si>
  <si>
    <t>94</t>
  </si>
  <si>
    <t>941955002R00</t>
  </si>
  <si>
    <t>95</t>
  </si>
  <si>
    <t>953941611R00</t>
  </si>
  <si>
    <t>97</t>
  </si>
  <si>
    <t>970041035R00</t>
  </si>
  <si>
    <t>974031165R00</t>
  </si>
  <si>
    <t>971042251R00</t>
  </si>
  <si>
    <t>978059511R00</t>
  </si>
  <si>
    <t>979100011RAB</t>
  </si>
  <si>
    <t>H721</t>
  </si>
  <si>
    <t>998721101R00</t>
  </si>
  <si>
    <t>H722</t>
  </si>
  <si>
    <t>998722101R00</t>
  </si>
  <si>
    <t>H724</t>
  </si>
  <si>
    <t>998724101R00</t>
  </si>
  <si>
    <t>H99</t>
  </si>
  <si>
    <t>999281105R00</t>
  </si>
  <si>
    <t>S</t>
  </si>
  <si>
    <t>979981101R00</t>
  </si>
  <si>
    <t>979990001R00</t>
  </si>
  <si>
    <t>BD U Vodárny</t>
  </si>
  <si>
    <t>rekonstrukce ZTI</t>
  </si>
  <si>
    <t>Praha 3</t>
  </si>
  <si>
    <t>Zkrácený popis / Varianta</t>
  </si>
  <si>
    <t>Rozměry</t>
  </si>
  <si>
    <t>Stěny a příčky</t>
  </si>
  <si>
    <t>Předstěna SDK,tl.127,5 mm,ocel.kce CW,2x MA 12,5mm</t>
  </si>
  <si>
    <t>zákryt potrubí stoupaček</t>
  </si>
  <si>
    <t>Přizdívky z desek Ytong tl. 50 mm</t>
  </si>
  <si>
    <t>zazdívky drážek instalačních</t>
  </si>
  <si>
    <t>Úprava povrchů vnitřní</t>
  </si>
  <si>
    <t>Omítka malých ploch vnitřních stěn do 1 m2</t>
  </si>
  <si>
    <t>vápennou štukovou omítkou</t>
  </si>
  <si>
    <t>Hrubá výplň rýh ve stěnách do 15x15cm maltou z SMS</t>
  </si>
  <si>
    <t>Podlahy a podlahové konstrukce</t>
  </si>
  <si>
    <t>Vybourání dlažby a podkladního betonu</t>
  </si>
  <si>
    <t>zřízení nové mazaniny s dlažbou keramickou
oprava napojení kanalizace a vodovodu v podlaze 1.PP</t>
  </si>
  <si>
    <t>Vyrovnávací stěrka Cemix 050, ruční zprac. tl.4 mm</t>
  </si>
  <si>
    <t>+ doplnění zjištěných hydroizolací</t>
  </si>
  <si>
    <t>Vnitřní kanalizace</t>
  </si>
  <si>
    <t>Demontáž potrubí litinového DN 100</t>
  </si>
  <si>
    <t>Demontáž potrubí z PVC do D 114 mm</t>
  </si>
  <si>
    <t>Oprava - propojení dosavadního potrubí DN 100</t>
  </si>
  <si>
    <t>stoupačky včetně patních kolen - 10
větrací potrubí v drážce - 11</t>
  </si>
  <si>
    <t>Oprava - propojení dosavadního potrubí do D 110</t>
  </si>
  <si>
    <t>propojení připojovacího potrubí v bytě při opravě</t>
  </si>
  <si>
    <t>Mirelon Akustik pro DN 100</t>
  </si>
  <si>
    <t>doplnění v rpostupech</t>
  </si>
  <si>
    <t>Potrubí FRIAPHON zvuk tlumicí svislé DN 100</t>
  </si>
  <si>
    <t>Potrubí FRIAPHON zvuk tlumicí svislé DN 125</t>
  </si>
  <si>
    <t>Potrubí FRIAPHON zvuk tlumicí ležaté DN 100</t>
  </si>
  <si>
    <t>Potrubí HT připojovací D 50 x 1,8 mm</t>
  </si>
  <si>
    <t>Potrubí HT připojovací D 110 x 2,7 mm</t>
  </si>
  <si>
    <t>Čisticí kus pro odpadní svislé D 110</t>
  </si>
  <si>
    <t>Uzávěr zpětný automatický HL s ručním zajištěním</t>
  </si>
  <si>
    <t>nerezová klapka HL 710.1 D 110 mm</t>
  </si>
  <si>
    <t>Zkouška těsnosti kanalizace vodou DN 125</t>
  </si>
  <si>
    <t>Přesun vybouraných hmot - kanalizace, H 12 - 24 m</t>
  </si>
  <si>
    <t>Vnitřní vodovod</t>
  </si>
  <si>
    <t>Demontáž potrubí  do D 25</t>
  </si>
  <si>
    <t>Demontáž vodoměrů závitových G 1/2</t>
  </si>
  <si>
    <t>Potrubí z trub.závit.pozink.svařovan. 11343,DN 32</t>
  </si>
  <si>
    <t>Potrubí z PPR, připojovací, D 20x3,4 mm, vč. zed. výpom.</t>
  </si>
  <si>
    <t>Potrubí z PPR, stoupací D 20x3,4 mm, vč. zed. výpom.</t>
  </si>
  <si>
    <t>Potrubí z PPR, stoupací D 25x4,2 mm, vč. zed. výpom.</t>
  </si>
  <si>
    <t>Potrubí z PPR, stoupací D 32x5,4 mm, vč. zed. výpom.</t>
  </si>
  <si>
    <t>Potrubí z PPR, stoupací D 40x6,7 mm, vč. zed. výpom.</t>
  </si>
  <si>
    <t>Potrubí z PPR,  D 50x8,3 mm, vč. zed. výpom.</t>
  </si>
  <si>
    <t>Izolace návleková MIRELON PRO tl. stěny 13 mm</t>
  </si>
  <si>
    <t>vnitřní průměr 22 mm</t>
  </si>
  <si>
    <t>Izolace návleková MIRELON PRO tl. stěny 20 mm</t>
  </si>
  <si>
    <t>vnitřní průměr 28 mm</t>
  </si>
  <si>
    <t>Izolace návleková  MIRELON PRO tl. stěny 25 mm</t>
  </si>
  <si>
    <t>vnitřní průměr 32 mm</t>
  </si>
  <si>
    <t>vnitřní průměr 40 mm</t>
  </si>
  <si>
    <t>vnitřní průměr 50 mm</t>
  </si>
  <si>
    <t>Přípojky vodovodní pro pevné připojení</t>
  </si>
  <si>
    <t>PROPOJENÍ STOUPAČEK PŘI OPRAVĚ 10X
propojení bytových připojovacích rozvodů = 100</t>
  </si>
  <si>
    <t>Zazátkování vývodu</t>
  </si>
  <si>
    <t>Kohout kul.se zpětnou kl. IVAR.BALLSTOP 3230 DN 20</t>
  </si>
  <si>
    <t>automatický OV 1/2"</t>
  </si>
  <si>
    <t>Vodoměr bytový SV Enbra ETK-EAX DN 15x80 mm, Qn 1,5</t>
  </si>
  <si>
    <t>BEZ PŘÍDAVNÉHO MODULU</t>
  </si>
  <si>
    <t>Vodoměr bytový TV Enbra ETW-EAX DN 15x80 mm, Qn 1,5</t>
  </si>
  <si>
    <t>Kohouty plnicí a vypouštěcí DN 15</t>
  </si>
  <si>
    <t>Kohout kulový, vnitř.-vnitř.z. IVAR PERFECTA DN 15</t>
  </si>
  <si>
    <t>Kohout kulový, vnitř.-vnitř.z. IVAR PERFECTA DN 20</t>
  </si>
  <si>
    <t>Kohout kulový, vnitř.-vnitř.z. IVAR PERFECTA DN 25</t>
  </si>
  <si>
    <t>Kohout kulový, vnitř.-vnitř.z. IVAR PERFECTA DN 32</t>
  </si>
  <si>
    <t>Kohout termoregulační DN15</t>
  </si>
  <si>
    <t>stoupačky cirkulace TV</t>
  </si>
  <si>
    <t>Přesun vybouraných hmot - vodovody, H 12 - 24 m</t>
  </si>
  <si>
    <t>Proplach a dezinfekce vodovod.potrubí DN 80</t>
  </si>
  <si>
    <t>Tlaková zkouška vodovodního potrubí DN 50</t>
  </si>
  <si>
    <t>Strojní vybavení</t>
  </si>
  <si>
    <t>konzola pro potrubí kanalizace, závitová tyč d10-1,5m, třmenová příchytka</t>
  </si>
  <si>
    <t>KONZOLA POTRUBÍ VODOVODU</t>
  </si>
  <si>
    <t>horizontální potrubní oddělovač 1 1/4"</t>
  </si>
  <si>
    <t>Zařizovací předměty</t>
  </si>
  <si>
    <t>Demontáž a zpět.montáž umyvadla s 1stoj.ventilem</t>
  </si>
  <si>
    <t>Odmontování zápachové uzávěrky</t>
  </si>
  <si>
    <t>Zpětná montáž zápachové uzávěrky</t>
  </si>
  <si>
    <t>Demontáž vany</t>
  </si>
  <si>
    <t>Montáž van s uzávěr. HL 500-5/4</t>
  </si>
  <si>
    <t>Dvířka k vodoměru 300 x 300 mm</t>
  </si>
  <si>
    <t>Dvířka k čitičům 200 x 200 mm</t>
  </si>
  <si>
    <t>Demontáž klozetů splachovacích</t>
  </si>
  <si>
    <t>Montáž klozetových mís</t>
  </si>
  <si>
    <t>demontáž a zpětná montáž kuchyňské linky</t>
  </si>
  <si>
    <t>Hodinové zúčtovací sazby (HZS)</t>
  </si>
  <si>
    <t>Hzs-revize provoz.souboru a st.obj.</t>
  </si>
  <si>
    <t>Revize elektro při změnách uzemění vodovodu</t>
  </si>
  <si>
    <t>Lešení a stavební výtahy</t>
  </si>
  <si>
    <t>Lešení lehké pomocné, výška podlahy do 1,9 m</t>
  </si>
  <si>
    <t>Různé dokončovací konstrukce a práce na pozemních stavbách</t>
  </si>
  <si>
    <t>Osazení konzol ve zdivu cihelném</t>
  </si>
  <si>
    <t>Prorážení otvorů a ostatní bourací práce</t>
  </si>
  <si>
    <t>Vrtání jádrové do prostého betonu</t>
  </si>
  <si>
    <t>prostupy vodovodu a kanlizace 19x</t>
  </si>
  <si>
    <t>Vysekání rýh ve zdi cihelné 15 x 20 cm</t>
  </si>
  <si>
    <t>Vybourání otvorů - úprava při výměně potrubí</t>
  </si>
  <si>
    <t>Odsekání vnitřních obkladů stěn do 1 m2</t>
  </si>
  <si>
    <t>Odvoz suti a vyb.hmot do 10 km, vnitrost. 15 m</t>
  </si>
  <si>
    <t>svislá doprava z 2.NP ručním nošením</t>
  </si>
  <si>
    <t>Přesun hmot pro vnitřní kanalizaci, výšky do 6 m</t>
  </si>
  <si>
    <t>Přesun hmot pro vnitřní vodovod, výšky do 6 m</t>
  </si>
  <si>
    <t>Přesun hmot pro strojní vybavení, výšky do 6 m</t>
  </si>
  <si>
    <t>Ostatní přesuny hmot</t>
  </si>
  <si>
    <t>Přesun hmot pro opravy a údržbu do výšky 6 m</t>
  </si>
  <si>
    <t>Přesuny sutí</t>
  </si>
  <si>
    <t>Kontejner, suť bez příměsí, odvoz a likvidace, 3 t</t>
  </si>
  <si>
    <t>Poplatek za skládku stavební suti</t>
  </si>
  <si>
    <t>Doba výstavby:</t>
  </si>
  <si>
    <t>Začátek výstavby:</t>
  </si>
  <si>
    <t>Konec výstavby:</t>
  </si>
  <si>
    <t>Zpracováno dne:</t>
  </si>
  <si>
    <t>M.j.</t>
  </si>
  <si>
    <t>m2</t>
  </si>
  <si>
    <t>kus</t>
  </si>
  <si>
    <t>m</t>
  </si>
  <si>
    <t>t</t>
  </si>
  <si>
    <t>soubor</t>
  </si>
  <si>
    <t>ks</t>
  </si>
  <si>
    <t>h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</si>
  <si>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</si>
  <si>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</si>
  <si>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</si>
  <si>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</si>
  <si>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</si>
  <si>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</si>
  <si>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</si>
  <si>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</si>
  <si>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</si>
  <si>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</si>
  <si>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</si>
  <si>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studio PART tel.605 243 882</t>
  </si>
  <si>
    <t>dle výběrového řízení</t>
  </si>
  <si>
    <t>Celkem</t>
  </si>
  <si>
    <t>Hmotnost (t)</t>
  </si>
  <si>
    <t>Cenová</t>
  </si>
  <si>
    <t>soustava</t>
  </si>
  <si>
    <t>RTS 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</si>
  <si>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</si>
  <si>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</si>
  <si>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</si>
  <si>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</si>
  <si>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</si>
  <si>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</si>
  <si>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</si>
  <si>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</si>
  <si>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</si>
  <si>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34_</t>
  </si>
  <si>
    <t>61_</t>
  </si>
  <si>
    <t>63_</t>
  </si>
  <si>
    <t>721_</t>
  </si>
  <si>
    <t>722_</t>
  </si>
  <si>
    <t>724_</t>
  </si>
  <si>
    <t>725_</t>
  </si>
  <si>
    <t>90_</t>
  </si>
  <si>
    <t>94_</t>
  </si>
  <si>
    <t>95_</t>
  </si>
  <si>
    <t>97_</t>
  </si>
  <si>
    <t>H721_</t>
  </si>
  <si>
    <t>H722_</t>
  </si>
  <si>
    <t>H724_</t>
  </si>
  <si>
    <t>H99_</t>
  </si>
  <si>
    <t>S_</t>
  </si>
  <si>
    <t>3_</t>
  </si>
  <si>
    <t>6_</t>
  </si>
  <si>
    <t>72_</t>
  </si>
  <si>
    <t>9_</t>
  </si>
  <si>
    <t>_</t>
  </si>
  <si>
    <t>Jednotková cena (Kč)</t>
  </si>
  <si>
    <t>Náklady celkem (Kč)</t>
  </si>
  <si>
    <t>Celková hmotnost(t)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</si>
  <si>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</si>
  <si>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</si>
  <si>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</si>
  <si>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</si>
  <si>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</si>
  <si>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</si>
  <si>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</si>
  <si>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</si>
  <si>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</si>
  <si>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</si>
  <si>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</si>
  <si>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</si>
  <si>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</si>
  <si>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</si>
  <si>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</si>
  <si>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</si>
  <si>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</si>
  <si>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dělení na etapy</t>
  </si>
  <si>
    <t>zábor pro kontejner</t>
  </si>
  <si>
    <t>D+M zařiz.předmětů</t>
  </si>
  <si>
    <t>zákryty podlah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</si>
  <si>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</si>
  <si>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</si>
  <si>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</si>
  <si>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</si>
  <si>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</si>
  <si>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</si>
  <si>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</si>
  <si>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</si>
  <si>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</si>
  <si>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</si>
  <si>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</si>
  <si>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</si>
  <si>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</si>
  <si>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</si>
  <si>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</si>
  <si>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</si>
  <si>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</si>
  <si>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</si>
  <si>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</si>
  <si>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</si>
  <si>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</si>
  <si>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</si>
  <si>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</si>
  <si>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</si>
  <si>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14789531/cz6507252246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</si>
  <si>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</si>
  <si>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</si>
  <si>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</si>
  <si>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</si>
  <si>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</si>
  <si>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</si>
  <si>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</si>
  <si>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úklid společných prostor</t>
  </si>
  <si>
    <t>úklid bytů</t>
  </si>
  <si>
    <t>Celkem ORN</t>
  </si>
  <si>
    <t>Vedlejší a ostatní rozpočtové náklady</t>
  </si>
  <si>
    <t>Kč</t>
  </si>
  <si>
    <t>%</t>
  </si>
  <si>
    <t>Základna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</si>
</sst>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9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60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2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right" vertical="center"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7" fillId="33" borderId="12" xfId="0" applyNumberFormat="1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34" borderId="26" xfId="0" applyNumberFormat="1" applyFont="1" applyFill="1" applyBorder="1" applyAlignment="1" applyProtection="1">
      <alignment horizontal="center" vertical="center"/>
      <protection/>
    </xf>
    <xf numFmtId="49" fontId="11" fillId="0" borderId="27" xfId="0" applyNumberFormat="1" applyFont="1" applyFill="1" applyBorder="1" applyAlignment="1" applyProtection="1">
      <alignment horizontal="left" vertical="center"/>
      <protection/>
    </xf>
    <xf numFmtId="49" fontId="1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2" fillId="0" borderId="26" xfId="0" applyNumberFormat="1" applyFont="1" applyFill="1" applyBorder="1" applyAlignment="1" applyProtection="1">
      <alignment horizontal="right" vertical="center"/>
      <protection/>
    </xf>
    <xf numFmtId="49" fontId="12" fillId="0" borderId="26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1" fillId="34" borderId="34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9" fontId="3" fillId="0" borderId="37" xfId="0" applyNumberFormat="1" applyFont="1" applyFill="1" applyBorder="1" applyAlignment="1" applyProtection="1">
      <alignment horizontal="right" vertical="center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3" fillId="0" borderId="38" xfId="0" applyNumberFormat="1" applyFont="1" applyFill="1" applyBorder="1" applyAlignment="1" applyProtection="1">
      <alignment horizontal="left" vertical="center"/>
      <protection/>
    </xf>
    <xf numFmtId="4" fontId="1" fillId="0" borderId="26" xfId="0" applyNumberFormat="1" applyFont="1" applyFill="1" applyBorder="1" applyAlignment="1" applyProtection="1">
      <alignment horizontal="right" vertical="center"/>
      <protection/>
    </xf>
    <xf numFmtId="4" fontId="1" fillId="0" borderId="20" xfId="0" applyNumberFormat="1" applyFont="1" applyFill="1" applyBorder="1" applyAlignment="1" applyProtection="1">
      <alignment horizontal="right" vertical="center"/>
      <protection/>
    </xf>
    <xf numFmtId="49" fontId="3" fillId="0" borderId="38" xfId="0" applyNumberFormat="1" applyFont="1" applyFill="1" applyBorder="1" applyAlignment="1" applyProtection="1">
      <alignment horizontal="right" vertical="center"/>
      <protection/>
    </xf>
    <xf numFmtId="4" fontId="3" fillId="0" borderId="3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49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14" fontId="1" fillId="0" borderId="33" xfId="0" applyNumberFormat="1" applyFont="1" applyFill="1" applyBorder="1" applyAlignment="1" applyProtection="1">
      <alignment horizontal="left" vertical="center"/>
      <protection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49" fontId="13" fillId="0" borderId="50" xfId="0" applyNumberFormat="1" applyFont="1" applyFill="1" applyBorder="1" applyAlignment="1" applyProtection="1">
      <alignment horizontal="left" vertical="center"/>
      <protection/>
    </xf>
    <xf numFmtId="0" fontId="13" fillId="0" borderId="34" xfId="0" applyNumberFormat="1" applyFont="1" applyFill="1" applyBorder="1" applyAlignment="1" applyProtection="1">
      <alignment horizontal="left" vertical="center"/>
      <protection/>
    </xf>
    <xf numFmtId="49" fontId="12" fillId="0" borderId="50" xfId="0" applyNumberFormat="1" applyFont="1" applyFill="1" applyBorder="1" applyAlignment="1" applyProtection="1">
      <alignment horizontal="left" vertical="center"/>
      <protection/>
    </xf>
    <xf numFmtId="0" fontId="12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50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49" fontId="11" fillId="34" borderId="50" xfId="0" applyNumberFormat="1" applyFont="1" applyFill="1" applyBorder="1" applyAlignment="1" applyProtection="1">
      <alignment horizontal="left" vertical="center"/>
      <protection/>
    </xf>
    <xf numFmtId="0" fontId="11" fillId="34" borderId="49" xfId="0" applyNumberFormat="1" applyFont="1" applyFill="1" applyBorder="1" applyAlignment="1" applyProtection="1">
      <alignment horizontal="left" vertical="center"/>
      <protection/>
    </xf>
    <xf numFmtId="49" fontId="12" fillId="0" borderId="51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52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53" xfId="0" applyNumberFormat="1" applyFont="1" applyFill="1" applyBorder="1" applyAlignment="1" applyProtection="1">
      <alignment horizontal="left" vertical="center"/>
      <protection/>
    </xf>
    <xf numFmtId="49" fontId="12" fillId="0" borderId="54" xfId="0" applyNumberFormat="1" applyFont="1" applyFill="1" applyBorder="1" applyAlignment="1" applyProtection="1">
      <alignment horizontal="left" vertical="center"/>
      <protection/>
    </xf>
    <xf numFmtId="0" fontId="12" fillId="0" borderId="36" xfId="0" applyNumberFormat="1" applyFont="1" applyFill="1" applyBorder="1" applyAlignment="1" applyProtection="1">
      <alignment horizontal="left" vertical="center"/>
      <protection/>
    </xf>
    <xf numFmtId="0" fontId="12" fillId="0" borderId="55" xfId="0" applyNumberFormat="1" applyFont="1" applyFill="1" applyBorder="1" applyAlignment="1" applyProtection="1">
      <alignment horizontal="left" vertical="center"/>
      <protection/>
    </xf>
    <xf numFmtId="49" fontId="11" fillId="0" borderId="36" xfId="0" applyNumberFormat="1" applyFont="1" applyFill="1" applyBorder="1" applyAlignment="1" applyProtection="1">
      <alignment horizontal="left" vertical="center"/>
      <protection/>
    </xf>
    <xf numFmtId="0" fontId="11" fillId="0" borderId="36" xfId="0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Fill="1" applyBorder="1" applyAlignment="1" applyProtection="1">
      <alignment horizontal="left" vertical="center"/>
      <protection/>
    </xf>
    <xf numFmtId="0" fontId="3" fillId="0" borderId="43" xfId="0" applyNumberFormat="1" applyFont="1" applyFill="1" applyBorder="1" applyAlignment="1" applyProtection="1">
      <alignment horizontal="left" vertical="center"/>
      <protection/>
    </xf>
    <xf numFmtId="0" fontId="3" fillId="0" borderId="44" xfId="0" applyNumberFormat="1" applyFont="1" applyFill="1" applyBorder="1" applyAlignment="1" applyProtection="1">
      <alignment horizontal="left" vertical="center"/>
      <protection/>
    </xf>
    <xf numFmtId="49" fontId="1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56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49" fontId="3" fillId="0" borderId="57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58" xfId="0" applyNumberFormat="1" applyFont="1" applyFill="1" applyBorder="1" applyAlignment="1" applyProtection="1">
      <alignment horizontal="left" vertical="center"/>
      <protection/>
    </xf>
    <xf numFmtId="49" fontId="11" fillId="0" borderId="57" xfId="0" applyNumberFormat="1" applyFont="1" applyFill="1" applyBorder="1" applyAlignment="1" applyProtection="1">
      <alignment horizontal="left" vertical="center"/>
      <protection/>
    </xf>
    <xf numFmtId="0" fontId="11" fillId="0" borderId="35" xfId="0" applyNumberFormat="1" applyFont="1" applyFill="1" applyBorder="1" applyAlignment="1" applyProtection="1">
      <alignment horizontal="left" vertical="center"/>
      <protection/>
    </xf>
    <xf numFmtId="0" fontId="11" fillId="0" borderId="58" xfId="0" applyNumberFormat="1" applyFont="1" applyFill="1" applyBorder="1" applyAlignment="1" applyProtection="1">
      <alignment horizontal="left" vertical="center"/>
      <protection/>
    </xf>
    <xf numFmtId="4" fontId="11" fillId="0" borderId="57" xfId="0" applyNumberFormat="1" applyFont="1" applyFill="1" applyBorder="1" applyAlignment="1" applyProtection="1">
      <alignment horizontal="right" vertical="center"/>
      <protection/>
    </xf>
    <xf numFmtId="0" fontId="11" fillId="0" borderId="35" xfId="0" applyNumberFormat="1" applyFont="1" applyFill="1" applyBorder="1" applyAlignment="1" applyProtection="1">
      <alignment horizontal="right" vertical="center"/>
      <protection/>
    </xf>
    <xf numFmtId="0" fontId="11" fillId="0" borderId="58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150000"/>
      <rgbColor rgb="00000000"/>
      <rgbColor rgb="0006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27"/>
  <sheetViews>
    <sheetView tabSelected="1" zoomScalePageLayoutView="0" workbookViewId="0" topLeftCell="A94">
      <selection activeCell="A1" sqref="A1:M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68.00390625" style="0" customWidth="1"/>
    <col min="5" max="5" width="7.003906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4" ht="12.75">
      <c r="A2" s="66" t="s">
        <v>1</v>
      </c>
      <c r="B2" s="67"/>
      <c r="C2" s="67"/>
      <c r="D2" s="70" t="s">
        <v>174</v>
      </c>
      <c r="E2" s="72" t="s">
        <v>286</v>
      </c>
      <c r="F2" s="67"/>
      <c r="G2" s="72"/>
      <c r="H2" s="67"/>
      <c r="I2" s="73" t="s">
        <v>304</v>
      </c>
      <c r="J2" s="73"/>
      <c r="K2" s="67"/>
      <c r="L2" s="67"/>
      <c r="M2" s="74"/>
      <c r="N2" s="29"/>
    </row>
    <row r="3" spans="1:14" ht="12.75">
      <c r="A3" s="68"/>
      <c r="B3" s="69"/>
      <c r="C3" s="69"/>
      <c r="D3" s="71"/>
      <c r="E3" s="69"/>
      <c r="F3" s="69"/>
      <c r="G3" s="69"/>
      <c r="H3" s="69"/>
      <c r="I3" s="69"/>
      <c r="J3" s="69"/>
      <c r="K3" s="69"/>
      <c r="L3" s="69"/>
      <c r="M3" s="75"/>
      <c r="N3" s="29"/>
    </row>
    <row r="4" spans="1:14" ht="12.75">
      <c r="A4" s="76" t="s">
        <v>2</v>
      </c>
      <c r="B4" s="69"/>
      <c r="C4" s="69"/>
      <c r="D4" s="77" t="s">
        <v>175</v>
      </c>
      <c r="E4" s="78" t="s">
        <v>287</v>
      </c>
      <c r="F4" s="69"/>
      <c r="G4" s="78" t="s">
        <v>6</v>
      </c>
      <c r="H4" s="69"/>
      <c r="I4" s="77" t="s">
        <v>305</v>
      </c>
      <c r="J4" s="77" t="s">
        <v>309</v>
      </c>
      <c r="K4" s="69"/>
      <c r="L4" s="69"/>
      <c r="M4" s="75"/>
      <c r="N4" s="29"/>
    </row>
    <row r="5" spans="1:14" ht="12.75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75"/>
      <c r="N5" s="29"/>
    </row>
    <row r="6" spans="1:14" ht="12.75">
      <c r="A6" s="76" t="s">
        <v>3</v>
      </c>
      <c r="B6" s="69"/>
      <c r="C6" s="69"/>
      <c r="D6" s="77" t="s">
        <v>176</v>
      </c>
      <c r="E6" s="78" t="s">
        <v>288</v>
      </c>
      <c r="F6" s="69"/>
      <c r="G6" s="69"/>
      <c r="H6" s="69"/>
      <c r="I6" s="77" t="s">
        <v>306</v>
      </c>
      <c r="J6" s="77" t="s">
        <v>310</v>
      </c>
      <c r="K6" s="69"/>
      <c r="L6" s="69"/>
      <c r="M6" s="75"/>
      <c r="N6" s="29"/>
    </row>
    <row r="7" spans="1:14" ht="12.7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5"/>
      <c r="N7" s="29"/>
    </row>
    <row r="8" spans="1:14" ht="12.75">
      <c r="A8" s="76" t="s">
        <v>4</v>
      </c>
      <c r="B8" s="69"/>
      <c r="C8" s="69"/>
      <c r="D8" s="77">
        <v>8035</v>
      </c>
      <c r="E8" s="78" t="s">
        <v>289</v>
      </c>
      <c r="F8" s="69"/>
      <c r="G8" s="81">
        <v>43033</v>
      </c>
      <c r="H8" s="69"/>
      <c r="I8" s="77" t="s">
        <v>307</v>
      </c>
      <c r="J8" s="77"/>
      <c r="K8" s="69"/>
      <c r="L8" s="69"/>
      <c r="M8" s="75"/>
      <c r="N8" s="29"/>
    </row>
    <row r="9" spans="1:14" ht="12.7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2"/>
      <c r="N9" s="29"/>
    </row>
    <row r="10" spans="1:14" ht="12.75">
      <c r="A10" s="1" t="s">
        <v>5</v>
      </c>
      <c r="B10" s="9" t="s">
        <v>85</v>
      </c>
      <c r="C10" s="9" t="s">
        <v>86</v>
      </c>
      <c r="D10" s="9" t="s">
        <v>177</v>
      </c>
      <c r="E10" s="9" t="s">
        <v>290</v>
      </c>
      <c r="F10" s="15" t="s">
        <v>298</v>
      </c>
      <c r="G10" s="18" t="s">
        <v>299</v>
      </c>
      <c r="H10" s="83" t="s">
        <v>301</v>
      </c>
      <c r="I10" s="84"/>
      <c r="J10" s="85"/>
      <c r="K10" s="83" t="s">
        <v>312</v>
      </c>
      <c r="L10" s="85"/>
      <c r="M10" s="25" t="s">
        <v>313</v>
      </c>
      <c r="N10" s="30"/>
    </row>
    <row r="11" spans="1:24" ht="12.75">
      <c r="A11" s="2" t="s">
        <v>6</v>
      </c>
      <c r="B11" s="10" t="s">
        <v>6</v>
      </c>
      <c r="C11" s="10" t="s">
        <v>6</v>
      </c>
      <c r="D11" s="13" t="s">
        <v>178</v>
      </c>
      <c r="E11" s="10" t="s">
        <v>6</v>
      </c>
      <c r="F11" s="10" t="s">
        <v>6</v>
      </c>
      <c r="G11" s="19" t="s">
        <v>300</v>
      </c>
      <c r="H11" s="20" t="s">
        <v>302</v>
      </c>
      <c r="I11" s="21" t="s">
        <v>308</v>
      </c>
      <c r="J11" s="22" t="s">
        <v>311</v>
      </c>
      <c r="K11" s="20" t="s">
        <v>299</v>
      </c>
      <c r="L11" s="22" t="s">
        <v>311</v>
      </c>
      <c r="M11" s="26" t="s">
        <v>314</v>
      </c>
      <c r="N11" s="30"/>
      <c r="P11" s="24" t="s">
        <v>316</v>
      </c>
      <c r="Q11" s="24" t="s">
        <v>317</v>
      </c>
      <c r="R11" s="24" t="s">
        <v>318</v>
      </c>
      <c r="S11" s="24" t="s">
        <v>319</v>
      </c>
      <c r="T11" s="24" t="s">
        <v>320</v>
      </c>
      <c r="U11" s="24" t="s">
        <v>321</v>
      </c>
      <c r="V11" s="24" t="s">
        <v>322</v>
      </c>
      <c r="W11" s="24" t="s">
        <v>323</v>
      </c>
      <c r="X11" s="24" t="s">
        <v>324</v>
      </c>
    </row>
    <row r="12" spans="1:37" ht="12.75">
      <c r="A12" s="3"/>
      <c r="B12" s="11"/>
      <c r="C12" s="11" t="s">
        <v>40</v>
      </c>
      <c r="D12" s="86" t="s">
        <v>179</v>
      </c>
      <c r="E12" s="87"/>
      <c r="F12" s="87"/>
      <c r="G12" s="87"/>
      <c r="H12" s="33">
        <f>SUM(H13:H15)</f>
        <v>0</v>
      </c>
      <c r="I12" s="33">
        <f>SUM(I13:I15)</f>
        <v>0</v>
      </c>
      <c r="J12" s="33">
        <f>H12+I12</f>
        <v>0</v>
      </c>
      <c r="K12" s="23"/>
      <c r="L12" s="33">
        <f>SUM(L13:L15)</f>
        <v>4.36476</v>
      </c>
      <c r="M12" s="23"/>
      <c r="Y12" s="24"/>
      <c r="AI12" s="34">
        <f>SUM(Z13:Z15)</f>
        <v>0</v>
      </c>
      <c r="AJ12" s="34">
        <f>SUM(AA13:AA15)</f>
        <v>0</v>
      </c>
      <c r="AK12" s="34">
        <f>SUM(AB13:AB15)</f>
        <v>0</v>
      </c>
    </row>
    <row r="13" spans="1:48" ht="12.75">
      <c r="A13" s="4" t="s">
        <v>7</v>
      </c>
      <c r="B13" s="4"/>
      <c r="C13" s="4" t="s">
        <v>87</v>
      </c>
      <c r="D13" s="4" t="s">
        <v>180</v>
      </c>
      <c r="E13" s="4" t="s">
        <v>291</v>
      </c>
      <c r="F13" s="16">
        <v>28</v>
      </c>
      <c r="G13" s="16">
        <v>0</v>
      </c>
      <c r="H13" s="16">
        <f>F13*AE13</f>
        <v>0</v>
      </c>
      <c r="I13" s="16">
        <f>J13-H13</f>
        <v>0</v>
      </c>
      <c r="J13" s="16">
        <f>F13*G13</f>
        <v>0</v>
      </c>
      <c r="K13" s="16">
        <v>0.02925</v>
      </c>
      <c r="L13" s="16">
        <f>F13*K13</f>
        <v>0.8190000000000001</v>
      </c>
      <c r="M13" s="27" t="s">
        <v>315</v>
      </c>
      <c r="P13" s="31">
        <f>IF(AG13="5",J13,0)</f>
        <v>0</v>
      </c>
      <c r="R13" s="31">
        <f>IF(AG13="1",H13,0)</f>
        <v>0</v>
      </c>
      <c r="S13" s="31">
        <f>IF(AG13="1",I13,0)</f>
        <v>0</v>
      </c>
      <c r="T13" s="31">
        <f>IF(AG13="7",H13,0)</f>
        <v>0</v>
      </c>
      <c r="U13" s="31">
        <f>IF(AG13="7",I13,0)</f>
        <v>0</v>
      </c>
      <c r="V13" s="31">
        <f>IF(AG13="2",H13,0)</f>
        <v>0</v>
      </c>
      <c r="W13" s="31">
        <f>IF(AG13="2",I13,0)</f>
        <v>0</v>
      </c>
      <c r="X13" s="31">
        <f>IF(AG13="0",J13,0)</f>
        <v>0</v>
      </c>
      <c r="Y13" s="24"/>
      <c r="Z13" s="16">
        <f>IF(AD13=0,J13,0)</f>
        <v>0</v>
      </c>
      <c r="AA13" s="16">
        <f>IF(AD13=15,J13,0)</f>
        <v>0</v>
      </c>
      <c r="AB13" s="16">
        <f>IF(AD13=21,J13,0)</f>
        <v>0</v>
      </c>
      <c r="AD13" s="31">
        <v>21</v>
      </c>
      <c r="AE13" s="31">
        <f>G13*0.491130605547732</f>
        <v>0</v>
      </c>
      <c r="AF13" s="31">
        <f>G13*(1-0.491130605547732)</f>
        <v>0</v>
      </c>
      <c r="AG13" s="27" t="s">
        <v>7</v>
      </c>
      <c r="AM13" s="31">
        <f>F13*AE13</f>
        <v>0</v>
      </c>
      <c r="AN13" s="31">
        <f>F13*AF13</f>
        <v>0</v>
      </c>
      <c r="AO13" s="32" t="s">
        <v>325</v>
      </c>
      <c r="AP13" s="32" t="s">
        <v>341</v>
      </c>
      <c r="AQ13" s="24" t="s">
        <v>345</v>
      </c>
      <c r="AS13" s="31">
        <f>AM13+AN13</f>
        <v>0</v>
      </c>
      <c r="AT13" s="31">
        <f>G13/(100-AU13)*100</f>
        <v>0</v>
      </c>
      <c r="AU13" s="31">
        <v>0</v>
      </c>
      <c r="AV13" s="31">
        <f>L13</f>
        <v>0.8190000000000001</v>
      </c>
    </row>
    <row r="14" ht="12.75">
      <c r="D14" s="14" t="s">
        <v>181</v>
      </c>
    </row>
    <row r="15" spans="1:48" ht="12.75">
      <c r="A15" s="4" t="s">
        <v>8</v>
      </c>
      <c r="B15" s="4"/>
      <c r="C15" s="4" t="s">
        <v>88</v>
      </c>
      <c r="D15" s="4" t="s">
        <v>182</v>
      </c>
      <c r="E15" s="4" t="s">
        <v>291</v>
      </c>
      <c r="F15" s="16">
        <v>48</v>
      </c>
      <c r="G15" s="16">
        <v>0</v>
      </c>
      <c r="H15" s="16">
        <f>F15*AE15</f>
        <v>0</v>
      </c>
      <c r="I15" s="16">
        <f>J15-H15</f>
        <v>0</v>
      </c>
      <c r="J15" s="16">
        <f>F15*G15</f>
        <v>0</v>
      </c>
      <c r="K15" s="16">
        <v>0.07387</v>
      </c>
      <c r="L15" s="16">
        <f>F15*K15</f>
        <v>3.5457600000000005</v>
      </c>
      <c r="M15" s="27" t="s">
        <v>315</v>
      </c>
      <c r="P15" s="31">
        <f>IF(AG15="5",J15,0)</f>
        <v>0</v>
      </c>
      <c r="R15" s="31">
        <f>IF(AG15="1",H15,0)</f>
        <v>0</v>
      </c>
      <c r="S15" s="31">
        <f>IF(AG15="1",I15,0)</f>
        <v>0</v>
      </c>
      <c r="T15" s="31">
        <f>IF(AG15="7",H15,0)</f>
        <v>0</v>
      </c>
      <c r="U15" s="31">
        <f>IF(AG15="7",I15,0)</f>
        <v>0</v>
      </c>
      <c r="V15" s="31">
        <f>IF(AG15="2",H15,0)</f>
        <v>0</v>
      </c>
      <c r="W15" s="31">
        <f>IF(AG15="2",I15,0)</f>
        <v>0</v>
      </c>
      <c r="X15" s="31">
        <f>IF(AG15="0",J15,0)</f>
        <v>0</v>
      </c>
      <c r="Y15" s="24"/>
      <c r="Z15" s="16">
        <f>IF(AD15=0,J15,0)</f>
        <v>0</v>
      </c>
      <c r="AA15" s="16">
        <f>IF(AD15=15,J15,0)</f>
        <v>0</v>
      </c>
      <c r="AB15" s="16">
        <f>IF(AD15=21,J15,0)</f>
        <v>0</v>
      </c>
      <c r="AD15" s="31">
        <v>21</v>
      </c>
      <c r="AE15" s="31">
        <f>G15*0.524253968253968</f>
        <v>0</v>
      </c>
      <c r="AF15" s="31">
        <f>G15*(1-0.524253968253968)</f>
        <v>0</v>
      </c>
      <c r="AG15" s="27" t="s">
        <v>7</v>
      </c>
      <c r="AM15" s="31">
        <f>F15*AE15</f>
        <v>0</v>
      </c>
      <c r="AN15" s="31">
        <f>F15*AF15</f>
        <v>0</v>
      </c>
      <c r="AO15" s="32" t="s">
        <v>325</v>
      </c>
      <c r="AP15" s="32" t="s">
        <v>341</v>
      </c>
      <c r="AQ15" s="24" t="s">
        <v>345</v>
      </c>
      <c r="AS15" s="31">
        <f>AM15+AN15</f>
        <v>0</v>
      </c>
      <c r="AT15" s="31">
        <f>G15/(100-AU15)*100</f>
        <v>0</v>
      </c>
      <c r="AU15" s="31">
        <v>0</v>
      </c>
      <c r="AV15" s="31">
        <f>L15</f>
        <v>3.5457600000000005</v>
      </c>
    </row>
    <row r="16" ht="12.75">
      <c r="D16" s="14" t="s">
        <v>183</v>
      </c>
    </row>
    <row r="17" spans="1:37" ht="12.75">
      <c r="A17" s="5"/>
      <c r="B17" s="12"/>
      <c r="C17" s="12" t="s">
        <v>67</v>
      </c>
      <c r="D17" s="88" t="s">
        <v>184</v>
      </c>
      <c r="E17" s="89"/>
      <c r="F17" s="89"/>
      <c r="G17" s="89"/>
      <c r="H17" s="34">
        <f>SUM(H18:H20)</f>
        <v>0</v>
      </c>
      <c r="I17" s="34">
        <f>SUM(I18:I20)</f>
        <v>0</v>
      </c>
      <c r="J17" s="34">
        <f>H17+I17</f>
        <v>0</v>
      </c>
      <c r="K17" s="24"/>
      <c r="L17" s="34">
        <f>SUM(L18:L20)</f>
        <v>13.879610000000001</v>
      </c>
      <c r="M17" s="24"/>
      <c r="Y17" s="24"/>
      <c r="AI17" s="34">
        <f>SUM(Z18:Z20)</f>
        <v>0</v>
      </c>
      <c r="AJ17" s="34">
        <f>SUM(AA18:AA20)</f>
        <v>0</v>
      </c>
      <c r="AK17" s="34">
        <f>SUM(AB18:AB20)</f>
        <v>0</v>
      </c>
    </row>
    <row r="18" spans="1:48" ht="12.75">
      <c r="A18" s="4" t="s">
        <v>9</v>
      </c>
      <c r="B18" s="4"/>
      <c r="C18" s="4" t="s">
        <v>89</v>
      </c>
      <c r="D18" s="4" t="s">
        <v>185</v>
      </c>
      <c r="E18" s="4" t="s">
        <v>292</v>
      </c>
      <c r="F18" s="16">
        <v>103</v>
      </c>
      <c r="G18" s="16">
        <v>0</v>
      </c>
      <c r="H18" s="16">
        <f>F18*AE18</f>
        <v>0</v>
      </c>
      <c r="I18" s="16">
        <f>J18-H18</f>
        <v>0</v>
      </c>
      <c r="J18" s="16">
        <f>F18*G18</f>
        <v>0</v>
      </c>
      <c r="K18" s="16">
        <v>0.03562</v>
      </c>
      <c r="L18" s="16">
        <f>F18*K18</f>
        <v>3.66886</v>
      </c>
      <c r="M18" s="27" t="s">
        <v>315</v>
      </c>
      <c r="P18" s="31">
        <f>IF(AG18="5",J18,0)</f>
        <v>0</v>
      </c>
      <c r="R18" s="31">
        <f>IF(AG18="1",H18,0)</f>
        <v>0</v>
      </c>
      <c r="S18" s="31">
        <f>IF(AG18="1",I18,0)</f>
        <v>0</v>
      </c>
      <c r="T18" s="31">
        <f>IF(AG18="7",H18,0)</f>
        <v>0</v>
      </c>
      <c r="U18" s="31">
        <f>IF(AG18="7",I18,0)</f>
        <v>0</v>
      </c>
      <c r="V18" s="31">
        <f>IF(AG18="2",H18,0)</f>
        <v>0</v>
      </c>
      <c r="W18" s="31">
        <f>IF(AG18="2",I18,0)</f>
        <v>0</v>
      </c>
      <c r="X18" s="31">
        <f>IF(AG18="0",J18,0)</f>
        <v>0</v>
      </c>
      <c r="Y18" s="24"/>
      <c r="Z18" s="16">
        <f>IF(AD18=0,J18,0)</f>
        <v>0</v>
      </c>
      <c r="AA18" s="16">
        <f>IF(AD18=15,J18,0)</f>
        <v>0</v>
      </c>
      <c r="AB18" s="16">
        <f>IF(AD18=21,J18,0)</f>
        <v>0</v>
      </c>
      <c r="AD18" s="31">
        <v>21</v>
      </c>
      <c r="AE18" s="31">
        <f>G18*0.292668945457634</f>
        <v>0</v>
      </c>
      <c r="AF18" s="31">
        <f>G18*(1-0.292668945457634)</f>
        <v>0</v>
      </c>
      <c r="AG18" s="27" t="s">
        <v>7</v>
      </c>
      <c r="AM18" s="31">
        <f>F18*AE18</f>
        <v>0</v>
      </c>
      <c r="AN18" s="31">
        <f>F18*AF18</f>
        <v>0</v>
      </c>
      <c r="AO18" s="32" t="s">
        <v>326</v>
      </c>
      <c r="AP18" s="32" t="s">
        <v>342</v>
      </c>
      <c r="AQ18" s="24" t="s">
        <v>345</v>
      </c>
      <c r="AS18" s="31">
        <f>AM18+AN18</f>
        <v>0</v>
      </c>
      <c r="AT18" s="31">
        <f>G18/(100-AU18)*100</f>
        <v>0</v>
      </c>
      <c r="AU18" s="31">
        <v>0</v>
      </c>
      <c r="AV18" s="31">
        <f>L18</f>
        <v>3.66886</v>
      </c>
    </row>
    <row r="19" ht="12.75">
      <c r="D19" s="14" t="s">
        <v>186</v>
      </c>
    </row>
    <row r="20" spans="1:48" ht="12.75">
      <c r="A20" s="4" t="s">
        <v>10</v>
      </c>
      <c r="B20" s="4"/>
      <c r="C20" s="4" t="s">
        <v>90</v>
      </c>
      <c r="D20" s="4" t="s">
        <v>187</v>
      </c>
      <c r="E20" s="4" t="s">
        <v>293</v>
      </c>
      <c r="F20" s="16">
        <v>275</v>
      </c>
      <c r="G20" s="16">
        <v>0</v>
      </c>
      <c r="H20" s="16">
        <f>F20*AE20</f>
        <v>0</v>
      </c>
      <c r="I20" s="16">
        <f>J20-H20</f>
        <v>0</v>
      </c>
      <c r="J20" s="16">
        <f>F20*G20</f>
        <v>0</v>
      </c>
      <c r="K20" s="16">
        <v>0.03713</v>
      </c>
      <c r="L20" s="16">
        <f>F20*K20</f>
        <v>10.21075</v>
      </c>
      <c r="M20" s="27" t="s">
        <v>315</v>
      </c>
      <c r="P20" s="31">
        <f>IF(AG20="5",J20,0)</f>
        <v>0</v>
      </c>
      <c r="R20" s="31">
        <f>IF(AG20="1",H20,0)</f>
        <v>0</v>
      </c>
      <c r="S20" s="31">
        <f>IF(AG20="1",I20,0)</f>
        <v>0</v>
      </c>
      <c r="T20" s="31">
        <f>IF(AG20="7",H20,0)</f>
        <v>0</v>
      </c>
      <c r="U20" s="31">
        <f>IF(AG20="7",I20,0)</f>
        <v>0</v>
      </c>
      <c r="V20" s="31">
        <f>IF(AG20="2",H20,0)</f>
        <v>0</v>
      </c>
      <c r="W20" s="31">
        <f>IF(AG20="2",I20,0)</f>
        <v>0</v>
      </c>
      <c r="X20" s="31">
        <f>IF(AG20="0",J20,0)</f>
        <v>0</v>
      </c>
      <c r="Y20" s="24"/>
      <c r="Z20" s="16">
        <f>IF(AD20=0,J20,0)</f>
        <v>0</v>
      </c>
      <c r="AA20" s="16">
        <f>IF(AD20=15,J20,0)</f>
        <v>0</v>
      </c>
      <c r="AB20" s="16">
        <f>IF(AD20=21,J20,0)</f>
        <v>0</v>
      </c>
      <c r="AD20" s="31">
        <v>21</v>
      </c>
      <c r="AE20" s="31">
        <f>G20*0.508368421052631</f>
        <v>0</v>
      </c>
      <c r="AF20" s="31">
        <f>G20*(1-0.508368421052631)</f>
        <v>0</v>
      </c>
      <c r="AG20" s="27" t="s">
        <v>7</v>
      </c>
      <c r="AM20" s="31">
        <f>F20*AE20</f>
        <v>0</v>
      </c>
      <c r="AN20" s="31">
        <f>F20*AF20</f>
        <v>0</v>
      </c>
      <c r="AO20" s="32" t="s">
        <v>326</v>
      </c>
      <c r="AP20" s="32" t="s">
        <v>342</v>
      </c>
      <c r="AQ20" s="24" t="s">
        <v>345</v>
      </c>
      <c r="AS20" s="31">
        <f>AM20+AN20</f>
        <v>0</v>
      </c>
      <c r="AT20" s="31">
        <f>G20/(100-AU20)*100</f>
        <v>0</v>
      </c>
      <c r="AU20" s="31">
        <v>0</v>
      </c>
      <c r="AV20" s="31">
        <f>L20</f>
        <v>10.21075</v>
      </c>
    </row>
    <row r="21" spans="1:37" ht="12.75">
      <c r="A21" s="5"/>
      <c r="B21" s="12"/>
      <c r="C21" s="12" t="s">
        <v>69</v>
      </c>
      <c r="D21" s="88" t="s">
        <v>188</v>
      </c>
      <c r="E21" s="89"/>
      <c r="F21" s="89"/>
      <c r="G21" s="89"/>
      <c r="H21" s="34">
        <f>SUM(H22:H24)</f>
        <v>0</v>
      </c>
      <c r="I21" s="34">
        <f>SUM(I22:I24)</f>
        <v>0</v>
      </c>
      <c r="J21" s="34">
        <f>H21+I21</f>
        <v>0</v>
      </c>
      <c r="K21" s="24"/>
      <c r="L21" s="34">
        <f>SUM(L22:L24)</f>
        <v>21.832</v>
      </c>
      <c r="M21" s="24"/>
      <c r="Y21" s="24"/>
      <c r="AI21" s="34">
        <f>SUM(Z22:Z24)</f>
        <v>0</v>
      </c>
      <c r="AJ21" s="34">
        <f>SUM(AA22:AA24)</f>
        <v>0</v>
      </c>
      <c r="AK21" s="34">
        <f>SUM(AB22:AB24)</f>
        <v>0</v>
      </c>
    </row>
    <row r="22" spans="1:48" ht="12.75">
      <c r="A22" s="4" t="s">
        <v>11</v>
      </c>
      <c r="B22" s="4"/>
      <c r="C22" s="4" t="s">
        <v>91</v>
      </c>
      <c r="D22" s="4" t="s">
        <v>189</v>
      </c>
      <c r="E22" s="4" t="s">
        <v>291</v>
      </c>
      <c r="F22" s="16">
        <v>32</v>
      </c>
      <c r="G22" s="16">
        <v>0</v>
      </c>
      <c r="H22" s="16">
        <f>F22*AE22</f>
        <v>0</v>
      </c>
      <c r="I22" s="16">
        <f>J22-H22</f>
        <v>0</v>
      </c>
      <c r="J22" s="16">
        <f>F22*G22</f>
        <v>0</v>
      </c>
      <c r="K22" s="16">
        <v>0.67525</v>
      </c>
      <c r="L22" s="16">
        <f>F22*K22</f>
        <v>21.608</v>
      </c>
      <c r="M22" s="27" t="s">
        <v>315</v>
      </c>
      <c r="P22" s="31">
        <f>IF(AG22="5",J22,0)</f>
        <v>0</v>
      </c>
      <c r="R22" s="31">
        <f>IF(AG22="1",H22,0)</f>
        <v>0</v>
      </c>
      <c r="S22" s="31">
        <f>IF(AG22="1",I22,0)</f>
        <v>0</v>
      </c>
      <c r="T22" s="31">
        <f>IF(AG22="7",H22,0)</f>
        <v>0</v>
      </c>
      <c r="U22" s="31">
        <f>IF(AG22="7",I22,0)</f>
        <v>0</v>
      </c>
      <c r="V22" s="31">
        <f>IF(AG22="2",H22,0)</f>
        <v>0</v>
      </c>
      <c r="W22" s="31">
        <f>IF(AG22="2",I22,0)</f>
        <v>0</v>
      </c>
      <c r="X22" s="31">
        <f>IF(AG22="0",J22,0)</f>
        <v>0</v>
      </c>
      <c r="Y22" s="24"/>
      <c r="Z22" s="16">
        <f>IF(AD22=0,J22,0)</f>
        <v>0</v>
      </c>
      <c r="AA22" s="16">
        <f>IF(AD22=15,J22,0)</f>
        <v>0</v>
      </c>
      <c r="AB22" s="16">
        <f>IF(AD22=21,J22,0)</f>
        <v>0</v>
      </c>
      <c r="AD22" s="31">
        <v>21</v>
      </c>
      <c r="AE22" s="31">
        <f>G22*0.334476401491767</f>
        <v>0</v>
      </c>
      <c r="AF22" s="31">
        <f>G22*(1-0.334476401491767)</f>
        <v>0</v>
      </c>
      <c r="AG22" s="27" t="s">
        <v>7</v>
      </c>
      <c r="AM22" s="31">
        <f>F22*AE22</f>
        <v>0</v>
      </c>
      <c r="AN22" s="31">
        <f>F22*AF22</f>
        <v>0</v>
      </c>
      <c r="AO22" s="32" t="s">
        <v>327</v>
      </c>
      <c r="AP22" s="32" t="s">
        <v>342</v>
      </c>
      <c r="AQ22" s="24" t="s">
        <v>345</v>
      </c>
      <c r="AS22" s="31">
        <f>AM22+AN22</f>
        <v>0</v>
      </c>
      <c r="AT22" s="31">
        <f>G22/(100-AU22)*100</f>
        <v>0</v>
      </c>
      <c r="AU22" s="31">
        <v>0</v>
      </c>
      <c r="AV22" s="31">
        <f>L22</f>
        <v>21.608</v>
      </c>
    </row>
    <row r="23" ht="25.5">
      <c r="D23" s="14" t="s">
        <v>190</v>
      </c>
    </row>
    <row r="24" spans="1:48" ht="12.75">
      <c r="A24" s="4" t="s">
        <v>12</v>
      </c>
      <c r="B24" s="4"/>
      <c r="C24" s="4" t="s">
        <v>92</v>
      </c>
      <c r="D24" s="4" t="s">
        <v>191</v>
      </c>
      <c r="E24" s="4" t="s">
        <v>291</v>
      </c>
      <c r="F24" s="16">
        <v>32</v>
      </c>
      <c r="G24" s="16">
        <v>0</v>
      </c>
      <c r="H24" s="16">
        <f>F24*AE24</f>
        <v>0</v>
      </c>
      <c r="I24" s="16">
        <f>J24-H24</f>
        <v>0</v>
      </c>
      <c r="J24" s="16">
        <f>F24*G24</f>
        <v>0</v>
      </c>
      <c r="K24" s="16">
        <v>0.007</v>
      </c>
      <c r="L24" s="16">
        <f>F24*K24</f>
        <v>0.224</v>
      </c>
      <c r="M24" s="27"/>
      <c r="P24" s="31">
        <f>IF(AG24="5",J24,0)</f>
        <v>0</v>
      </c>
      <c r="R24" s="31">
        <f>IF(AG24="1",H24,0)</f>
        <v>0</v>
      </c>
      <c r="S24" s="31">
        <f>IF(AG24="1",I24,0)</f>
        <v>0</v>
      </c>
      <c r="T24" s="31">
        <f>IF(AG24="7",H24,0)</f>
        <v>0</v>
      </c>
      <c r="U24" s="31">
        <f>IF(AG24="7",I24,0)</f>
        <v>0</v>
      </c>
      <c r="V24" s="31">
        <f>IF(AG24="2",H24,0)</f>
        <v>0</v>
      </c>
      <c r="W24" s="31">
        <f>IF(AG24="2",I24,0)</f>
        <v>0</v>
      </c>
      <c r="X24" s="31">
        <f>IF(AG24="0",J24,0)</f>
        <v>0</v>
      </c>
      <c r="Y24" s="24"/>
      <c r="Z24" s="16">
        <f>IF(AD24=0,J24,0)</f>
        <v>0</v>
      </c>
      <c r="AA24" s="16">
        <f>IF(AD24=15,J24,0)</f>
        <v>0</v>
      </c>
      <c r="AB24" s="16">
        <f>IF(AD24=21,J24,0)</f>
        <v>0</v>
      </c>
      <c r="AD24" s="31">
        <v>21</v>
      </c>
      <c r="AE24" s="31">
        <f>G24*0.763267457180501</f>
        <v>0</v>
      </c>
      <c r="AF24" s="31">
        <f>G24*(1-0.763267457180501)</f>
        <v>0</v>
      </c>
      <c r="AG24" s="27" t="s">
        <v>7</v>
      </c>
      <c r="AM24" s="31">
        <f>F24*AE24</f>
        <v>0</v>
      </c>
      <c r="AN24" s="31">
        <f>F24*AF24</f>
        <v>0</v>
      </c>
      <c r="AO24" s="32" t="s">
        <v>327</v>
      </c>
      <c r="AP24" s="32" t="s">
        <v>342</v>
      </c>
      <c r="AQ24" s="24" t="s">
        <v>345</v>
      </c>
      <c r="AS24" s="31">
        <f>AM24+AN24</f>
        <v>0</v>
      </c>
      <c r="AT24" s="31">
        <f>G24/(100-AU24)*100</f>
        <v>0</v>
      </c>
      <c r="AU24" s="31">
        <v>0</v>
      </c>
      <c r="AV24" s="31">
        <f>L24</f>
        <v>0.224</v>
      </c>
    </row>
    <row r="25" ht="12.75">
      <c r="D25" s="14" t="s">
        <v>192</v>
      </c>
    </row>
    <row r="26" spans="1:37" ht="12.75">
      <c r="A26" s="5"/>
      <c r="B26" s="12"/>
      <c r="C26" s="12" t="s">
        <v>93</v>
      </c>
      <c r="D26" s="88" t="s">
        <v>193</v>
      </c>
      <c r="E26" s="89"/>
      <c r="F26" s="89"/>
      <c r="G26" s="89"/>
      <c r="H26" s="34">
        <f>SUM(H27:H44)</f>
        <v>0</v>
      </c>
      <c r="I26" s="34">
        <f>SUM(I27:I44)</f>
        <v>0</v>
      </c>
      <c r="J26" s="34">
        <f>H26+I26</f>
        <v>0</v>
      </c>
      <c r="K26" s="24"/>
      <c r="L26" s="34">
        <f>SUM(L27:L44)</f>
        <v>6.282930000000001</v>
      </c>
      <c r="M26" s="24"/>
      <c r="Y26" s="24"/>
      <c r="AI26" s="34">
        <f>SUM(Z27:Z44)</f>
        <v>0</v>
      </c>
      <c r="AJ26" s="34">
        <f>SUM(AA27:AA44)</f>
        <v>0</v>
      </c>
      <c r="AK26" s="34">
        <f>SUM(AB27:AB44)</f>
        <v>0</v>
      </c>
    </row>
    <row r="27" spans="1:48" ht="12.75">
      <c r="A27" s="4" t="s">
        <v>13</v>
      </c>
      <c r="B27" s="4"/>
      <c r="C27" s="4" t="s">
        <v>94</v>
      </c>
      <c r="D27" s="4" t="s">
        <v>194</v>
      </c>
      <c r="E27" s="4" t="s">
        <v>293</v>
      </c>
      <c r="F27" s="16">
        <v>275</v>
      </c>
      <c r="G27" s="16">
        <v>0</v>
      </c>
      <c r="H27" s="16">
        <f>F27*AE27</f>
        <v>0</v>
      </c>
      <c r="I27" s="16">
        <f>J27-H27</f>
        <v>0</v>
      </c>
      <c r="J27" s="16">
        <f>F27*G27</f>
        <v>0</v>
      </c>
      <c r="K27" s="16">
        <v>0.01492</v>
      </c>
      <c r="L27" s="16">
        <f>F27*K27</f>
        <v>4.103</v>
      </c>
      <c r="M27" s="27" t="s">
        <v>315</v>
      </c>
      <c r="P27" s="31">
        <f>IF(AG27="5",J27,0)</f>
        <v>0</v>
      </c>
      <c r="R27" s="31">
        <f>IF(AG27="1",H27,0)</f>
        <v>0</v>
      </c>
      <c r="S27" s="31">
        <f>IF(AG27="1",I27,0)</f>
        <v>0</v>
      </c>
      <c r="T27" s="31">
        <f>IF(AG27="7",H27,0)</f>
        <v>0</v>
      </c>
      <c r="U27" s="31">
        <f>IF(AG27="7",I27,0)</f>
        <v>0</v>
      </c>
      <c r="V27" s="31">
        <f>IF(AG27="2",H27,0)</f>
        <v>0</v>
      </c>
      <c r="W27" s="31">
        <f>IF(AG27="2",I27,0)</f>
        <v>0</v>
      </c>
      <c r="X27" s="31">
        <f>IF(AG27="0",J27,0)</f>
        <v>0</v>
      </c>
      <c r="Y27" s="24"/>
      <c r="Z27" s="16">
        <f>IF(AD27=0,J27,0)</f>
        <v>0</v>
      </c>
      <c r="AA27" s="16">
        <f>IF(AD27=15,J27,0)</f>
        <v>0</v>
      </c>
      <c r="AB27" s="16">
        <f>IF(AD27=21,J27,0)</f>
        <v>0</v>
      </c>
      <c r="AD27" s="31">
        <v>21</v>
      </c>
      <c r="AE27" s="31">
        <f>G27*0</f>
        <v>0</v>
      </c>
      <c r="AF27" s="31">
        <f>G27*(1-0)</f>
        <v>0</v>
      </c>
      <c r="AG27" s="27" t="s">
        <v>13</v>
      </c>
      <c r="AM27" s="31">
        <f>F27*AE27</f>
        <v>0</v>
      </c>
      <c r="AN27" s="31">
        <f>F27*AF27</f>
        <v>0</v>
      </c>
      <c r="AO27" s="32" t="s">
        <v>328</v>
      </c>
      <c r="AP27" s="32" t="s">
        <v>343</v>
      </c>
      <c r="AQ27" s="24" t="s">
        <v>345</v>
      </c>
      <c r="AS27" s="31">
        <f>AM27+AN27</f>
        <v>0</v>
      </c>
      <c r="AT27" s="31">
        <f>G27/(100-AU27)*100</f>
        <v>0</v>
      </c>
      <c r="AU27" s="31">
        <v>0</v>
      </c>
      <c r="AV27" s="31">
        <f>L27</f>
        <v>4.103</v>
      </c>
    </row>
    <row r="28" spans="1:48" ht="12.75">
      <c r="A28" s="4" t="s">
        <v>14</v>
      </c>
      <c r="B28" s="4"/>
      <c r="C28" s="4" t="s">
        <v>95</v>
      </c>
      <c r="D28" s="4" t="s">
        <v>195</v>
      </c>
      <c r="E28" s="4" t="s">
        <v>293</v>
      </c>
      <c r="F28" s="16">
        <v>105</v>
      </c>
      <c r="G28" s="16">
        <v>0</v>
      </c>
      <c r="H28" s="16">
        <f>F28*AE28</f>
        <v>0</v>
      </c>
      <c r="I28" s="16">
        <f>J28-H28</f>
        <v>0</v>
      </c>
      <c r="J28" s="16">
        <f>F28*G28</f>
        <v>0</v>
      </c>
      <c r="K28" s="16">
        <v>0.00198</v>
      </c>
      <c r="L28" s="16">
        <f>F28*K28</f>
        <v>0.2079</v>
      </c>
      <c r="M28" s="27" t="s">
        <v>315</v>
      </c>
      <c r="P28" s="31">
        <f>IF(AG28="5",J28,0)</f>
        <v>0</v>
      </c>
      <c r="R28" s="31">
        <f>IF(AG28="1",H28,0)</f>
        <v>0</v>
      </c>
      <c r="S28" s="31">
        <f>IF(AG28="1",I28,0)</f>
        <v>0</v>
      </c>
      <c r="T28" s="31">
        <f>IF(AG28="7",H28,0)</f>
        <v>0</v>
      </c>
      <c r="U28" s="31">
        <f>IF(AG28="7",I28,0)</f>
        <v>0</v>
      </c>
      <c r="V28" s="31">
        <f>IF(AG28="2",H28,0)</f>
        <v>0</v>
      </c>
      <c r="W28" s="31">
        <f>IF(AG28="2",I28,0)</f>
        <v>0</v>
      </c>
      <c r="X28" s="31">
        <f>IF(AG28="0",J28,0)</f>
        <v>0</v>
      </c>
      <c r="Y28" s="24"/>
      <c r="Z28" s="16">
        <f>IF(AD28=0,J28,0)</f>
        <v>0</v>
      </c>
      <c r="AA28" s="16">
        <f>IF(AD28=15,J28,0)</f>
        <v>0</v>
      </c>
      <c r="AB28" s="16">
        <f>IF(AD28=21,J28,0)</f>
        <v>0</v>
      </c>
      <c r="AD28" s="31">
        <v>21</v>
      </c>
      <c r="AE28" s="31">
        <f>G28*0</f>
        <v>0</v>
      </c>
      <c r="AF28" s="31">
        <f>G28*(1-0)</f>
        <v>0</v>
      </c>
      <c r="AG28" s="27" t="s">
        <v>13</v>
      </c>
      <c r="AM28" s="31">
        <f>F28*AE28</f>
        <v>0</v>
      </c>
      <c r="AN28" s="31">
        <f>F28*AF28</f>
        <v>0</v>
      </c>
      <c r="AO28" s="32" t="s">
        <v>328</v>
      </c>
      <c r="AP28" s="32" t="s">
        <v>343</v>
      </c>
      <c r="AQ28" s="24" t="s">
        <v>345</v>
      </c>
      <c r="AS28" s="31">
        <f>AM28+AN28</f>
        <v>0</v>
      </c>
      <c r="AT28" s="31">
        <f>G28/(100-AU28)*100</f>
        <v>0</v>
      </c>
      <c r="AU28" s="31">
        <v>0</v>
      </c>
      <c r="AV28" s="31">
        <f>L28</f>
        <v>0.2079</v>
      </c>
    </row>
    <row r="29" spans="1:48" ht="12.75">
      <c r="A29" s="4" t="s">
        <v>15</v>
      </c>
      <c r="B29" s="4"/>
      <c r="C29" s="4" t="s">
        <v>96</v>
      </c>
      <c r="D29" s="4" t="s">
        <v>196</v>
      </c>
      <c r="E29" s="4" t="s">
        <v>292</v>
      </c>
      <c r="F29" s="16">
        <v>21</v>
      </c>
      <c r="G29" s="16">
        <v>0</v>
      </c>
      <c r="H29" s="16">
        <f>F29*AE29</f>
        <v>0</v>
      </c>
      <c r="I29" s="16">
        <f>J29-H29</f>
        <v>0</v>
      </c>
      <c r="J29" s="16">
        <f>F29*G29</f>
        <v>0</v>
      </c>
      <c r="K29" s="16">
        <v>0.00278</v>
      </c>
      <c r="L29" s="16">
        <f>F29*K29</f>
        <v>0.05838</v>
      </c>
      <c r="M29" s="27" t="s">
        <v>315</v>
      </c>
      <c r="P29" s="31">
        <f>IF(AG29="5",J29,0)</f>
        <v>0</v>
      </c>
      <c r="R29" s="31">
        <f>IF(AG29="1",H29,0)</f>
        <v>0</v>
      </c>
      <c r="S29" s="31">
        <f>IF(AG29="1",I29,0)</f>
        <v>0</v>
      </c>
      <c r="T29" s="31">
        <f>IF(AG29="7",H29,0)</f>
        <v>0</v>
      </c>
      <c r="U29" s="31">
        <f>IF(AG29="7",I29,0)</f>
        <v>0</v>
      </c>
      <c r="V29" s="31">
        <f>IF(AG29="2",H29,0)</f>
        <v>0</v>
      </c>
      <c r="W29" s="31">
        <f>IF(AG29="2",I29,0)</f>
        <v>0</v>
      </c>
      <c r="X29" s="31">
        <f>IF(AG29="0",J29,0)</f>
        <v>0</v>
      </c>
      <c r="Y29" s="24"/>
      <c r="Z29" s="16">
        <f>IF(AD29=0,J29,0)</f>
        <v>0</v>
      </c>
      <c r="AA29" s="16">
        <f>IF(AD29=15,J29,0)</f>
        <v>0</v>
      </c>
      <c r="AB29" s="16">
        <f>IF(AD29=21,J29,0)</f>
        <v>0</v>
      </c>
      <c r="AD29" s="31">
        <v>21</v>
      </c>
      <c r="AE29" s="31">
        <f>G29*0.200288713910761</f>
        <v>0</v>
      </c>
      <c r="AF29" s="31">
        <f>G29*(1-0.200288713910761)</f>
        <v>0</v>
      </c>
      <c r="AG29" s="27" t="s">
        <v>13</v>
      </c>
      <c r="AM29" s="31">
        <f>F29*AE29</f>
        <v>0</v>
      </c>
      <c r="AN29" s="31">
        <f>F29*AF29</f>
        <v>0</v>
      </c>
      <c r="AO29" s="32" t="s">
        <v>328</v>
      </c>
      <c r="AP29" s="32" t="s">
        <v>343</v>
      </c>
      <c r="AQ29" s="24" t="s">
        <v>345</v>
      </c>
      <c r="AS29" s="31">
        <f>AM29+AN29</f>
        <v>0</v>
      </c>
      <c r="AT29" s="31">
        <f>G29/(100-AU29)*100</f>
        <v>0</v>
      </c>
      <c r="AU29" s="31">
        <v>0</v>
      </c>
      <c r="AV29" s="31">
        <f>L29</f>
        <v>0.05838</v>
      </c>
    </row>
    <row r="30" ht="25.5">
      <c r="D30" s="14" t="s">
        <v>197</v>
      </c>
    </row>
    <row r="31" spans="1:48" ht="12.75">
      <c r="A31" s="4" t="s">
        <v>16</v>
      </c>
      <c r="B31" s="4"/>
      <c r="C31" s="4" t="s">
        <v>97</v>
      </c>
      <c r="D31" s="4" t="s">
        <v>198</v>
      </c>
      <c r="E31" s="4" t="s">
        <v>292</v>
      </c>
      <c r="F31" s="16">
        <v>105</v>
      </c>
      <c r="G31" s="16">
        <v>0</v>
      </c>
      <c r="H31" s="16">
        <f>F31*AE31</f>
        <v>0</v>
      </c>
      <c r="I31" s="16">
        <f>J31-H31</f>
        <v>0</v>
      </c>
      <c r="J31" s="16">
        <f>F31*G31</f>
        <v>0</v>
      </c>
      <c r="K31" s="16">
        <v>0.00675</v>
      </c>
      <c r="L31" s="16">
        <f>F31*K31</f>
        <v>0.70875</v>
      </c>
      <c r="M31" s="27" t="s">
        <v>315</v>
      </c>
      <c r="P31" s="31">
        <f>IF(AG31="5",J31,0)</f>
        <v>0</v>
      </c>
      <c r="R31" s="31">
        <f>IF(AG31="1",H31,0)</f>
        <v>0</v>
      </c>
      <c r="S31" s="31">
        <f>IF(AG31="1",I31,0)</f>
        <v>0</v>
      </c>
      <c r="T31" s="31">
        <f>IF(AG31="7",H31,0)</f>
        <v>0</v>
      </c>
      <c r="U31" s="31">
        <f>IF(AG31="7",I31,0)</f>
        <v>0</v>
      </c>
      <c r="V31" s="31">
        <f>IF(AG31="2",H31,0)</f>
        <v>0</v>
      </c>
      <c r="W31" s="31">
        <f>IF(AG31="2",I31,0)</f>
        <v>0</v>
      </c>
      <c r="X31" s="31">
        <f>IF(AG31="0",J31,0)</f>
        <v>0</v>
      </c>
      <c r="Y31" s="24"/>
      <c r="Z31" s="16">
        <f>IF(AD31=0,J31,0)</f>
        <v>0</v>
      </c>
      <c r="AA31" s="16">
        <f>IF(AD31=15,J31,0)</f>
        <v>0</v>
      </c>
      <c r="AB31" s="16">
        <f>IF(AD31=21,J31,0)</f>
        <v>0</v>
      </c>
      <c r="AD31" s="31">
        <v>21</v>
      </c>
      <c r="AE31" s="31">
        <f>G31*0.249049773755656</f>
        <v>0</v>
      </c>
      <c r="AF31" s="31">
        <f>G31*(1-0.249049773755656)</f>
        <v>0</v>
      </c>
      <c r="AG31" s="27" t="s">
        <v>13</v>
      </c>
      <c r="AM31" s="31">
        <f>F31*AE31</f>
        <v>0</v>
      </c>
      <c r="AN31" s="31">
        <f>F31*AF31</f>
        <v>0</v>
      </c>
      <c r="AO31" s="32" t="s">
        <v>328</v>
      </c>
      <c r="AP31" s="32" t="s">
        <v>343</v>
      </c>
      <c r="AQ31" s="24" t="s">
        <v>345</v>
      </c>
      <c r="AS31" s="31">
        <f>AM31+AN31</f>
        <v>0</v>
      </c>
      <c r="AT31" s="31">
        <f>G31/(100-AU31)*100</f>
        <v>0</v>
      </c>
      <c r="AU31" s="31">
        <v>0</v>
      </c>
      <c r="AV31" s="31">
        <f>L31</f>
        <v>0.70875</v>
      </c>
    </row>
    <row r="32" ht="12.75">
      <c r="D32" s="14" t="s">
        <v>199</v>
      </c>
    </row>
    <row r="33" spans="1:48" ht="12.75">
      <c r="A33" s="4" t="s">
        <v>17</v>
      </c>
      <c r="B33" s="4"/>
      <c r="C33" s="4" t="s">
        <v>98</v>
      </c>
      <c r="D33" s="4" t="s">
        <v>200</v>
      </c>
      <c r="E33" s="4" t="s">
        <v>293</v>
      </c>
      <c r="F33" s="16">
        <v>33</v>
      </c>
      <c r="G33" s="16">
        <v>0</v>
      </c>
      <c r="H33" s="16">
        <f>F33*AE33</f>
        <v>0</v>
      </c>
      <c r="I33" s="16">
        <f>J33-H33</f>
        <v>0</v>
      </c>
      <c r="J33" s="16">
        <f>F33*G33</f>
        <v>0</v>
      </c>
      <c r="K33" s="16">
        <v>0.001</v>
      </c>
      <c r="L33" s="16">
        <f>F33*K33</f>
        <v>0.033</v>
      </c>
      <c r="M33" s="27" t="s">
        <v>315</v>
      </c>
      <c r="P33" s="31">
        <f>IF(AG33="5",J33,0)</f>
        <v>0</v>
      </c>
      <c r="R33" s="31">
        <f>IF(AG33="1",H33,0)</f>
        <v>0</v>
      </c>
      <c r="S33" s="31">
        <f>IF(AG33="1",I33,0)</f>
        <v>0</v>
      </c>
      <c r="T33" s="31">
        <f>IF(AG33="7",H33,0)</f>
        <v>0</v>
      </c>
      <c r="U33" s="31">
        <f>IF(AG33="7",I33,0)</f>
        <v>0</v>
      </c>
      <c r="V33" s="31">
        <f>IF(AG33="2",H33,0)</f>
        <v>0</v>
      </c>
      <c r="W33" s="31">
        <f>IF(AG33="2",I33,0)</f>
        <v>0</v>
      </c>
      <c r="X33" s="31">
        <f>IF(AG33="0",J33,0)</f>
        <v>0</v>
      </c>
      <c r="Y33" s="24"/>
      <c r="Z33" s="16">
        <f>IF(AD33=0,J33,0)</f>
        <v>0</v>
      </c>
      <c r="AA33" s="16">
        <f>IF(AD33=15,J33,0)</f>
        <v>0</v>
      </c>
      <c r="AB33" s="16">
        <f>IF(AD33=21,J33,0)</f>
        <v>0</v>
      </c>
      <c r="AD33" s="31">
        <v>21</v>
      </c>
      <c r="AE33" s="31">
        <f>G33*0.361111111111111</f>
        <v>0</v>
      </c>
      <c r="AF33" s="31">
        <f>G33*(1-0.361111111111111)</f>
        <v>0</v>
      </c>
      <c r="AG33" s="27" t="s">
        <v>13</v>
      </c>
      <c r="AM33" s="31">
        <f>F33*AE33</f>
        <v>0</v>
      </c>
      <c r="AN33" s="31">
        <f>F33*AF33</f>
        <v>0</v>
      </c>
      <c r="AO33" s="32" t="s">
        <v>328</v>
      </c>
      <c r="AP33" s="32" t="s">
        <v>343</v>
      </c>
      <c r="AQ33" s="24" t="s">
        <v>345</v>
      </c>
      <c r="AS33" s="31">
        <f>AM33+AN33</f>
        <v>0</v>
      </c>
      <c r="AT33" s="31">
        <f>G33/(100-AU33)*100</f>
        <v>0</v>
      </c>
      <c r="AU33" s="31">
        <v>0</v>
      </c>
      <c r="AV33" s="31">
        <f>L33</f>
        <v>0.033</v>
      </c>
    </row>
    <row r="34" ht="12.75">
      <c r="D34" s="14" t="s">
        <v>201</v>
      </c>
    </row>
    <row r="35" spans="1:48" ht="12.75">
      <c r="A35" s="4" t="s">
        <v>18</v>
      </c>
      <c r="B35" s="4"/>
      <c r="C35" s="4" t="s">
        <v>99</v>
      </c>
      <c r="D35" s="4" t="s">
        <v>202</v>
      </c>
      <c r="E35" s="4" t="s">
        <v>293</v>
      </c>
      <c r="F35" s="16">
        <v>330</v>
      </c>
      <c r="G35" s="16">
        <v>0</v>
      </c>
      <c r="H35" s="16">
        <f aca="true" t="shared" si="0" ref="H35:H41">F35*AE35</f>
        <v>0</v>
      </c>
      <c r="I35" s="16">
        <f aca="true" t="shared" si="1" ref="I35:I41">J35-H35</f>
        <v>0</v>
      </c>
      <c r="J35" s="16">
        <f aca="true" t="shared" si="2" ref="J35:J41">F35*G35</f>
        <v>0</v>
      </c>
      <c r="K35" s="16">
        <v>0.00308</v>
      </c>
      <c r="L35" s="16">
        <f aca="true" t="shared" si="3" ref="L35:L41">F35*K35</f>
        <v>1.0164</v>
      </c>
      <c r="M35" s="27" t="s">
        <v>315</v>
      </c>
      <c r="P35" s="31">
        <f aca="true" t="shared" si="4" ref="P35:P41">IF(AG35="5",J35,0)</f>
        <v>0</v>
      </c>
      <c r="R35" s="31">
        <f aca="true" t="shared" si="5" ref="R35:R41">IF(AG35="1",H35,0)</f>
        <v>0</v>
      </c>
      <c r="S35" s="31">
        <f aca="true" t="shared" si="6" ref="S35:S41">IF(AG35="1",I35,0)</f>
        <v>0</v>
      </c>
      <c r="T35" s="31">
        <f aca="true" t="shared" si="7" ref="T35:T41">IF(AG35="7",H35,0)</f>
        <v>0</v>
      </c>
      <c r="U35" s="31">
        <f aca="true" t="shared" si="8" ref="U35:U41">IF(AG35="7",I35,0)</f>
        <v>0</v>
      </c>
      <c r="V35" s="31">
        <f aca="true" t="shared" si="9" ref="V35:V41">IF(AG35="2",H35,0)</f>
        <v>0</v>
      </c>
      <c r="W35" s="31">
        <f aca="true" t="shared" si="10" ref="W35:W41">IF(AG35="2",I35,0)</f>
        <v>0</v>
      </c>
      <c r="X35" s="31">
        <f aca="true" t="shared" si="11" ref="X35:X41">IF(AG35="0",J35,0)</f>
        <v>0</v>
      </c>
      <c r="Y35" s="24"/>
      <c r="Z35" s="16">
        <f aca="true" t="shared" si="12" ref="Z35:Z41">IF(AD35=0,J35,0)</f>
        <v>0</v>
      </c>
      <c r="AA35" s="16">
        <f aca="true" t="shared" si="13" ref="AA35:AA41">IF(AD35=15,J35,0)</f>
        <v>0</v>
      </c>
      <c r="AB35" s="16">
        <f aca="true" t="shared" si="14" ref="AB35:AB41">IF(AD35=21,J35,0)</f>
        <v>0</v>
      </c>
      <c r="AD35" s="31">
        <v>21</v>
      </c>
      <c r="AE35" s="31">
        <f>G35*0.773958762886598</f>
        <v>0</v>
      </c>
      <c r="AF35" s="31">
        <f>G35*(1-0.773958762886598)</f>
        <v>0</v>
      </c>
      <c r="AG35" s="27" t="s">
        <v>13</v>
      </c>
      <c r="AM35" s="31">
        <f aca="true" t="shared" si="15" ref="AM35:AM41">F35*AE35</f>
        <v>0</v>
      </c>
      <c r="AN35" s="31">
        <f aca="true" t="shared" si="16" ref="AN35:AN41">F35*AF35</f>
        <v>0</v>
      </c>
      <c r="AO35" s="32" t="s">
        <v>328</v>
      </c>
      <c r="AP35" s="32" t="s">
        <v>343</v>
      </c>
      <c r="AQ35" s="24" t="s">
        <v>345</v>
      </c>
      <c r="AS35" s="31">
        <f aca="true" t="shared" si="17" ref="AS35:AS41">AM35+AN35</f>
        <v>0</v>
      </c>
      <c r="AT35" s="31">
        <f aca="true" t="shared" si="18" ref="AT35:AT41">G35/(100-AU35)*100</f>
        <v>0</v>
      </c>
      <c r="AU35" s="31">
        <v>0</v>
      </c>
      <c r="AV35" s="31">
        <f aca="true" t="shared" si="19" ref="AV35:AV41">L35</f>
        <v>1.0164</v>
      </c>
    </row>
    <row r="36" spans="1:48" ht="12.75">
      <c r="A36" s="4" t="s">
        <v>19</v>
      </c>
      <c r="B36" s="4"/>
      <c r="C36" s="4" t="s">
        <v>100</v>
      </c>
      <c r="D36" s="4" t="s">
        <v>203</v>
      </c>
      <c r="E36" s="4" t="s">
        <v>293</v>
      </c>
      <c r="F36" s="16">
        <v>8</v>
      </c>
      <c r="G36" s="16">
        <v>0</v>
      </c>
      <c r="H36" s="16">
        <f t="shared" si="0"/>
        <v>0</v>
      </c>
      <c r="I36" s="16">
        <f t="shared" si="1"/>
        <v>0</v>
      </c>
      <c r="J36" s="16">
        <f t="shared" si="2"/>
        <v>0</v>
      </c>
      <c r="K36" s="16">
        <v>0.0038</v>
      </c>
      <c r="L36" s="16">
        <f t="shared" si="3"/>
        <v>0.0304</v>
      </c>
      <c r="M36" s="27" t="s">
        <v>315</v>
      </c>
      <c r="P36" s="31">
        <f t="shared" si="4"/>
        <v>0</v>
      </c>
      <c r="R36" s="31">
        <f t="shared" si="5"/>
        <v>0</v>
      </c>
      <c r="S36" s="31">
        <f t="shared" si="6"/>
        <v>0</v>
      </c>
      <c r="T36" s="31">
        <f t="shared" si="7"/>
        <v>0</v>
      </c>
      <c r="U36" s="31">
        <f t="shared" si="8"/>
        <v>0</v>
      </c>
      <c r="V36" s="31">
        <f t="shared" si="9"/>
        <v>0</v>
      </c>
      <c r="W36" s="31">
        <f t="shared" si="10"/>
        <v>0</v>
      </c>
      <c r="X36" s="31">
        <f t="shared" si="11"/>
        <v>0</v>
      </c>
      <c r="Y36" s="24"/>
      <c r="Z36" s="16">
        <f t="shared" si="12"/>
        <v>0</v>
      </c>
      <c r="AA36" s="16">
        <f t="shared" si="13"/>
        <v>0</v>
      </c>
      <c r="AB36" s="16">
        <f t="shared" si="14"/>
        <v>0</v>
      </c>
      <c r="AD36" s="31">
        <v>21</v>
      </c>
      <c r="AE36" s="31">
        <f>G36*0.851063614108536</f>
        <v>0</v>
      </c>
      <c r="AF36" s="31">
        <f>G36*(1-0.851063614108536)</f>
        <v>0</v>
      </c>
      <c r="AG36" s="27" t="s">
        <v>13</v>
      </c>
      <c r="AM36" s="31">
        <f t="shared" si="15"/>
        <v>0</v>
      </c>
      <c r="AN36" s="31">
        <f t="shared" si="16"/>
        <v>0</v>
      </c>
      <c r="AO36" s="32" t="s">
        <v>328</v>
      </c>
      <c r="AP36" s="32" t="s">
        <v>343</v>
      </c>
      <c r="AQ36" s="24" t="s">
        <v>345</v>
      </c>
      <c r="AS36" s="31">
        <f t="shared" si="17"/>
        <v>0</v>
      </c>
      <c r="AT36" s="31">
        <f t="shared" si="18"/>
        <v>0</v>
      </c>
      <c r="AU36" s="31">
        <v>0</v>
      </c>
      <c r="AV36" s="31">
        <f t="shared" si="19"/>
        <v>0.0304</v>
      </c>
    </row>
    <row r="37" spans="1:48" ht="12.75">
      <c r="A37" s="4" t="s">
        <v>20</v>
      </c>
      <c r="B37" s="4"/>
      <c r="C37" s="4" t="s">
        <v>101</v>
      </c>
      <c r="D37" s="4" t="s">
        <v>204</v>
      </c>
      <c r="E37" s="4" t="s">
        <v>293</v>
      </c>
      <c r="F37" s="16">
        <v>6</v>
      </c>
      <c r="G37" s="16">
        <v>0</v>
      </c>
      <c r="H37" s="16">
        <f t="shared" si="0"/>
        <v>0</v>
      </c>
      <c r="I37" s="16">
        <f t="shared" si="1"/>
        <v>0</v>
      </c>
      <c r="J37" s="16">
        <f t="shared" si="2"/>
        <v>0</v>
      </c>
      <c r="K37" s="16">
        <v>0.00465</v>
      </c>
      <c r="L37" s="16">
        <f t="shared" si="3"/>
        <v>0.027899999999999998</v>
      </c>
      <c r="M37" s="27" t="s">
        <v>315</v>
      </c>
      <c r="P37" s="31">
        <f t="shared" si="4"/>
        <v>0</v>
      </c>
      <c r="R37" s="31">
        <f t="shared" si="5"/>
        <v>0</v>
      </c>
      <c r="S37" s="31">
        <f t="shared" si="6"/>
        <v>0</v>
      </c>
      <c r="T37" s="31">
        <f t="shared" si="7"/>
        <v>0</v>
      </c>
      <c r="U37" s="31">
        <f t="shared" si="8"/>
        <v>0</v>
      </c>
      <c r="V37" s="31">
        <f t="shared" si="9"/>
        <v>0</v>
      </c>
      <c r="W37" s="31">
        <f t="shared" si="10"/>
        <v>0</v>
      </c>
      <c r="X37" s="31">
        <f t="shared" si="11"/>
        <v>0</v>
      </c>
      <c r="Y37" s="24"/>
      <c r="Z37" s="16">
        <f t="shared" si="12"/>
        <v>0</v>
      </c>
      <c r="AA37" s="16">
        <f t="shared" si="13"/>
        <v>0</v>
      </c>
      <c r="AB37" s="16">
        <f t="shared" si="14"/>
        <v>0</v>
      </c>
      <c r="AD37" s="31">
        <v>21</v>
      </c>
      <c r="AE37" s="31">
        <f>G37*0.656620739666425</f>
        <v>0</v>
      </c>
      <c r="AF37" s="31">
        <f>G37*(1-0.656620739666425)</f>
        <v>0</v>
      </c>
      <c r="AG37" s="27" t="s">
        <v>13</v>
      </c>
      <c r="AM37" s="31">
        <f t="shared" si="15"/>
        <v>0</v>
      </c>
      <c r="AN37" s="31">
        <f t="shared" si="16"/>
        <v>0</v>
      </c>
      <c r="AO37" s="32" t="s">
        <v>328</v>
      </c>
      <c r="AP37" s="32" t="s">
        <v>343</v>
      </c>
      <c r="AQ37" s="24" t="s">
        <v>345</v>
      </c>
      <c r="AS37" s="31">
        <f t="shared" si="17"/>
        <v>0</v>
      </c>
      <c r="AT37" s="31">
        <f t="shared" si="18"/>
        <v>0</v>
      </c>
      <c r="AU37" s="31">
        <v>0</v>
      </c>
      <c r="AV37" s="31">
        <f t="shared" si="19"/>
        <v>0.027899999999999998</v>
      </c>
    </row>
    <row r="38" spans="1:48" ht="12.75">
      <c r="A38" s="4" t="s">
        <v>21</v>
      </c>
      <c r="B38" s="4"/>
      <c r="C38" s="4" t="s">
        <v>102</v>
      </c>
      <c r="D38" s="4" t="s">
        <v>205</v>
      </c>
      <c r="E38" s="4" t="s">
        <v>293</v>
      </c>
      <c r="F38" s="16">
        <v>70</v>
      </c>
      <c r="G38" s="16">
        <v>0</v>
      </c>
      <c r="H38" s="16">
        <f t="shared" si="0"/>
        <v>0</v>
      </c>
      <c r="I38" s="16">
        <f t="shared" si="1"/>
        <v>0</v>
      </c>
      <c r="J38" s="16">
        <f t="shared" si="2"/>
        <v>0</v>
      </c>
      <c r="K38" s="16">
        <v>0.00047</v>
      </c>
      <c r="L38" s="16">
        <f t="shared" si="3"/>
        <v>0.0329</v>
      </c>
      <c r="M38" s="27" t="s">
        <v>315</v>
      </c>
      <c r="P38" s="31">
        <f t="shared" si="4"/>
        <v>0</v>
      </c>
      <c r="R38" s="31">
        <f t="shared" si="5"/>
        <v>0</v>
      </c>
      <c r="S38" s="31">
        <f t="shared" si="6"/>
        <v>0</v>
      </c>
      <c r="T38" s="31">
        <f t="shared" si="7"/>
        <v>0</v>
      </c>
      <c r="U38" s="31">
        <f t="shared" si="8"/>
        <v>0</v>
      </c>
      <c r="V38" s="31">
        <f t="shared" si="9"/>
        <v>0</v>
      </c>
      <c r="W38" s="31">
        <f t="shared" si="10"/>
        <v>0</v>
      </c>
      <c r="X38" s="31">
        <f t="shared" si="11"/>
        <v>0</v>
      </c>
      <c r="Y38" s="24"/>
      <c r="Z38" s="16">
        <f t="shared" si="12"/>
        <v>0</v>
      </c>
      <c r="AA38" s="16">
        <f t="shared" si="13"/>
        <v>0</v>
      </c>
      <c r="AB38" s="16">
        <f t="shared" si="14"/>
        <v>0</v>
      </c>
      <c r="AD38" s="31">
        <v>21</v>
      </c>
      <c r="AE38" s="31">
        <f>G38*0.331335012594458</f>
        <v>0</v>
      </c>
      <c r="AF38" s="31">
        <f>G38*(1-0.331335012594458)</f>
        <v>0</v>
      </c>
      <c r="AG38" s="27" t="s">
        <v>13</v>
      </c>
      <c r="AM38" s="31">
        <f t="shared" si="15"/>
        <v>0</v>
      </c>
      <c r="AN38" s="31">
        <f t="shared" si="16"/>
        <v>0</v>
      </c>
      <c r="AO38" s="32" t="s">
        <v>328</v>
      </c>
      <c r="AP38" s="32" t="s">
        <v>343</v>
      </c>
      <c r="AQ38" s="24" t="s">
        <v>345</v>
      </c>
      <c r="AS38" s="31">
        <f t="shared" si="17"/>
        <v>0</v>
      </c>
      <c r="AT38" s="31">
        <f t="shared" si="18"/>
        <v>0</v>
      </c>
      <c r="AU38" s="31">
        <v>0</v>
      </c>
      <c r="AV38" s="31">
        <f t="shared" si="19"/>
        <v>0.0329</v>
      </c>
    </row>
    <row r="39" spans="1:48" ht="12.75">
      <c r="A39" s="4" t="s">
        <v>22</v>
      </c>
      <c r="B39" s="4"/>
      <c r="C39" s="4" t="s">
        <v>103</v>
      </c>
      <c r="D39" s="4" t="s">
        <v>206</v>
      </c>
      <c r="E39" s="4" t="s">
        <v>293</v>
      </c>
      <c r="F39" s="16">
        <v>35</v>
      </c>
      <c r="G39" s="16">
        <v>0</v>
      </c>
      <c r="H39" s="16">
        <f t="shared" si="0"/>
        <v>0</v>
      </c>
      <c r="I39" s="16">
        <f t="shared" si="1"/>
        <v>0</v>
      </c>
      <c r="J39" s="16">
        <f t="shared" si="2"/>
        <v>0</v>
      </c>
      <c r="K39" s="16">
        <v>0.00152</v>
      </c>
      <c r="L39" s="16">
        <f t="shared" si="3"/>
        <v>0.053200000000000004</v>
      </c>
      <c r="M39" s="27" t="s">
        <v>315</v>
      </c>
      <c r="P39" s="31">
        <f t="shared" si="4"/>
        <v>0</v>
      </c>
      <c r="R39" s="31">
        <f t="shared" si="5"/>
        <v>0</v>
      </c>
      <c r="S39" s="31">
        <f t="shared" si="6"/>
        <v>0</v>
      </c>
      <c r="T39" s="31">
        <f t="shared" si="7"/>
        <v>0</v>
      </c>
      <c r="U39" s="31">
        <f t="shared" si="8"/>
        <v>0</v>
      </c>
      <c r="V39" s="31">
        <f t="shared" si="9"/>
        <v>0</v>
      </c>
      <c r="W39" s="31">
        <f t="shared" si="10"/>
        <v>0</v>
      </c>
      <c r="X39" s="31">
        <f t="shared" si="11"/>
        <v>0</v>
      </c>
      <c r="Y39" s="24"/>
      <c r="Z39" s="16">
        <f t="shared" si="12"/>
        <v>0</v>
      </c>
      <c r="AA39" s="16">
        <f t="shared" si="13"/>
        <v>0</v>
      </c>
      <c r="AB39" s="16">
        <f t="shared" si="14"/>
        <v>0</v>
      </c>
      <c r="AD39" s="31">
        <v>21</v>
      </c>
      <c r="AE39" s="31">
        <f>G39*0.315894071071434</f>
        <v>0</v>
      </c>
      <c r="AF39" s="31">
        <f>G39*(1-0.315894071071434)</f>
        <v>0</v>
      </c>
      <c r="AG39" s="27" t="s">
        <v>13</v>
      </c>
      <c r="AM39" s="31">
        <f t="shared" si="15"/>
        <v>0</v>
      </c>
      <c r="AN39" s="31">
        <f t="shared" si="16"/>
        <v>0</v>
      </c>
      <c r="AO39" s="32" t="s">
        <v>328</v>
      </c>
      <c r="AP39" s="32" t="s">
        <v>343</v>
      </c>
      <c r="AQ39" s="24" t="s">
        <v>345</v>
      </c>
      <c r="AS39" s="31">
        <f t="shared" si="17"/>
        <v>0</v>
      </c>
      <c r="AT39" s="31">
        <f t="shared" si="18"/>
        <v>0</v>
      </c>
      <c r="AU39" s="31">
        <v>0</v>
      </c>
      <c r="AV39" s="31">
        <f t="shared" si="19"/>
        <v>0.053200000000000004</v>
      </c>
    </row>
    <row r="40" spans="1:48" ht="12.75">
      <c r="A40" s="4" t="s">
        <v>23</v>
      </c>
      <c r="B40" s="4"/>
      <c r="C40" s="4" t="s">
        <v>104</v>
      </c>
      <c r="D40" s="4" t="s">
        <v>207</v>
      </c>
      <c r="E40" s="4" t="s">
        <v>292</v>
      </c>
      <c r="F40" s="16">
        <v>17</v>
      </c>
      <c r="G40" s="16">
        <v>0</v>
      </c>
      <c r="H40" s="16">
        <f t="shared" si="0"/>
        <v>0</v>
      </c>
      <c r="I40" s="16">
        <f t="shared" si="1"/>
        <v>0</v>
      </c>
      <c r="J40" s="16">
        <f t="shared" si="2"/>
        <v>0</v>
      </c>
      <c r="K40" s="16">
        <v>0.00055</v>
      </c>
      <c r="L40" s="16">
        <f t="shared" si="3"/>
        <v>0.00935</v>
      </c>
      <c r="M40" s="27" t="s">
        <v>315</v>
      </c>
      <c r="P40" s="31">
        <f t="shared" si="4"/>
        <v>0</v>
      </c>
      <c r="R40" s="31">
        <f t="shared" si="5"/>
        <v>0</v>
      </c>
      <c r="S40" s="31">
        <f t="shared" si="6"/>
        <v>0</v>
      </c>
      <c r="T40" s="31">
        <f t="shared" si="7"/>
        <v>0</v>
      </c>
      <c r="U40" s="31">
        <f t="shared" si="8"/>
        <v>0</v>
      </c>
      <c r="V40" s="31">
        <f t="shared" si="9"/>
        <v>0</v>
      </c>
      <c r="W40" s="31">
        <f t="shared" si="10"/>
        <v>0</v>
      </c>
      <c r="X40" s="31">
        <f t="shared" si="11"/>
        <v>0</v>
      </c>
      <c r="Y40" s="24"/>
      <c r="Z40" s="16">
        <f t="shared" si="12"/>
        <v>0</v>
      </c>
      <c r="AA40" s="16">
        <f t="shared" si="13"/>
        <v>0</v>
      </c>
      <c r="AB40" s="16">
        <f t="shared" si="14"/>
        <v>0</v>
      </c>
      <c r="AD40" s="31">
        <v>21</v>
      </c>
      <c r="AE40" s="31">
        <f>G40*0.808474576271186</f>
        <v>0</v>
      </c>
      <c r="AF40" s="31">
        <f>G40*(1-0.808474576271186)</f>
        <v>0</v>
      </c>
      <c r="AG40" s="27" t="s">
        <v>13</v>
      </c>
      <c r="AM40" s="31">
        <f t="shared" si="15"/>
        <v>0</v>
      </c>
      <c r="AN40" s="31">
        <f t="shared" si="16"/>
        <v>0</v>
      </c>
      <c r="AO40" s="32" t="s">
        <v>328</v>
      </c>
      <c r="AP40" s="32" t="s">
        <v>343</v>
      </c>
      <c r="AQ40" s="24" t="s">
        <v>345</v>
      </c>
      <c r="AS40" s="31">
        <f t="shared" si="17"/>
        <v>0</v>
      </c>
      <c r="AT40" s="31">
        <f t="shared" si="18"/>
        <v>0</v>
      </c>
      <c r="AU40" s="31">
        <v>0</v>
      </c>
      <c r="AV40" s="31">
        <f t="shared" si="19"/>
        <v>0.00935</v>
      </c>
    </row>
    <row r="41" spans="1:48" ht="12.75">
      <c r="A41" s="4" t="s">
        <v>24</v>
      </c>
      <c r="B41" s="4"/>
      <c r="C41" s="4" t="s">
        <v>105</v>
      </c>
      <c r="D41" s="4" t="s">
        <v>208</v>
      </c>
      <c r="E41" s="4" t="s">
        <v>292</v>
      </c>
      <c r="F41" s="16">
        <v>1</v>
      </c>
      <c r="G41" s="16">
        <v>0</v>
      </c>
      <c r="H41" s="16">
        <f t="shared" si="0"/>
        <v>0</v>
      </c>
      <c r="I41" s="16">
        <f t="shared" si="1"/>
        <v>0</v>
      </c>
      <c r="J41" s="16">
        <f t="shared" si="2"/>
        <v>0</v>
      </c>
      <c r="K41" s="16">
        <v>0.00175</v>
      </c>
      <c r="L41" s="16">
        <f t="shared" si="3"/>
        <v>0.00175</v>
      </c>
      <c r="M41" s="27" t="s">
        <v>315</v>
      </c>
      <c r="P41" s="31">
        <f t="shared" si="4"/>
        <v>0</v>
      </c>
      <c r="R41" s="31">
        <f t="shared" si="5"/>
        <v>0</v>
      </c>
      <c r="S41" s="31">
        <f t="shared" si="6"/>
        <v>0</v>
      </c>
      <c r="T41" s="31">
        <f t="shared" si="7"/>
        <v>0</v>
      </c>
      <c r="U41" s="31">
        <f t="shared" si="8"/>
        <v>0</v>
      </c>
      <c r="V41" s="31">
        <f t="shared" si="9"/>
        <v>0</v>
      </c>
      <c r="W41" s="31">
        <f t="shared" si="10"/>
        <v>0</v>
      </c>
      <c r="X41" s="31">
        <f t="shared" si="11"/>
        <v>0</v>
      </c>
      <c r="Y41" s="24"/>
      <c r="Z41" s="16">
        <f t="shared" si="12"/>
        <v>0</v>
      </c>
      <c r="AA41" s="16">
        <f t="shared" si="13"/>
        <v>0</v>
      </c>
      <c r="AB41" s="16">
        <f t="shared" si="14"/>
        <v>0</v>
      </c>
      <c r="AD41" s="31">
        <v>21</v>
      </c>
      <c r="AE41" s="31">
        <f>G41*0.969362962962963</f>
        <v>0</v>
      </c>
      <c r="AF41" s="31">
        <f>G41*(1-0.969362962962963)</f>
        <v>0</v>
      </c>
      <c r="AG41" s="27" t="s">
        <v>13</v>
      </c>
      <c r="AM41" s="31">
        <f t="shared" si="15"/>
        <v>0</v>
      </c>
      <c r="AN41" s="31">
        <f t="shared" si="16"/>
        <v>0</v>
      </c>
      <c r="AO41" s="32" t="s">
        <v>328</v>
      </c>
      <c r="AP41" s="32" t="s">
        <v>343</v>
      </c>
      <c r="AQ41" s="24" t="s">
        <v>345</v>
      </c>
      <c r="AS41" s="31">
        <f t="shared" si="17"/>
        <v>0</v>
      </c>
      <c r="AT41" s="31">
        <f t="shared" si="18"/>
        <v>0</v>
      </c>
      <c r="AU41" s="31">
        <v>0</v>
      </c>
      <c r="AV41" s="31">
        <f t="shared" si="19"/>
        <v>0.00175</v>
      </c>
    </row>
    <row r="42" ht="12.75">
      <c r="D42" s="14" t="s">
        <v>209</v>
      </c>
    </row>
    <row r="43" spans="1:48" ht="12.75">
      <c r="A43" s="4" t="s">
        <v>25</v>
      </c>
      <c r="B43" s="4"/>
      <c r="C43" s="4" t="s">
        <v>106</v>
      </c>
      <c r="D43" s="4" t="s">
        <v>210</v>
      </c>
      <c r="E43" s="4" t="s">
        <v>293</v>
      </c>
      <c r="F43" s="16">
        <v>449</v>
      </c>
      <c r="G43" s="16">
        <v>0</v>
      </c>
      <c r="H43" s="16">
        <f>F43*AE43</f>
        <v>0</v>
      </c>
      <c r="I43" s="16">
        <f>J43-H43</f>
        <v>0</v>
      </c>
      <c r="J43" s="16">
        <f>F43*G43</f>
        <v>0</v>
      </c>
      <c r="K43" s="16">
        <v>0</v>
      </c>
      <c r="L43" s="16">
        <f>F43*K43</f>
        <v>0</v>
      </c>
      <c r="M43" s="27" t="s">
        <v>315</v>
      </c>
      <c r="P43" s="31">
        <f>IF(AG43="5",J43,0)</f>
        <v>0</v>
      </c>
      <c r="R43" s="31">
        <f>IF(AG43="1",H43,0)</f>
        <v>0</v>
      </c>
      <c r="S43" s="31">
        <f>IF(AG43="1",I43,0)</f>
        <v>0</v>
      </c>
      <c r="T43" s="31">
        <f>IF(AG43="7",H43,0)</f>
        <v>0</v>
      </c>
      <c r="U43" s="31">
        <f>IF(AG43="7",I43,0)</f>
        <v>0</v>
      </c>
      <c r="V43" s="31">
        <f>IF(AG43="2",H43,0)</f>
        <v>0</v>
      </c>
      <c r="W43" s="31">
        <f>IF(AG43="2",I43,0)</f>
        <v>0</v>
      </c>
      <c r="X43" s="31">
        <f>IF(AG43="0",J43,0)</f>
        <v>0</v>
      </c>
      <c r="Y43" s="24"/>
      <c r="Z43" s="16">
        <f>IF(AD43=0,J43,0)</f>
        <v>0</v>
      </c>
      <c r="AA43" s="16">
        <f>IF(AD43=15,J43,0)</f>
        <v>0</v>
      </c>
      <c r="AB43" s="16">
        <f>IF(AD43=21,J43,0)</f>
        <v>0</v>
      </c>
      <c r="AD43" s="31">
        <v>21</v>
      </c>
      <c r="AE43" s="31">
        <f>G43*0.0306010928961749</f>
        <v>0</v>
      </c>
      <c r="AF43" s="31">
        <f>G43*(1-0.0306010928961749)</f>
        <v>0</v>
      </c>
      <c r="AG43" s="27" t="s">
        <v>13</v>
      </c>
      <c r="AM43" s="31">
        <f>F43*AE43</f>
        <v>0</v>
      </c>
      <c r="AN43" s="31">
        <f>F43*AF43</f>
        <v>0</v>
      </c>
      <c r="AO43" s="32" t="s">
        <v>328</v>
      </c>
      <c r="AP43" s="32" t="s">
        <v>343</v>
      </c>
      <c r="AQ43" s="24" t="s">
        <v>345</v>
      </c>
      <c r="AS43" s="31">
        <f>AM43+AN43</f>
        <v>0</v>
      </c>
      <c r="AT43" s="31">
        <f>G43/(100-AU43)*100</f>
        <v>0</v>
      </c>
      <c r="AU43" s="31">
        <v>0</v>
      </c>
      <c r="AV43" s="31">
        <f>L43</f>
        <v>0</v>
      </c>
    </row>
    <row r="44" spans="1:48" ht="12.75">
      <c r="A44" s="4" t="s">
        <v>26</v>
      </c>
      <c r="B44" s="4"/>
      <c r="C44" s="4" t="s">
        <v>107</v>
      </c>
      <c r="D44" s="4" t="s">
        <v>211</v>
      </c>
      <c r="E44" s="4" t="s">
        <v>294</v>
      </c>
      <c r="F44" s="16">
        <v>4.4009</v>
      </c>
      <c r="G44" s="16">
        <v>0</v>
      </c>
      <c r="H44" s="16">
        <f>F44*AE44</f>
        <v>0</v>
      </c>
      <c r="I44" s="16">
        <f>J44-H44</f>
        <v>0</v>
      </c>
      <c r="J44" s="16">
        <f>F44*G44</f>
        <v>0</v>
      </c>
      <c r="K44" s="16">
        <v>0</v>
      </c>
      <c r="L44" s="16">
        <f>F44*K44</f>
        <v>0</v>
      </c>
      <c r="M44" s="27" t="s">
        <v>315</v>
      </c>
      <c r="P44" s="31">
        <f>IF(AG44="5",J44,0)</f>
        <v>0</v>
      </c>
      <c r="R44" s="31">
        <f>IF(AG44="1",H44,0)</f>
        <v>0</v>
      </c>
      <c r="S44" s="31">
        <f>IF(AG44="1",I44,0)</f>
        <v>0</v>
      </c>
      <c r="T44" s="31">
        <f>IF(AG44="7",H44,0)</f>
        <v>0</v>
      </c>
      <c r="U44" s="31">
        <f>IF(AG44="7",I44,0)</f>
        <v>0</v>
      </c>
      <c r="V44" s="31">
        <f>IF(AG44="2",H44,0)</f>
        <v>0</v>
      </c>
      <c r="W44" s="31">
        <f>IF(AG44="2",I44,0)</f>
        <v>0</v>
      </c>
      <c r="X44" s="31">
        <f>IF(AG44="0",J44,0)</f>
        <v>0</v>
      </c>
      <c r="Y44" s="24"/>
      <c r="Z44" s="16">
        <f>IF(AD44=0,J44,0)</f>
        <v>0</v>
      </c>
      <c r="AA44" s="16">
        <f>IF(AD44=15,J44,0)</f>
        <v>0</v>
      </c>
      <c r="AB44" s="16">
        <f>IF(AD44=21,J44,0)</f>
        <v>0</v>
      </c>
      <c r="AD44" s="31">
        <v>21</v>
      </c>
      <c r="AE44" s="31">
        <f>G44*0</f>
        <v>0</v>
      </c>
      <c r="AF44" s="31">
        <f>G44*(1-0)</f>
        <v>0</v>
      </c>
      <c r="AG44" s="27" t="s">
        <v>13</v>
      </c>
      <c r="AM44" s="31">
        <f>F44*AE44</f>
        <v>0</v>
      </c>
      <c r="AN44" s="31">
        <f>F44*AF44</f>
        <v>0</v>
      </c>
      <c r="AO44" s="32" t="s">
        <v>328</v>
      </c>
      <c r="AP44" s="32" t="s">
        <v>343</v>
      </c>
      <c r="AQ44" s="24" t="s">
        <v>345</v>
      </c>
      <c r="AS44" s="31">
        <f>AM44+AN44</f>
        <v>0</v>
      </c>
      <c r="AT44" s="31">
        <f>G44/(100-AU44)*100</f>
        <v>0</v>
      </c>
      <c r="AU44" s="31">
        <v>0</v>
      </c>
      <c r="AV44" s="31">
        <f>L44</f>
        <v>0</v>
      </c>
    </row>
    <row r="45" spans="1:37" ht="12.75">
      <c r="A45" s="5"/>
      <c r="B45" s="12"/>
      <c r="C45" s="12" t="s">
        <v>108</v>
      </c>
      <c r="D45" s="88" t="s">
        <v>212</v>
      </c>
      <c r="E45" s="89"/>
      <c r="F45" s="89"/>
      <c r="G45" s="89"/>
      <c r="H45" s="34">
        <f>SUM(H46:H83)</f>
        <v>0</v>
      </c>
      <c r="I45" s="34">
        <f>SUM(I46:I83)</f>
        <v>0</v>
      </c>
      <c r="J45" s="34">
        <f>H45+I45</f>
        <v>0</v>
      </c>
      <c r="K45" s="24"/>
      <c r="L45" s="34">
        <f>SUM(L46:L83)</f>
        <v>8.196349999999999</v>
      </c>
      <c r="M45" s="24"/>
      <c r="Y45" s="24"/>
      <c r="AI45" s="34">
        <f>SUM(Z46:Z83)</f>
        <v>0</v>
      </c>
      <c r="AJ45" s="34">
        <f>SUM(AA46:AA83)</f>
        <v>0</v>
      </c>
      <c r="AK45" s="34">
        <f>SUM(AB46:AB83)</f>
        <v>0</v>
      </c>
    </row>
    <row r="46" spans="1:48" ht="12.75">
      <c r="A46" s="4" t="s">
        <v>27</v>
      </c>
      <c r="B46" s="4"/>
      <c r="C46" s="4" t="s">
        <v>109</v>
      </c>
      <c r="D46" s="4" t="s">
        <v>213</v>
      </c>
      <c r="E46" s="4" t="s">
        <v>293</v>
      </c>
      <c r="F46" s="16">
        <v>680</v>
      </c>
      <c r="G46" s="16">
        <v>0</v>
      </c>
      <c r="H46" s="16">
        <f aca="true" t="shared" si="20" ref="H46:H55">F46*AE46</f>
        <v>0</v>
      </c>
      <c r="I46" s="16">
        <f aca="true" t="shared" si="21" ref="I46:I55">J46-H46</f>
        <v>0</v>
      </c>
      <c r="J46" s="16">
        <f aca="true" t="shared" si="22" ref="J46:J55">F46*G46</f>
        <v>0</v>
      </c>
      <c r="K46" s="16">
        <v>0.002</v>
      </c>
      <c r="L46" s="16">
        <f aca="true" t="shared" si="23" ref="L46:L55">F46*K46</f>
        <v>1.36</v>
      </c>
      <c r="M46" s="27" t="s">
        <v>315</v>
      </c>
      <c r="P46" s="31">
        <f aca="true" t="shared" si="24" ref="P46:P55">IF(AG46="5",J46,0)</f>
        <v>0</v>
      </c>
      <c r="R46" s="31">
        <f aca="true" t="shared" si="25" ref="R46:R55">IF(AG46="1",H46,0)</f>
        <v>0</v>
      </c>
      <c r="S46" s="31">
        <f aca="true" t="shared" si="26" ref="S46:S55">IF(AG46="1",I46,0)</f>
        <v>0</v>
      </c>
      <c r="T46" s="31">
        <f aca="true" t="shared" si="27" ref="T46:T55">IF(AG46="7",H46,0)</f>
        <v>0</v>
      </c>
      <c r="U46" s="31">
        <f aca="true" t="shared" si="28" ref="U46:U55">IF(AG46="7",I46,0)</f>
        <v>0</v>
      </c>
      <c r="V46" s="31">
        <f aca="true" t="shared" si="29" ref="V46:V55">IF(AG46="2",H46,0)</f>
        <v>0</v>
      </c>
      <c r="W46" s="31">
        <f aca="true" t="shared" si="30" ref="W46:W55">IF(AG46="2",I46,0)</f>
        <v>0</v>
      </c>
      <c r="X46" s="31">
        <f aca="true" t="shared" si="31" ref="X46:X55">IF(AG46="0",J46,0)</f>
        <v>0</v>
      </c>
      <c r="Y46" s="24"/>
      <c r="Z46" s="16">
        <f aca="true" t="shared" si="32" ref="Z46:Z55">IF(AD46=0,J46,0)</f>
        <v>0</v>
      </c>
      <c r="AA46" s="16">
        <f aca="true" t="shared" si="33" ref="AA46:AA55">IF(AD46=15,J46,0)</f>
        <v>0</v>
      </c>
      <c r="AB46" s="16">
        <f aca="true" t="shared" si="34" ref="AB46:AB55">IF(AD46=21,J46,0)</f>
        <v>0</v>
      </c>
      <c r="AD46" s="31">
        <v>21</v>
      </c>
      <c r="AE46" s="31">
        <f>G46*0</f>
        <v>0</v>
      </c>
      <c r="AF46" s="31">
        <f>G46*(1-0)</f>
        <v>0</v>
      </c>
      <c r="AG46" s="27" t="s">
        <v>13</v>
      </c>
      <c r="AM46" s="31">
        <f aca="true" t="shared" si="35" ref="AM46:AM55">F46*AE46</f>
        <v>0</v>
      </c>
      <c r="AN46" s="31">
        <f aca="true" t="shared" si="36" ref="AN46:AN55">F46*AF46</f>
        <v>0</v>
      </c>
      <c r="AO46" s="32" t="s">
        <v>329</v>
      </c>
      <c r="AP46" s="32" t="s">
        <v>343</v>
      </c>
      <c r="AQ46" s="24" t="s">
        <v>345</v>
      </c>
      <c r="AS46" s="31">
        <f aca="true" t="shared" si="37" ref="AS46:AS55">AM46+AN46</f>
        <v>0</v>
      </c>
      <c r="AT46" s="31">
        <f aca="true" t="shared" si="38" ref="AT46:AT55">G46/(100-AU46)*100</f>
        <v>0</v>
      </c>
      <c r="AU46" s="31">
        <v>0</v>
      </c>
      <c r="AV46" s="31">
        <f aca="true" t="shared" si="39" ref="AV46:AV55">L46</f>
        <v>1.36</v>
      </c>
    </row>
    <row r="47" spans="1:48" ht="12.75">
      <c r="A47" s="4" t="s">
        <v>28</v>
      </c>
      <c r="B47" s="4"/>
      <c r="C47" s="4" t="s">
        <v>110</v>
      </c>
      <c r="D47" s="4" t="s">
        <v>214</v>
      </c>
      <c r="E47" s="4" t="s">
        <v>292</v>
      </c>
      <c r="F47" s="16">
        <v>6</v>
      </c>
      <c r="G47" s="16">
        <v>0</v>
      </c>
      <c r="H47" s="16">
        <f t="shared" si="20"/>
        <v>0</v>
      </c>
      <c r="I47" s="16">
        <f t="shared" si="21"/>
        <v>0</v>
      </c>
      <c r="J47" s="16">
        <f t="shared" si="22"/>
        <v>0</v>
      </c>
      <c r="K47" s="16">
        <v>0.00549</v>
      </c>
      <c r="L47" s="16">
        <f t="shared" si="23"/>
        <v>0.03294</v>
      </c>
      <c r="M47" s="27" t="s">
        <v>315</v>
      </c>
      <c r="P47" s="31">
        <f t="shared" si="24"/>
        <v>0</v>
      </c>
      <c r="R47" s="31">
        <f t="shared" si="25"/>
        <v>0</v>
      </c>
      <c r="S47" s="31">
        <f t="shared" si="26"/>
        <v>0</v>
      </c>
      <c r="T47" s="31">
        <f t="shared" si="27"/>
        <v>0</v>
      </c>
      <c r="U47" s="31">
        <f t="shared" si="28"/>
        <v>0</v>
      </c>
      <c r="V47" s="31">
        <f t="shared" si="29"/>
        <v>0</v>
      </c>
      <c r="W47" s="31">
        <f t="shared" si="30"/>
        <v>0</v>
      </c>
      <c r="X47" s="31">
        <f t="shared" si="31"/>
        <v>0</v>
      </c>
      <c r="Y47" s="24"/>
      <c r="Z47" s="16">
        <f t="shared" si="32"/>
        <v>0</v>
      </c>
      <c r="AA47" s="16">
        <f t="shared" si="33"/>
        <v>0</v>
      </c>
      <c r="AB47" s="16">
        <f t="shared" si="34"/>
        <v>0</v>
      </c>
      <c r="AD47" s="31">
        <v>21</v>
      </c>
      <c r="AE47" s="31">
        <f>G47*0</f>
        <v>0</v>
      </c>
      <c r="AF47" s="31">
        <f>G47*(1-0)</f>
        <v>0</v>
      </c>
      <c r="AG47" s="27" t="s">
        <v>13</v>
      </c>
      <c r="AM47" s="31">
        <f t="shared" si="35"/>
        <v>0</v>
      </c>
      <c r="AN47" s="31">
        <f t="shared" si="36"/>
        <v>0</v>
      </c>
      <c r="AO47" s="32" t="s">
        <v>329</v>
      </c>
      <c r="AP47" s="32" t="s">
        <v>343</v>
      </c>
      <c r="AQ47" s="24" t="s">
        <v>345</v>
      </c>
      <c r="AS47" s="31">
        <f t="shared" si="37"/>
        <v>0</v>
      </c>
      <c r="AT47" s="31">
        <f t="shared" si="38"/>
        <v>0</v>
      </c>
      <c r="AU47" s="31">
        <v>0</v>
      </c>
      <c r="AV47" s="31">
        <f t="shared" si="39"/>
        <v>0.03294</v>
      </c>
    </row>
    <row r="48" spans="1:48" ht="12.75">
      <c r="A48" s="4" t="s">
        <v>29</v>
      </c>
      <c r="B48" s="4"/>
      <c r="C48" s="4" t="s">
        <v>111</v>
      </c>
      <c r="D48" s="4" t="s">
        <v>215</v>
      </c>
      <c r="E48" s="4" t="s">
        <v>293</v>
      </c>
      <c r="F48" s="16">
        <v>14</v>
      </c>
      <c r="G48" s="16">
        <v>0</v>
      </c>
      <c r="H48" s="16">
        <f t="shared" si="20"/>
        <v>0</v>
      </c>
      <c r="I48" s="16">
        <f t="shared" si="21"/>
        <v>0</v>
      </c>
      <c r="J48" s="16">
        <f t="shared" si="22"/>
        <v>0</v>
      </c>
      <c r="K48" s="16">
        <v>0.01387</v>
      </c>
      <c r="L48" s="16">
        <f t="shared" si="23"/>
        <v>0.19418000000000002</v>
      </c>
      <c r="M48" s="27" t="s">
        <v>315</v>
      </c>
      <c r="P48" s="31">
        <f t="shared" si="24"/>
        <v>0</v>
      </c>
      <c r="R48" s="31">
        <f t="shared" si="25"/>
        <v>0</v>
      </c>
      <c r="S48" s="31">
        <f t="shared" si="26"/>
        <v>0</v>
      </c>
      <c r="T48" s="31">
        <f t="shared" si="27"/>
        <v>0</v>
      </c>
      <c r="U48" s="31">
        <f t="shared" si="28"/>
        <v>0</v>
      </c>
      <c r="V48" s="31">
        <f t="shared" si="29"/>
        <v>0</v>
      </c>
      <c r="W48" s="31">
        <f t="shared" si="30"/>
        <v>0</v>
      </c>
      <c r="X48" s="31">
        <f t="shared" si="31"/>
        <v>0</v>
      </c>
      <c r="Y48" s="24"/>
      <c r="Z48" s="16">
        <f t="shared" si="32"/>
        <v>0</v>
      </c>
      <c r="AA48" s="16">
        <f t="shared" si="33"/>
        <v>0</v>
      </c>
      <c r="AB48" s="16">
        <f t="shared" si="34"/>
        <v>0</v>
      </c>
      <c r="AD48" s="31">
        <v>21</v>
      </c>
      <c r="AE48" s="31">
        <f>G48*0.495939597315436</f>
        <v>0</v>
      </c>
      <c r="AF48" s="31">
        <f>G48*(1-0.495939597315436)</f>
        <v>0</v>
      </c>
      <c r="AG48" s="27" t="s">
        <v>13</v>
      </c>
      <c r="AM48" s="31">
        <f t="shared" si="35"/>
        <v>0</v>
      </c>
      <c r="AN48" s="31">
        <f t="shared" si="36"/>
        <v>0</v>
      </c>
      <c r="AO48" s="32" t="s">
        <v>329</v>
      </c>
      <c r="AP48" s="32" t="s">
        <v>343</v>
      </c>
      <c r="AQ48" s="24" t="s">
        <v>345</v>
      </c>
      <c r="AS48" s="31">
        <f t="shared" si="37"/>
        <v>0</v>
      </c>
      <c r="AT48" s="31">
        <f t="shared" si="38"/>
        <v>0</v>
      </c>
      <c r="AU48" s="31">
        <v>0</v>
      </c>
      <c r="AV48" s="31">
        <f t="shared" si="39"/>
        <v>0.19418000000000002</v>
      </c>
    </row>
    <row r="49" spans="1:48" ht="12.75">
      <c r="A49" s="4" t="s">
        <v>30</v>
      </c>
      <c r="B49" s="4"/>
      <c r="C49" s="4" t="s">
        <v>112</v>
      </c>
      <c r="D49" s="4" t="s">
        <v>216</v>
      </c>
      <c r="E49" s="4" t="s">
        <v>293</v>
      </c>
      <c r="F49" s="16">
        <v>120</v>
      </c>
      <c r="G49" s="16">
        <v>0</v>
      </c>
      <c r="H49" s="16">
        <f t="shared" si="20"/>
        <v>0</v>
      </c>
      <c r="I49" s="16">
        <f t="shared" si="21"/>
        <v>0</v>
      </c>
      <c r="J49" s="16">
        <f t="shared" si="22"/>
        <v>0</v>
      </c>
      <c r="K49" s="16">
        <v>0.00401</v>
      </c>
      <c r="L49" s="16">
        <f t="shared" si="23"/>
        <v>0.48119999999999996</v>
      </c>
      <c r="M49" s="27" t="s">
        <v>315</v>
      </c>
      <c r="P49" s="31">
        <f t="shared" si="24"/>
        <v>0</v>
      </c>
      <c r="R49" s="31">
        <f t="shared" si="25"/>
        <v>0</v>
      </c>
      <c r="S49" s="31">
        <f t="shared" si="26"/>
        <v>0</v>
      </c>
      <c r="T49" s="31">
        <f t="shared" si="27"/>
        <v>0</v>
      </c>
      <c r="U49" s="31">
        <f t="shared" si="28"/>
        <v>0</v>
      </c>
      <c r="V49" s="31">
        <f t="shared" si="29"/>
        <v>0</v>
      </c>
      <c r="W49" s="31">
        <f t="shared" si="30"/>
        <v>0</v>
      </c>
      <c r="X49" s="31">
        <f t="shared" si="31"/>
        <v>0</v>
      </c>
      <c r="Y49" s="24"/>
      <c r="Z49" s="16">
        <f t="shared" si="32"/>
        <v>0</v>
      </c>
      <c r="AA49" s="16">
        <f t="shared" si="33"/>
        <v>0</v>
      </c>
      <c r="AB49" s="16">
        <f t="shared" si="34"/>
        <v>0</v>
      </c>
      <c r="AD49" s="31">
        <v>21</v>
      </c>
      <c r="AE49" s="31">
        <f>G49*0.241598368691424</f>
        <v>0</v>
      </c>
      <c r="AF49" s="31">
        <f>G49*(1-0.241598368691424)</f>
        <v>0</v>
      </c>
      <c r="AG49" s="27" t="s">
        <v>13</v>
      </c>
      <c r="AM49" s="31">
        <f t="shared" si="35"/>
        <v>0</v>
      </c>
      <c r="AN49" s="31">
        <f t="shared" si="36"/>
        <v>0</v>
      </c>
      <c r="AO49" s="32" t="s">
        <v>329</v>
      </c>
      <c r="AP49" s="32" t="s">
        <v>343</v>
      </c>
      <c r="AQ49" s="24" t="s">
        <v>345</v>
      </c>
      <c r="AS49" s="31">
        <f t="shared" si="37"/>
        <v>0</v>
      </c>
      <c r="AT49" s="31">
        <f t="shared" si="38"/>
        <v>0</v>
      </c>
      <c r="AU49" s="31">
        <v>0</v>
      </c>
      <c r="AV49" s="31">
        <f t="shared" si="39"/>
        <v>0.48119999999999996</v>
      </c>
    </row>
    <row r="50" spans="1:48" ht="12.75">
      <c r="A50" s="4" t="s">
        <v>31</v>
      </c>
      <c r="B50" s="4"/>
      <c r="C50" s="4" t="s">
        <v>112</v>
      </c>
      <c r="D50" s="4" t="s">
        <v>217</v>
      </c>
      <c r="E50" s="4" t="s">
        <v>293</v>
      </c>
      <c r="F50" s="16">
        <v>340</v>
      </c>
      <c r="G50" s="16">
        <v>0</v>
      </c>
      <c r="H50" s="16">
        <f t="shared" si="20"/>
        <v>0</v>
      </c>
      <c r="I50" s="16">
        <f t="shared" si="21"/>
        <v>0</v>
      </c>
      <c r="J50" s="16">
        <f t="shared" si="22"/>
        <v>0</v>
      </c>
      <c r="K50" s="16">
        <v>0.00401</v>
      </c>
      <c r="L50" s="16">
        <f t="shared" si="23"/>
        <v>1.3634</v>
      </c>
      <c r="M50" s="27" t="s">
        <v>315</v>
      </c>
      <c r="P50" s="31">
        <f t="shared" si="24"/>
        <v>0</v>
      </c>
      <c r="R50" s="31">
        <f t="shared" si="25"/>
        <v>0</v>
      </c>
      <c r="S50" s="31">
        <f t="shared" si="26"/>
        <v>0</v>
      </c>
      <c r="T50" s="31">
        <f t="shared" si="27"/>
        <v>0</v>
      </c>
      <c r="U50" s="31">
        <f t="shared" si="28"/>
        <v>0</v>
      </c>
      <c r="V50" s="31">
        <f t="shared" si="29"/>
        <v>0</v>
      </c>
      <c r="W50" s="31">
        <f t="shared" si="30"/>
        <v>0</v>
      </c>
      <c r="X50" s="31">
        <f t="shared" si="31"/>
        <v>0</v>
      </c>
      <c r="Y50" s="24"/>
      <c r="Z50" s="16">
        <f t="shared" si="32"/>
        <v>0</v>
      </c>
      <c r="AA50" s="16">
        <f t="shared" si="33"/>
        <v>0</v>
      </c>
      <c r="AB50" s="16">
        <f t="shared" si="34"/>
        <v>0</v>
      </c>
      <c r="AD50" s="31">
        <v>21</v>
      </c>
      <c r="AE50" s="31">
        <f>G50*0.241598368691424</f>
        <v>0</v>
      </c>
      <c r="AF50" s="31">
        <f>G50*(1-0.241598368691424)</f>
        <v>0</v>
      </c>
      <c r="AG50" s="27" t="s">
        <v>13</v>
      </c>
      <c r="AM50" s="31">
        <f t="shared" si="35"/>
        <v>0</v>
      </c>
      <c r="AN50" s="31">
        <f t="shared" si="36"/>
        <v>0</v>
      </c>
      <c r="AO50" s="32" t="s">
        <v>329</v>
      </c>
      <c r="AP50" s="32" t="s">
        <v>343</v>
      </c>
      <c r="AQ50" s="24" t="s">
        <v>345</v>
      </c>
      <c r="AS50" s="31">
        <f t="shared" si="37"/>
        <v>0</v>
      </c>
      <c r="AT50" s="31">
        <f t="shared" si="38"/>
        <v>0</v>
      </c>
      <c r="AU50" s="31">
        <v>0</v>
      </c>
      <c r="AV50" s="31">
        <f t="shared" si="39"/>
        <v>1.3634</v>
      </c>
    </row>
    <row r="51" spans="1:48" ht="12.75">
      <c r="A51" s="4" t="s">
        <v>32</v>
      </c>
      <c r="B51" s="4"/>
      <c r="C51" s="4" t="s">
        <v>113</v>
      </c>
      <c r="D51" s="4" t="s">
        <v>218</v>
      </c>
      <c r="E51" s="4" t="s">
        <v>293</v>
      </c>
      <c r="F51" s="16">
        <v>290</v>
      </c>
      <c r="G51" s="16">
        <v>0</v>
      </c>
      <c r="H51" s="16">
        <f t="shared" si="20"/>
        <v>0</v>
      </c>
      <c r="I51" s="16">
        <f t="shared" si="21"/>
        <v>0</v>
      </c>
      <c r="J51" s="16">
        <f t="shared" si="22"/>
        <v>0</v>
      </c>
      <c r="K51" s="16">
        <v>0.00522</v>
      </c>
      <c r="L51" s="16">
        <f t="shared" si="23"/>
        <v>1.5138</v>
      </c>
      <c r="M51" s="27" t="s">
        <v>315</v>
      </c>
      <c r="P51" s="31">
        <f t="shared" si="24"/>
        <v>0</v>
      </c>
      <c r="R51" s="31">
        <f t="shared" si="25"/>
        <v>0</v>
      </c>
      <c r="S51" s="31">
        <f t="shared" si="26"/>
        <v>0</v>
      </c>
      <c r="T51" s="31">
        <f t="shared" si="27"/>
        <v>0</v>
      </c>
      <c r="U51" s="31">
        <f t="shared" si="28"/>
        <v>0</v>
      </c>
      <c r="V51" s="31">
        <f t="shared" si="29"/>
        <v>0</v>
      </c>
      <c r="W51" s="31">
        <f t="shared" si="30"/>
        <v>0</v>
      </c>
      <c r="X51" s="31">
        <f t="shared" si="31"/>
        <v>0</v>
      </c>
      <c r="Y51" s="24"/>
      <c r="Z51" s="16">
        <f t="shared" si="32"/>
        <v>0</v>
      </c>
      <c r="AA51" s="16">
        <f t="shared" si="33"/>
        <v>0</v>
      </c>
      <c r="AB51" s="16">
        <f t="shared" si="34"/>
        <v>0</v>
      </c>
      <c r="AD51" s="31">
        <v>21</v>
      </c>
      <c r="AE51" s="31">
        <f>G51*0.269533011272142</f>
        <v>0</v>
      </c>
      <c r="AF51" s="31">
        <f>G51*(1-0.269533011272142)</f>
        <v>0</v>
      </c>
      <c r="AG51" s="27" t="s">
        <v>13</v>
      </c>
      <c r="AM51" s="31">
        <f t="shared" si="35"/>
        <v>0</v>
      </c>
      <c r="AN51" s="31">
        <f t="shared" si="36"/>
        <v>0</v>
      </c>
      <c r="AO51" s="32" t="s">
        <v>329</v>
      </c>
      <c r="AP51" s="32" t="s">
        <v>343</v>
      </c>
      <c r="AQ51" s="24" t="s">
        <v>345</v>
      </c>
      <c r="AS51" s="31">
        <f t="shared" si="37"/>
        <v>0</v>
      </c>
      <c r="AT51" s="31">
        <f t="shared" si="38"/>
        <v>0</v>
      </c>
      <c r="AU51" s="31">
        <v>0</v>
      </c>
      <c r="AV51" s="31">
        <f t="shared" si="39"/>
        <v>1.5138</v>
      </c>
    </row>
    <row r="52" spans="1:48" ht="12.75">
      <c r="A52" s="4" t="s">
        <v>33</v>
      </c>
      <c r="B52" s="4"/>
      <c r="C52" s="4" t="s">
        <v>114</v>
      </c>
      <c r="D52" s="4" t="s">
        <v>219</v>
      </c>
      <c r="E52" s="4" t="s">
        <v>293</v>
      </c>
      <c r="F52" s="16">
        <v>250</v>
      </c>
      <c r="G52" s="16">
        <v>0</v>
      </c>
      <c r="H52" s="16">
        <f t="shared" si="20"/>
        <v>0</v>
      </c>
      <c r="I52" s="16">
        <f t="shared" si="21"/>
        <v>0</v>
      </c>
      <c r="J52" s="16">
        <f t="shared" si="22"/>
        <v>0</v>
      </c>
      <c r="K52" s="16">
        <v>0.00541</v>
      </c>
      <c r="L52" s="16">
        <f t="shared" si="23"/>
        <v>1.3525</v>
      </c>
      <c r="M52" s="27" t="s">
        <v>315</v>
      </c>
      <c r="P52" s="31">
        <f t="shared" si="24"/>
        <v>0</v>
      </c>
      <c r="R52" s="31">
        <f t="shared" si="25"/>
        <v>0</v>
      </c>
      <c r="S52" s="31">
        <f t="shared" si="26"/>
        <v>0</v>
      </c>
      <c r="T52" s="31">
        <f t="shared" si="27"/>
        <v>0</v>
      </c>
      <c r="U52" s="31">
        <f t="shared" si="28"/>
        <v>0</v>
      </c>
      <c r="V52" s="31">
        <f t="shared" si="29"/>
        <v>0</v>
      </c>
      <c r="W52" s="31">
        <f t="shared" si="30"/>
        <v>0</v>
      </c>
      <c r="X52" s="31">
        <f t="shared" si="31"/>
        <v>0</v>
      </c>
      <c r="Y52" s="24"/>
      <c r="Z52" s="16">
        <f t="shared" si="32"/>
        <v>0</v>
      </c>
      <c r="AA52" s="16">
        <f t="shared" si="33"/>
        <v>0</v>
      </c>
      <c r="AB52" s="16">
        <f t="shared" si="34"/>
        <v>0</v>
      </c>
      <c r="AD52" s="31">
        <v>21</v>
      </c>
      <c r="AE52" s="31">
        <f>G52*0.348222811671088</f>
        <v>0</v>
      </c>
      <c r="AF52" s="31">
        <f>G52*(1-0.348222811671088)</f>
        <v>0</v>
      </c>
      <c r="AG52" s="27" t="s">
        <v>13</v>
      </c>
      <c r="AM52" s="31">
        <f t="shared" si="35"/>
        <v>0</v>
      </c>
      <c r="AN52" s="31">
        <f t="shared" si="36"/>
        <v>0</v>
      </c>
      <c r="AO52" s="32" t="s">
        <v>329</v>
      </c>
      <c r="AP52" s="32" t="s">
        <v>343</v>
      </c>
      <c r="AQ52" s="24" t="s">
        <v>345</v>
      </c>
      <c r="AS52" s="31">
        <f t="shared" si="37"/>
        <v>0</v>
      </c>
      <c r="AT52" s="31">
        <f t="shared" si="38"/>
        <v>0</v>
      </c>
      <c r="AU52" s="31">
        <v>0</v>
      </c>
      <c r="AV52" s="31">
        <f t="shared" si="39"/>
        <v>1.3525</v>
      </c>
    </row>
    <row r="53" spans="1:48" ht="12.75">
      <c r="A53" s="4" t="s">
        <v>34</v>
      </c>
      <c r="B53" s="4"/>
      <c r="C53" s="4" t="s">
        <v>115</v>
      </c>
      <c r="D53" s="4" t="s">
        <v>220</v>
      </c>
      <c r="E53" s="4" t="s">
        <v>293</v>
      </c>
      <c r="F53" s="16">
        <v>80</v>
      </c>
      <c r="G53" s="16">
        <v>0</v>
      </c>
      <c r="H53" s="16">
        <f t="shared" si="20"/>
        <v>0</v>
      </c>
      <c r="I53" s="16">
        <f t="shared" si="21"/>
        <v>0</v>
      </c>
      <c r="J53" s="16">
        <f t="shared" si="22"/>
        <v>0</v>
      </c>
      <c r="K53" s="16">
        <v>0.00573</v>
      </c>
      <c r="L53" s="16">
        <f t="shared" si="23"/>
        <v>0.4584</v>
      </c>
      <c r="M53" s="27" t="s">
        <v>315</v>
      </c>
      <c r="P53" s="31">
        <f t="shared" si="24"/>
        <v>0</v>
      </c>
      <c r="R53" s="31">
        <f t="shared" si="25"/>
        <v>0</v>
      </c>
      <c r="S53" s="31">
        <f t="shared" si="26"/>
        <v>0</v>
      </c>
      <c r="T53" s="31">
        <f t="shared" si="27"/>
        <v>0</v>
      </c>
      <c r="U53" s="31">
        <f t="shared" si="28"/>
        <v>0</v>
      </c>
      <c r="V53" s="31">
        <f t="shared" si="29"/>
        <v>0</v>
      </c>
      <c r="W53" s="31">
        <f t="shared" si="30"/>
        <v>0</v>
      </c>
      <c r="X53" s="31">
        <f t="shared" si="31"/>
        <v>0</v>
      </c>
      <c r="Y53" s="24"/>
      <c r="Z53" s="16">
        <f t="shared" si="32"/>
        <v>0</v>
      </c>
      <c r="AA53" s="16">
        <f t="shared" si="33"/>
        <v>0</v>
      </c>
      <c r="AB53" s="16">
        <f t="shared" si="34"/>
        <v>0</v>
      </c>
      <c r="AD53" s="31">
        <v>21</v>
      </c>
      <c r="AE53" s="31">
        <f>G53*0.463145631067961</f>
        <v>0</v>
      </c>
      <c r="AF53" s="31">
        <f>G53*(1-0.463145631067961)</f>
        <v>0</v>
      </c>
      <c r="AG53" s="27" t="s">
        <v>13</v>
      </c>
      <c r="AM53" s="31">
        <f t="shared" si="35"/>
        <v>0</v>
      </c>
      <c r="AN53" s="31">
        <f t="shared" si="36"/>
        <v>0</v>
      </c>
      <c r="AO53" s="32" t="s">
        <v>329</v>
      </c>
      <c r="AP53" s="32" t="s">
        <v>343</v>
      </c>
      <c r="AQ53" s="24" t="s">
        <v>345</v>
      </c>
      <c r="AS53" s="31">
        <f t="shared" si="37"/>
        <v>0</v>
      </c>
      <c r="AT53" s="31">
        <f t="shared" si="38"/>
        <v>0</v>
      </c>
      <c r="AU53" s="31">
        <v>0</v>
      </c>
      <c r="AV53" s="31">
        <f t="shared" si="39"/>
        <v>0.4584</v>
      </c>
    </row>
    <row r="54" spans="1:48" ht="12.75">
      <c r="A54" s="4" t="s">
        <v>35</v>
      </c>
      <c r="B54" s="4"/>
      <c r="C54" s="4" t="s">
        <v>116</v>
      </c>
      <c r="D54" s="4" t="s">
        <v>221</v>
      </c>
      <c r="E54" s="4" t="s">
        <v>293</v>
      </c>
      <c r="F54" s="16">
        <v>50</v>
      </c>
      <c r="G54" s="16">
        <v>0</v>
      </c>
      <c r="H54" s="16">
        <f t="shared" si="20"/>
        <v>0</v>
      </c>
      <c r="I54" s="16">
        <f t="shared" si="21"/>
        <v>0</v>
      </c>
      <c r="J54" s="16">
        <f t="shared" si="22"/>
        <v>0</v>
      </c>
      <c r="K54" s="16">
        <v>0.0061</v>
      </c>
      <c r="L54" s="16">
        <f t="shared" si="23"/>
        <v>0.305</v>
      </c>
      <c r="M54" s="27" t="s">
        <v>315</v>
      </c>
      <c r="P54" s="31">
        <f t="shared" si="24"/>
        <v>0</v>
      </c>
      <c r="R54" s="31">
        <f t="shared" si="25"/>
        <v>0</v>
      </c>
      <c r="S54" s="31">
        <f t="shared" si="26"/>
        <v>0</v>
      </c>
      <c r="T54" s="31">
        <f t="shared" si="27"/>
        <v>0</v>
      </c>
      <c r="U54" s="31">
        <f t="shared" si="28"/>
        <v>0</v>
      </c>
      <c r="V54" s="31">
        <f t="shared" si="29"/>
        <v>0</v>
      </c>
      <c r="W54" s="31">
        <f t="shared" si="30"/>
        <v>0</v>
      </c>
      <c r="X54" s="31">
        <f t="shared" si="31"/>
        <v>0</v>
      </c>
      <c r="Y54" s="24"/>
      <c r="Z54" s="16">
        <f t="shared" si="32"/>
        <v>0</v>
      </c>
      <c r="AA54" s="16">
        <f t="shared" si="33"/>
        <v>0</v>
      </c>
      <c r="AB54" s="16">
        <f t="shared" si="34"/>
        <v>0</v>
      </c>
      <c r="AD54" s="31">
        <v>21</v>
      </c>
      <c r="AE54" s="31">
        <f>G54*0.44453973236679</f>
        <v>0</v>
      </c>
      <c r="AF54" s="31">
        <f>G54*(1-0.44453973236679)</f>
        <v>0</v>
      </c>
      <c r="AG54" s="27" t="s">
        <v>13</v>
      </c>
      <c r="AM54" s="31">
        <f t="shared" si="35"/>
        <v>0</v>
      </c>
      <c r="AN54" s="31">
        <f t="shared" si="36"/>
        <v>0</v>
      </c>
      <c r="AO54" s="32" t="s">
        <v>329</v>
      </c>
      <c r="AP54" s="32" t="s">
        <v>343</v>
      </c>
      <c r="AQ54" s="24" t="s">
        <v>345</v>
      </c>
      <c r="AS54" s="31">
        <f t="shared" si="37"/>
        <v>0</v>
      </c>
      <c r="AT54" s="31">
        <f t="shared" si="38"/>
        <v>0</v>
      </c>
      <c r="AU54" s="31">
        <v>0</v>
      </c>
      <c r="AV54" s="31">
        <f t="shared" si="39"/>
        <v>0.305</v>
      </c>
    </row>
    <row r="55" spans="1:48" ht="12.75">
      <c r="A55" s="4" t="s">
        <v>36</v>
      </c>
      <c r="B55" s="4"/>
      <c r="C55" s="4" t="s">
        <v>117</v>
      </c>
      <c r="D55" s="4" t="s">
        <v>222</v>
      </c>
      <c r="E55" s="4" t="s">
        <v>293</v>
      </c>
      <c r="F55" s="16">
        <v>340</v>
      </c>
      <c r="G55" s="16">
        <v>0</v>
      </c>
      <c r="H55" s="16">
        <f t="shared" si="20"/>
        <v>0</v>
      </c>
      <c r="I55" s="16">
        <f t="shared" si="21"/>
        <v>0</v>
      </c>
      <c r="J55" s="16">
        <f t="shared" si="22"/>
        <v>0</v>
      </c>
      <c r="K55" s="16">
        <v>4E-05</v>
      </c>
      <c r="L55" s="16">
        <f t="shared" si="23"/>
        <v>0.013600000000000001</v>
      </c>
      <c r="M55" s="27" t="s">
        <v>315</v>
      </c>
      <c r="P55" s="31">
        <f t="shared" si="24"/>
        <v>0</v>
      </c>
      <c r="R55" s="31">
        <f t="shared" si="25"/>
        <v>0</v>
      </c>
      <c r="S55" s="31">
        <f t="shared" si="26"/>
        <v>0</v>
      </c>
      <c r="T55" s="31">
        <f t="shared" si="27"/>
        <v>0</v>
      </c>
      <c r="U55" s="31">
        <f t="shared" si="28"/>
        <v>0</v>
      </c>
      <c r="V55" s="31">
        <f t="shared" si="29"/>
        <v>0</v>
      </c>
      <c r="W55" s="31">
        <f t="shared" si="30"/>
        <v>0</v>
      </c>
      <c r="X55" s="31">
        <f t="shared" si="31"/>
        <v>0</v>
      </c>
      <c r="Y55" s="24"/>
      <c r="Z55" s="16">
        <f t="shared" si="32"/>
        <v>0</v>
      </c>
      <c r="AA55" s="16">
        <f t="shared" si="33"/>
        <v>0</v>
      </c>
      <c r="AB55" s="16">
        <f t="shared" si="34"/>
        <v>0</v>
      </c>
      <c r="AD55" s="31">
        <v>21</v>
      </c>
      <c r="AE55" s="31">
        <f>G55*0.392682926829268</f>
        <v>0</v>
      </c>
      <c r="AF55" s="31">
        <f>G55*(1-0.392682926829268)</f>
        <v>0</v>
      </c>
      <c r="AG55" s="27" t="s">
        <v>13</v>
      </c>
      <c r="AM55" s="31">
        <f t="shared" si="35"/>
        <v>0</v>
      </c>
      <c r="AN55" s="31">
        <f t="shared" si="36"/>
        <v>0</v>
      </c>
      <c r="AO55" s="32" t="s">
        <v>329</v>
      </c>
      <c r="AP55" s="32" t="s">
        <v>343</v>
      </c>
      <c r="AQ55" s="24" t="s">
        <v>345</v>
      </c>
      <c r="AS55" s="31">
        <f t="shared" si="37"/>
        <v>0</v>
      </c>
      <c r="AT55" s="31">
        <f t="shared" si="38"/>
        <v>0</v>
      </c>
      <c r="AU55" s="31">
        <v>0</v>
      </c>
      <c r="AV55" s="31">
        <f t="shared" si="39"/>
        <v>0.013600000000000001</v>
      </c>
    </row>
    <row r="56" ht="12.75">
      <c r="D56" s="14" t="s">
        <v>223</v>
      </c>
    </row>
    <row r="57" spans="1:48" ht="12.75">
      <c r="A57" s="4" t="s">
        <v>37</v>
      </c>
      <c r="B57" s="4"/>
      <c r="C57" s="4" t="s">
        <v>118</v>
      </c>
      <c r="D57" s="4" t="s">
        <v>224</v>
      </c>
      <c r="E57" s="4" t="s">
        <v>293</v>
      </c>
      <c r="F57" s="16">
        <v>290</v>
      </c>
      <c r="G57" s="16">
        <v>0</v>
      </c>
      <c r="H57" s="16">
        <f>F57*AE57</f>
        <v>0</v>
      </c>
      <c r="I57" s="16">
        <f>J57-H57</f>
        <v>0</v>
      </c>
      <c r="J57" s="16">
        <f>F57*G57</f>
        <v>0</v>
      </c>
      <c r="K57" s="16">
        <v>8E-05</v>
      </c>
      <c r="L57" s="16">
        <f>F57*K57</f>
        <v>0.023200000000000002</v>
      </c>
      <c r="M57" s="27" t="s">
        <v>315</v>
      </c>
      <c r="P57" s="31">
        <f>IF(AG57="5",J57,0)</f>
        <v>0</v>
      </c>
      <c r="R57" s="31">
        <f>IF(AG57="1",H57,0)</f>
        <v>0</v>
      </c>
      <c r="S57" s="31">
        <f>IF(AG57="1",I57,0)</f>
        <v>0</v>
      </c>
      <c r="T57" s="31">
        <f>IF(AG57="7",H57,0)</f>
        <v>0</v>
      </c>
      <c r="U57" s="31">
        <f>IF(AG57="7",I57,0)</f>
        <v>0</v>
      </c>
      <c r="V57" s="31">
        <f>IF(AG57="2",H57,0)</f>
        <v>0</v>
      </c>
      <c r="W57" s="31">
        <f>IF(AG57="2",I57,0)</f>
        <v>0</v>
      </c>
      <c r="X57" s="31">
        <f>IF(AG57="0",J57,0)</f>
        <v>0</v>
      </c>
      <c r="Y57" s="24"/>
      <c r="Z57" s="16">
        <f>IF(AD57=0,J57,0)</f>
        <v>0</v>
      </c>
      <c r="AA57" s="16">
        <f>IF(AD57=15,J57,0)</f>
        <v>0</v>
      </c>
      <c r="AB57" s="16">
        <f>IF(AD57=21,J57,0)</f>
        <v>0</v>
      </c>
      <c r="AD57" s="31">
        <v>21</v>
      </c>
      <c r="AE57" s="31">
        <f>G57*0.539390642002176</f>
        <v>0</v>
      </c>
      <c r="AF57" s="31">
        <f>G57*(1-0.539390642002176)</f>
        <v>0</v>
      </c>
      <c r="AG57" s="27" t="s">
        <v>13</v>
      </c>
      <c r="AM57" s="31">
        <f>F57*AE57</f>
        <v>0</v>
      </c>
      <c r="AN57" s="31">
        <f>F57*AF57</f>
        <v>0</v>
      </c>
      <c r="AO57" s="32" t="s">
        <v>329</v>
      </c>
      <c r="AP57" s="32" t="s">
        <v>343</v>
      </c>
      <c r="AQ57" s="24" t="s">
        <v>345</v>
      </c>
      <c r="AS57" s="31">
        <f>AM57+AN57</f>
        <v>0</v>
      </c>
      <c r="AT57" s="31">
        <f>G57/(100-AU57)*100</f>
        <v>0</v>
      </c>
      <c r="AU57" s="31">
        <v>0</v>
      </c>
      <c r="AV57" s="31">
        <f>L57</f>
        <v>0.023200000000000002</v>
      </c>
    </row>
    <row r="58" ht="12.75">
      <c r="D58" s="14" t="s">
        <v>225</v>
      </c>
    </row>
    <row r="59" spans="1:48" ht="12.75">
      <c r="A59" s="4" t="s">
        <v>38</v>
      </c>
      <c r="B59" s="4"/>
      <c r="C59" s="4" t="s">
        <v>119</v>
      </c>
      <c r="D59" s="4" t="s">
        <v>226</v>
      </c>
      <c r="E59" s="4" t="s">
        <v>293</v>
      </c>
      <c r="F59" s="16">
        <v>250</v>
      </c>
      <c r="G59" s="16">
        <v>0</v>
      </c>
      <c r="H59" s="16">
        <f>F59*AE59</f>
        <v>0</v>
      </c>
      <c r="I59" s="16">
        <f>J59-H59</f>
        <v>0</v>
      </c>
      <c r="J59" s="16">
        <f>F59*G59</f>
        <v>0</v>
      </c>
      <c r="K59" s="16">
        <v>8E-05</v>
      </c>
      <c r="L59" s="16">
        <f>F59*K59</f>
        <v>0.02</v>
      </c>
      <c r="M59" s="27" t="s">
        <v>315</v>
      </c>
      <c r="P59" s="31">
        <f>IF(AG59="5",J59,0)</f>
        <v>0</v>
      </c>
      <c r="R59" s="31">
        <f>IF(AG59="1",H59,0)</f>
        <v>0</v>
      </c>
      <c r="S59" s="31">
        <f>IF(AG59="1",I59,0)</f>
        <v>0</v>
      </c>
      <c r="T59" s="31">
        <f>IF(AG59="7",H59,0)</f>
        <v>0</v>
      </c>
      <c r="U59" s="31">
        <f>IF(AG59="7",I59,0)</f>
        <v>0</v>
      </c>
      <c r="V59" s="31">
        <f>IF(AG59="2",H59,0)</f>
        <v>0</v>
      </c>
      <c r="W59" s="31">
        <f>IF(AG59="2",I59,0)</f>
        <v>0</v>
      </c>
      <c r="X59" s="31">
        <f>IF(AG59="0",J59,0)</f>
        <v>0</v>
      </c>
      <c r="Y59" s="24"/>
      <c r="Z59" s="16">
        <f>IF(AD59=0,J59,0)</f>
        <v>0</v>
      </c>
      <c r="AA59" s="16">
        <f>IF(AD59=15,J59,0)</f>
        <v>0</v>
      </c>
      <c r="AB59" s="16">
        <f>IF(AD59=21,J59,0)</f>
        <v>0</v>
      </c>
      <c r="AD59" s="31">
        <v>21</v>
      </c>
      <c r="AE59" s="31">
        <f>G59*0.635731583470041</f>
        <v>0</v>
      </c>
      <c r="AF59" s="31">
        <f>G59*(1-0.635731583470041)</f>
        <v>0</v>
      </c>
      <c r="AG59" s="27" t="s">
        <v>13</v>
      </c>
      <c r="AM59" s="31">
        <f>F59*AE59</f>
        <v>0</v>
      </c>
      <c r="AN59" s="31">
        <f>F59*AF59</f>
        <v>0</v>
      </c>
      <c r="AO59" s="32" t="s">
        <v>329</v>
      </c>
      <c r="AP59" s="32" t="s">
        <v>343</v>
      </c>
      <c r="AQ59" s="24" t="s">
        <v>345</v>
      </c>
      <c r="AS59" s="31">
        <f>AM59+AN59</f>
        <v>0</v>
      </c>
      <c r="AT59" s="31">
        <f>G59/(100-AU59)*100</f>
        <v>0</v>
      </c>
      <c r="AU59" s="31">
        <v>0</v>
      </c>
      <c r="AV59" s="31">
        <f>L59</f>
        <v>0.02</v>
      </c>
    </row>
    <row r="60" ht="12.75">
      <c r="D60" s="14" t="s">
        <v>227</v>
      </c>
    </row>
    <row r="61" spans="1:48" ht="12.75">
      <c r="A61" s="4" t="s">
        <v>39</v>
      </c>
      <c r="B61" s="4"/>
      <c r="C61" s="4" t="s">
        <v>120</v>
      </c>
      <c r="D61" s="4" t="s">
        <v>226</v>
      </c>
      <c r="E61" s="4" t="s">
        <v>293</v>
      </c>
      <c r="F61" s="16">
        <v>80</v>
      </c>
      <c r="G61" s="16">
        <v>0</v>
      </c>
      <c r="H61" s="16">
        <f>F61*AE61</f>
        <v>0</v>
      </c>
      <c r="I61" s="16">
        <f>J61-H61</f>
        <v>0</v>
      </c>
      <c r="J61" s="16">
        <f>F61*G61</f>
        <v>0</v>
      </c>
      <c r="K61" s="16">
        <v>0.00013</v>
      </c>
      <c r="L61" s="16">
        <f>F61*K61</f>
        <v>0.0104</v>
      </c>
      <c r="M61" s="27" t="s">
        <v>315</v>
      </c>
      <c r="P61" s="31">
        <f>IF(AG61="5",J61,0)</f>
        <v>0</v>
      </c>
      <c r="R61" s="31">
        <f>IF(AG61="1",H61,0)</f>
        <v>0</v>
      </c>
      <c r="S61" s="31">
        <f>IF(AG61="1",I61,0)</f>
        <v>0</v>
      </c>
      <c r="T61" s="31">
        <f>IF(AG61="7",H61,0)</f>
        <v>0</v>
      </c>
      <c r="U61" s="31">
        <f>IF(AG61="7",I61,0)</f>
        <v>0</v>
      </c>
      <c r="V61" s="31">
        <f>IF(AG61="2",H61,0)</f>
        <v>0</v>
      </c>
      <c r="W61" s="31">
        <f>IF(AG61="2",I61,0)</f>
        <v>0</v>
      </c>
      <c r="X61" s="31">
        <f>IF(AG61="0",J61,0)</f>
        <v>0</v>
      </c>
      <c r="Y61" s="24"/>
      <c r="Z61" s="16">
        <f>IF(AD61=0,J61,0)</f>
        <v>0</v>
      </c>
      <c r="AA61" s="16">
        <f>IF(AD61=15,J61,0)</f>
        <v>0</v>
      </c>
      <c r="AB61" s="16">
        <f>IF(AD61=21,J61,0)</f>
        <v>0</v>
      </c>
      <c r="AD61" s="31">
        <v>21</v>
      </c>
      <c r="AE61" s="31">
        <f>G61*0.634397163120567</f>
        <v>0</v>
      </c>
      <c r="AF61" s="31">
        <f>G61*(1-0.634397163120567)</f>
        <v>0</v>
      </c>
      <c r="AG61" s="27" t="s">
        <v>13</v>
      </c>
      <c r="AM61" s="31">
        <f>F61*AE61</f>
        <v>0</v>
      </c>
      <c r="AN61" s="31">
        <f>F61*AF61</f>
        <v>0</v>
      </c>
      <c r="AO61" s="32" t="s">
        <v>329</v>
      </c>
      <c r="AP61" s="32" t="s">
        <v>343</v>
      </c>
      <c r="AQ61" s="24" t="s">
        <v>345</v>
      </c>
      <c r="AS61" s="31">
        <f>AM61+AN61</f>
        <v>0</v>
      </c>
      <c r="AT61" s="31">
        <f>G61/(100-AU61)*100</f>
        <v>0</v>
      </c>
      <c r="AU61" s="31">
        <v>0</v>
      </c>
      <c r="AV61" s="31">
        <f>L61</f>
        <v>0.0104</v>
      </c>
    </row>
    <row r="62" ht="12.75">
      <c r="D62" s="14" t="s">
        <v>228</v>
      </c>
    </row>
    <row r="63" spans="1:48" ht="12.75">
      <c r="A63" s="4" t="s">
        <v>40</v>
      </c>
      <c r="B63" s="4"/>
      <c r="C63" s="4" t="s">
        <v>121</v>
      </c>
      <c r="D63" s="4" t="s">
        <v>222</v>
      </c>
      <c r="E63" s="4" t="s">
        <v>293</v>
      </c>
      <c r="F63" s="16">
        <v>50</v>
      </c>
      <c r="G63" s="16">
        <v>0</v>
      </c>
      <c r="H63" s="16">
        <f>F63*AE63</f>
        <v>0</v>
      </c>
      <c r="I63" s="16">
        <f>J63-H63</f>
        <v>0</v>
      </c>
      <c r="J63" s="16">
        <f>F63*G63</f>
        <v>0</v>
      </c>
      <c r="K63" s="16">
        <v>0.00014</v>
      </c>
      <c r="L63" s="16">
        <f>F63*K63</f>
        <v>0.006999999999999999</v>
      </c>
      <c r="M63" s="27" t="s">
        <v>315</v>
      </c>
      <c r="P63" s="31">
        <f>IF(AG63="5",J63,0)</f>
        <v>0</v>
      </c>
      <c r="R63" s="31">
        <f>IF(AG63="1",H63,0)</f>
        <v>0</v>
      </c>
      <c r="S63" s="31">
        <f>IF(AG63="1",I63,0)</f>
        <v>0</v>
      </c>
      <c r="T63" s="31">
        <f>IF(AG63="7",H63,0)</f>
        <v>0</v>
      </c>
      <c r="U63" s="31">
        <f>IF(AG63="7",I63,0)</f>
        <v>0</v>
      </c>
      <c r="V63" s="31">
        <f>IF(AG63="2",H63,0)</f>
        <v>0</v>
      </c>
      <c r="W63" s="31">
        <f>IF(AG63="2",I63,0)</f>
        <v>0</v>
      </c>
      <c r="X63" s="31">
        <f>IF(AG63="0",J63,0)</f>
        <v>0</v>
      </c>
      <c r="Y63" s="24"/>
      <c r="Z63" s="16">
        <f>IF(AD63=0,J63,0)</f>
        <v>0</v>
      </c>
      <c r="AA63" s="16">
        <f>IF(AD63=15,J63,0)</f>
        <v>0</v>
      </c>
      <c r="AB63" s="16">
        <f>IF(AD63=21,J63,0)</f>
        <v>0</v>
      </c>
      <c r="AD63" s="31">
        <v>21</v>
      </c>
      <c r="AE63" s="31">
        <f>G63*0.485529953917051</f>
        <v>0</v>
      </c>
      <c r="AF63" s="31">
        <f>G63*(1-0.485529953917051)</f>
        <v>0</v>
      </c>
      <c r="AG63" s="27" t="s">
        <v>13</v>
      </c>
      <c r="AM63" s="31">
        <f>F63*AE63</f>
        <v>0</v>
      </c>
      <c r="AN63" s="31">
        <f>F63*AF63</f>
        <v>0</v>
      </c>
      <c r="AO63" s="32" t="s">
        <v>329</v>
      </c>
      <c r="AP63" s="32" t="s">
        <v>343</v>
      </c>
      <c r="AQ63" s="24" t="s">
        <v>345</v>
      </c>
      <c r="AS63" s="31">
        <f>AM63+AN63</f>
        <v>0</v>
      </c>
      <c r="AT63" s="31">
        <f>G63/(100-AU63)*100</f>
        <v>0</v>
      </c>
      <c r="AU63" s="31">
        <v>0</v>
      </c>
      <c r="AV63" s="31">
        <f>L63</f>
        <v>0.006999999999999999</v>
      </c>
    </row>
    <row r="64" ht="12.75">
      <c r="D64" s="14" t="s">
        <v>229</v>
      </c>
    </row>
    <row r="65" spans="1:48" ht="12.75">
      <c r="A65" s="4" t="s">
        <v>41</v>
      </c>
      <c r="B65" s="4"/>
      <c r="C65" s="4" t="s">
        <v>122</v>
      </c>
      <c r="D65" s="4" t="s">
        <v>230</v>
      </c>
      <c r="E65" s="4" t="s">
        <v>295</v>
      </c>
      <c r="F65" s="16">
        <v>110</v>
      </c>
      <c r="G65" s="16">
        <v>0</v>
      </c>
      <c r="H65" s="16">
        <f>F65*AE65</f>
        <v>0</v>
      </c>
      <c r="I65" s="16">
        <f>J65-H65</f>
        <v>0</v>
      </c>
      <c r="J65" s="16">
        <f>F65*G65</f>
        <v>0</v>
      </c>
      <c r="K65" s="16">
        <v>0.00704</v>
      </c>
      <c r="L65" s="16">
        <f>F65*K65</f>
        <v>0.7744</v>
      </c>
      <c r="M65" s="27" t="s">
        <v>315</v>
      </c>
      <c r="P65" s="31">
        <f>IF(AG65="5",J65,0)</f>
        <v>0</v>
      </c>
      <c r="R65" s="31">
        <f>IF(AG65="1",H65,0)</f>
        <v>0</v>
      </c>
      <c r="S65" s="31">
        <f>IF(AG65="1",I65,0)</f>
        <v>0</v>
      </c>
      <c r="T65" s="31">
        <f>IF(AG65="7",H65,0)</f>
        <v>0</v>
      </c>
      <c r="U65" s="31">
        <f>IF(AG65="7",I65,0)</f>
        <v>0</v>
      </c>
      <c r="V65" s="31">
        <f>IF(AG65="2",H65,0)</f>
        <v>0</v>
      </c>
      <c r="W65" s="31">
        <f>IF(AG65="2",I65,0)</f>
        <v>0</v>
      </c>
      <c r="X65" s="31">
        <f>IF(AG65="0",J65,0)</f>
        <v>0</v>
      </c>
      <c r="Y65" s="24"/>
      <c r="Z65" s="16">
        <f>IF(AD65=0,J65,0)</f>
        <v>0</v>
      </c>
      <c r="AA65" s="16">
        <f>IF(AD65=15,J65,0)</f>
        <v>0</v>
      </c>
      <c r="AB65" s="16">
        <f>IF(AD65=21,J65,0)</f>
        <v>0</v>
      </c>
      <c r="AD65" s="31">
        <v>21</v>
      </c>
      <c r="AE65" s="31">
        <f>G65*0.729992156862745</f>
        <v>0</v>
      </c>
      <c r="AF65" s="31">
        <f>G65*(1-0.729992156862745)</f>
        <v>0</v>
      </c>
      <c r="AG65" s="27" t="s">
        <v>13</v>
      </c>
      <c r="AM65" s="31">
        <f>F65*AE65</f>
        <v>0</v>
      </c>
      <c r="AN65" s="31">
        <f>F65*AF65</f>
        <v>0</v>
      </c>
      <c r="AO65" s="32" t="s">
        <v>329</v>
      </c>
      <c r="AP65" s="32" t="s">
        <v>343</v>
      </c>
      <c r="AQ65" s="24" t="s">
        <v>345</v>
      </c>
      <c r="AS65" s="31">
        <f>AM65+AN65</f>
        <v>0</v>
      </c>
      <c r="AT65" s="31">
        <f>G65/(100-AU65)*100</f>
        <v>0</v>
      </c>
      <c r="AU65" s="31">
        <v>0</v>
      </c>
      <c r="AV65" s="31">
        <f>L65</f>
        <v>0.7744</v>
      </c>
    </row>
    <row r="66" ht="25.5">
      <c r="D66" s="14" t="s">
        <v>231</v>
      </c>
    </row>
    <row r="67" spans="1:48" ht="12.75">
      <c r="A67" s="4" t="s">
        <v>42</v>
      </c>
      <c r="B67" s="4"/>
      <c r="C67" s="4" t="s">
        <v>123</v>
      </c>
      <c r="D67" s="4" t="s">
        <v>232</v>
      </c>
      <c r="E67" s="4" t="s">
        <v>292</v>
      </c>
      <c r="F67" s="16">
        <v>9</v>
      </c>
      <c r="G67" s="16">
        <v>0</v>
      </c>
      <c r="H67" s="16">
        <f>F67*AE67</f>
        <v>0</v>
      </c>
      <c r="I67" s="16">
        <f>J67-H67</f>
        <v>0</v>
      </c>
      <c r="J67" s="16">
        <f>F67*G67</f>
        <v>0</v>
      </c>
      <c r="K67" s="16">
        <v>0.0001</v>
      </c>
      <c r="L67" s="16">
        <f>F67*K67</f>
        <v>0.0009000000000000001</v>
      </c>
      <c r="M67" s="27" t="s">
        <v>315</v>
      </c>
      <c r="P67" s="31">
        <f>IF(AG67="5",J67,0)</f>
        <v>0</v>
      </c>
      <c r="R67" s="31">
        <f>IF(AG67="1",H67,0)</f>
        <v>0</v>
      </c>
      <c r="S67" s="31">
        <f>IF(AG67="1",I67,0)</f>
        <v>0</v>
      </c>
      <c r="T67" s="31">
        <f>IF(AG67="7",H67,0)</f>
        <v>0</v>
      </c>
      <c r="U67" s="31">
        <f>IF(AG67="7",I67,0)</f>
        <v>0</v>
      </c>
      <c r="V67" s="31">
        <f>IF(AG67="2",H67,0)</f>
        <v>0</v>
      </c>
      <c r="W67" s="31">
        <f>IF(AG67="2",I67,0)</f>
        <v>0</v>
      </c>
      <c r="X67" s="31">
        <f>IF(AG67="0",J67,0)</f>
        <v>0</v>
      </c>
      <c r="Y67" s="24"/>
      <c r="Z67" s="16">
        <f>IF(AD67=0,J67,0)</f>
        <v>0</v>
      </c>
      <c r="AA67" s="16">
        <f>IF(AD67=15,J67,0)</f>
        <v>0</v>
      </c>
      <c r="AB67" s="16">
        <f>IF(AD67=21,J67,0)</f>
        <v>0</v>
      </c>
      <c r="AD67" s="31">
        <v>21</v>
      </c>
      <c r="AE67" s="31">
        <f>G67*0.559259259259259</f>
        <v>0</v>
      </c>
      <c r="AF67" s="31">
        <f>G67*(1-0.559259259259259)</f>
        <v>0</v>
      </c>
      <c r="AG67" s="27" t="s">
        <v>13</v>
      </c>
      <c r="AM67" s="31">
        <f>F67*AE67</f>
        <v>0</v>
      </c>
      <c r="AN67" s="31">
        <f>F67*AF67</f>
        <v>0</v>
      </c>
      <c r="AO67" s="32" t="s">
        <v>329</v>
      </c>
      <c r="AP67" s="32" t="s">
        <v>343</v>
      </c>
      <c r="AQ67" s="24" t="s">
        <v>345</v>
      </c>
      <c r="AS67" s="31">
        <f>AM67+AN67</f>
        <v>0</v>
      </c>
      <c r="AT67" s="31">
        <f>G67/(100-AU67)*100</f>
        <v>0</v>
      </c>
      <c r="AU67" s="31">
        <v>0</v>
      </c>
      <c r="AV67" s="31">
        <f>L67</f>
        <v>0.0009000000000000001</v>
      </c>
    </row>
    <row r="68" spans="1:48" ht="12.75">
      <c r="A68" s="4" t="s">
        <v>43</v>
      </c>
      <c r="B68" s="4"/>
      <c r="C68" s="4" t="s">
        <v>124</v>
      </c>
      <c r="D68" s="4" t="s">
        <v>233</v>
      </c>
      <c r="E68" s="4" t="s">
        <v>292</v>
      </c>
      <c r="F68" s="16">
        <v>100</v>
      </c>
      <c r="G68" s="16">
        <v>0</v>
      </c>
      <c r="H68" s="16">
        <f>F68*AE68</f>
        <v>0</v>
      </c>
      <c r="I68" s="16">
        <f>J68-H68</f>
        <v>0</v>
      </c>
      <c r="J68" s="16">
        <f>F68*G68</f>
        <v>0</v>
      </c>
      <c r="K68" s="16">
        <v>0.00037</v>
      </c>
      <c r="L68" s="16">
        <f>F68*K68</f>
        <v>0.037</v>
      </c>
      <c r="M68" s="27" t="s">
        <v>315</v>
      </c>
      <c r="P68" s="31">
        <f>IF(AG68="5",J68,0)</f>
        <v>0</v>
      </c>
      <c r="R68" s="31">
        <f>IF(AG68="1",H68,0)</f>
        <v>0</v>
      </c>
      <c r="S68" s="31">
        <f>IF(AG68="1",I68,0)</f>
        <v>0</v>
      </c>
      <c r="T68" s="31">
        <f>IF(AG68="7",H68,0)</f>
        <v>0</v>
      </c>
      <c r="U68" s="31">
        <f>IF(AG68="7",I68,0)</f>
        <v>0</v>
      </c>
      <c r="V68" s="31">
        <f>IF(AG68="2",H68,0)</f>
        <v>0</v>
      </c>
      <c r="W68" s="31">
        <f>IF(AG68="2",I68,0)</f>
        <v>0</v>
      </c>
      <c r="X68" s="31">
        <f>IF(AG68="0",J68,0)</f>
        <v>0</v>
      </c>
      <c r="Y68" s="24"/>
      <c r="Z68" s="16">
        <f>IF(AD68=0,J68,0)</f>
        <v>0</v>
      </c>
      <c r="AA68" s="16">
        <f>IF(AD68=15,J68,0)</f>
        <v>0</v>
      </c>
      <c r="AB68" s="16">
        <f>IF(AD68=21,J68,0)</f>
        <v>0</v>
      </c>
      <c r="AD68" s="31">
        <v>21</v>
      </c>
      <c r="AE68" s="31">
        <f>G68*0.880594686510351</f>
        <v>0</v>
      </c>
      <c r="AF68" s="31">
        <f>G68*(1-0.880594686510351)</f>
        <v>0</v>
      </c>
      <c r="AG68" s="27" t="s">
        <v>13</v>
      </c>
      <c r="AM68" s="31">
        <f>F68*AE68</f>
        <v>0</v>
      </c>
      <c r="AN68" s="31">
        <f>F68*AF68</f>
        <v>0</v>
      </c>
      <c r="AO68" s="32" t="s">
        <v>329</v>
      </c>
      <c r="AP68" s="32" t="s">
        <v>343</v>
      </c>
      <c r="AQ68" s="24" t="s">
        <v>345</v>
      </c>
      <c r="AS68" s="31">
        <f>AM68+AN68</f>
        <v>0</v>
      </c>
      <c r="AT68" s="31">
        <f>G68/(100-AU68)*100</f>
        <v>0</v>
      </c>
      <c r="AU68" s="31">
        <v>0</v>
      </c>
      <c r="AV68" s="31">
        <f>L68</f>
        <v>0.037</v>
      </c>
    </row>
    <row r="69" spans="1:48" ht="12.75">
      <c r="A69" s="4" t="s">
        <v>44</v>
      </c>
      <c r="B69" s="4"/>
      <c r="C69" s="4" t="s">
        <v>125</v>
      </c>
      <c r="D69" s="4" t="s">
        <v>234</v>
      </c>
      <c r="E69" s="4" t="s">
        <v>296</v>
      </c>
      <c r="F69" s="16">
        <v>18</v>
      </c>
      <c r="G69" s="16">
        <v>0</v>
      </c>
      <c r="H69" s="16">
        <f>F69*AE69</f>
        <v>0</v>
      </c>
      <c r="I69" s="16">
        <f>J69-H69</f>
        <v>0</v>
      </c>
      <c r="J69" s="16">
        <f>F69*G69</f>
        <v>0</v>
      </c>
      <c r="K69" s="16">
        <v>0</v>
      </c>
      <c r="L69" s="16">
        <f>F69*K69</f>
        <v>0</v>
      </c>
      <c r="M69" s="27" t="s">
        <v>315</v>
      </c>
      <c r="P69" s="31">
        <f>IF(AG69="5",J69,0)</f>
        <v>0</v>
      </c>
      <c r="R69" s="31">
        <f>IF(AG69="1",H69,0)</f>
        <v>0</v>
      </c>
      <c r="S69" s="31">
        <f>IF(AG69="1",I69,0)</f>
        <v>0</v>
      </c>
      <c r="T69" s="31">
        <f>IF(AG69="7",H69,0)</f>
        <v>0</v>
      </c>
      <c r="U69" s="31">
        <f>IF(AG69="7",I69,0)</f>
        <v>0</v>
      </c>
      <c r="V69" s="31">
        <f>IF(AG69="2",H69,0)</f>
        <v>0</v>
      </c>
      <c r="W69" s="31">
        <f>IF(AG69="2",I69,0)</f>
        <v>0</v>
      </c>
      <c r="X69" s="31">
        <f>IF(AG69="0",J69,0)</f>
        <v>0</v>
      </c>
      <c r="Y69" s="24"/>
      <c r="Z69" s="16">
        <f>IF(AD69=0,J69,0)</f>
        <v>0</v>
      </c>
      <c r="AA69" s="16">
        <f>IF(AD69=15,J69,0)</f>
        <v>0</v>
      </c>
      <c r="AB69" s="16">
        <f>IF(AD69=21,J69,0)</f>
        <v>0</v>
      </c>
      <c r="AD69" s="31">
        <v>21</v>
      </c>
      <c r="AE69" s="31">
        <f>G69*1</f>
        <v>0</v>
      </c>
      <c r="AF69" s="31">
        <f>G69*(1-1)</f>
        <v>0</v>
      </c>
      <c r="AG69" s="27" t="s">
        <v>13</v>
      </c>
      <c r="AM69" s="31">
        <f>F69*AE69</f>
        <v>0</v>
      </c>
      <c r="AN69" s="31">
        <f>F69*AF69</f>
        <v>0</v>
      </c>
      <c r="AO69" s="32" t="s">
        <v>329</v>
      </c>
      <c r="AP69" s="32" t="s">
        <v>343</v>
      </c>
      <c r="AQ69" s="24" t="s">
        <v>345</v>
      </c>
      <c r="AS69" s="31">
        <f>AM69+AN69</f>
        <v>0</v>
      </c>
      <c r="AT69" s="31">
        <f>G69/(100-AU69)*100</f>
        <v>0</v>
      </c>
      <c r="AU69" s="31">
        <v>0</v>
      </c>
      <c r="AV69" s="31">
        <f>L69</f>
        <v>0</v>
      </c>
    </row>
    <row r="70" spans="1:48" ht="12.75">
      <c r="A70" s="4" t="s">
        <v>45</v>
      </c>
      <c r="B70" s="4"/>
      <c r="C70" s="4" t="s">
        <v>126</v>
      </c>
      <c r="D70" s="4" t="s">
        <v>235</v>
      </c>
      <c r="E70" s="4" t="s">
        <v>292</v>
      </c>
      <c r="F70" s="16">
        <v>50</v>
      </c>
      <c r="G70" s="16">
        <v>0</v>
      </c>
      <c r="H70" s="16">
        <f>F70*AE70</f>
        <v>0</v>
      </c>
      <c r="I70" s="16">
        <f>J70-H70</f>
        <v>0</v>
      </c>
      <c r="J70" s="16">
        <f>F70*G70</f>
        <v>0</v>
      </c>
      <c r="K70" s="16">
        <v>0.00214</v>
      </c>
      <c r="L70" s="16">
        <f>F70*K70</f>
        <v>0.107</v>
      </c>
      <c r="M70" s="27" t="s">
        <v>315</v>
      </c>
      <c r="P70" s="31">
        <f>IF(AG70="5",J70,0)</f>
        <v>0</v>
      </c>
      <c r="R70" s="31">
        <f>IF(AG70="1",H70,0)</f>
        <v>0</v>
      </c>
      <c r="S70" s="31">
        <f>IF(AG70="1",I70,0)</f>
        <v>0</v>
      </c>
      <c r="T70" s="31">
        <f>IF(AG70="7",H70,0)</f>
        <v>0</v>
      </c>
      <c r="U70" s="31">
        <f>IF(AG70="7",I70,0)</f>
        <v>0</v>
      </c>
      <c r="V70" s="31">
        <f>IF(AG70="2",H70,0)</f>
        <v>0</v>
      </c>
      <c r="W70" s="31">
        <f>IF(AG70="2",I70,0)</f>
        <v>0</v>
      </c>
      <c r="X70" s="31">
        <f>IF(AG70="0",J70,0)</f>
        <v>0</v>
      </c>
      <c r="Y70" s="24"/>
      <c r="Z70" s="16">
        <f>IF(AD70=0,J70,0)</f>
        <v>0</v>
      </c>
      <c r="AA70" s="16">
        <f>IF(AD70=15,J70,0)</f>
        <v>0</v>
      </c>
      <c r="AB70" s="16">
        <f>IF(AD70=21,J70,0)</f>
        <v>0</v>
      </c>
      <c r="AD70" s="31">
        <v>21</v>
      </c>
      <c r="AE70" s="31">
        <f>G70*0.796237037037037</f>
        <v>0</v>
      </c>
      <c r="AF70" s="31">
        <f>G70*(1-0.796237037037037)</f>
        <v>0</v>
      </c>
      <c r="AG70" s="27" t="s">
        <v>13</v>
      </c>
      <c r="AM70" s="31">
        <f>F70*AE70</f>
        <v>0</v>
      </c>
      <c r="AN70" s="31">
        <f>F70*AF70</f>
        <v>0</v>
      </c>
      <c r="AO70" s="32" t="s">
        <v>329</v>
      </c>
      <c r="AP70" s="32" t="s">
        <v>343</v>
      </c>
      <c r="AQ70" s="24" t="s">
        <v>345</v>
      </c>
      <c r="AS70" s="31">
        <f>AM70+AN70</f>
        <v>0</v>
      </c>
      <c r="AT70" s="31">
        <f>G70/(100-AU70)*100</f>
        <v>0</v>
      </c>
      <c r="AU70" s="31">
        <v>0</v>
      </c>
      <c r="AV70" s="31">
        <f>L70</f>
        <v>0.107</v>
      </c>
    </row>
    <row r="71" ht="12.75">
      <c r="D71" s="14" t="s">
        <v>236</v>
      </c>
    </row>
    <row r="72" spans="1:48" ht="12.75">
      <c r="A72" s="4" t="s">
        <v>46</v>
      </c>
      <c r="B72" s="4"/>
      <c r="C72" s="4" t="s">
        <v>126</v>
      </c>
      <c r="D72" s="4" t="s">
        <v>237</v>
      </c>
      <c r="E72" s="4" t="s">
        <v>292</v>
      </c>
      <c r="F72" s="16">
        <v>50</v>
      </c>
      <c r="G72" s="16">
        <v>0</v>
      </c>
      <c r="H72" s="16">
        <f>F72*AE72</f>
        <v>0</v>
      </c>
      <c r="I72" s="16">
        <f>J72-H72</f>
        <v>0</v>
      </c>
      <c r="J72" s="16">
        <f>F72*G72</f>
        <v>0</v>
      </c>
      <c r="K72" s="16">
        <v>0.00214</v>
      </c>
      <c r="L72" s="16">
        <f>F72*K72</f>
        <v>0.107</v>
      </c>
      <c r="M72" s="27" t="s">
        <v>315</v>
      </c>
      <c r="P72" s="31">
        <f>IF(AG72="5",J72,0)</f>
        <v>0</v>
      </c>
      <c r="R72" s="31">
        <f>IF(AG72="1",H72,0)</f>
        <v>0</v>
      </c>
      <c r="S72" s="31">
        <f>IF(AG72="1",I72,0)</f>
        <v>0</v>
      </c>
      <c r="T72" s="31">
        <f>IF(AG72="7",H72,0)</f>
        <v>0</v>
      </c>
      <c r="U72" s="31">
        <f>IF(AG72="7",I72,0)</f>
        <v>0</v>
      </c>
      <c r="V72" s="31">
        <f>IF(AG72="2",H72,0)</f>
        <v>0</v>
      </c>
      <c r="W72" s="31">
        <f>IF(AG72="2",I72,0)</f>
        <v>0</v>
      </c>
      <c r="X72" s="31">
        <f>IF(AG72="0",J72,0)</f>
        <v>0</v>
      </c>
      <c r="Y72" s="24"/>
      <c r="Z72" s="16">
        <f>IF(AD72=0,J72,0)</f>
        <v>0</v>
      </c>
      <c r="AA72" s="16">
        <f>IF(AD72=15,J72,0)</f>
        <v>0</v>
      </c>
      <c r="AB72" s="16">
        <f>IF(AD72=21,J72,0)</f>
        <v>0</v>
      </c>
      <c r="AD72" s="31">
        <v>21</v>
      </c>
      <c r="AE72" s="31">
        <f>G72*0.796237037037037</f>
        <v>0</v>
      </c>
      <c r="AF72" s="31">
        <f>G72*(1-0.796237037037037)</f>
        <v>0</v>
      </c>
      <c r="AG72" s="27" t="s">
        <v>13</v>
      </c>
      <c r="AM72" s="31">
        <f>F72*AE72</f>
        <v>0</v>
      </c>
      <c r="AN72" s="31">
        <f>F72*AF72</f>
        <v>0</v>
      </c>
      <c r="AO72" s="32" t="s">
        <v>329</v>
      </c>
      <c r="AP72" s="32" t="s">
        <v>343</v>
      </c>
      <c r="AQ72" s="24" t="s">
        <v>345</v>
      </c>
      <c r="AS72" s="31">
        <f>AM72+AN72</f>
        <v>0</v>
      </c>
      <c r="AT72" s="31">
        <f>G72/(100-AU72)*100</f>
        <v>0</v>
      </c>
      <c r="AU72" s="31">
        <v>0</v>
      </c>
      <c r="AV72" s="31">
        <f>L72</f>
        <v>0.107</v>
      </c>
    </row>
    <row r="73" ht="12.75">
      <c r="D73" s="14" t="s">
        <v>236</v>
      </c>
    </row>
    <row r="74" spans="1:48" ht="12.75">
      <c r="A74" s="4" t="s">
        <v>47</v>
      </c>
      <c r="B74" s="4"/>
      <c r="C74" s="4" t="s">
        <v>127</v>
      </c>
      <c r="D74" s="4" t="s">
        <v>238</v>
      </c>
      <c r="E74" s="4" t="s">
        <v>292</v>
      </c>
      <c r="F74" s="16">
        <v>27</v>
      </c>
      <c r="G74" s="16">
        <v>0</v>
      </c>
      <c r="H74" s="16">
        <f aca="true" t="shared" si="40" ref="H74:H79">F74*AE74</f>
        <v>0</v>
      </c>
      <c r="I74" s="16">
        <f aca="true" t="shared" si="41" ref="I74:I79">J74-H74</f>
        <v>0</v>
      </c>
      <c r="J74" s="16">
        <f aca="true" t="shared" si="42" ref="J74:J79">F74*G74</f>
        <v>0</v>
      </c>
      <c r="K74" s="16">
        <v>0.00039</v>
      </c>
      <c r="L74" s="16">
        <f aca="true" t="shared" si="43" ref="L74:L79">F74*K74</f>
        <v>0.01053</v>
      </c>
      <c r="M74" s="27" t="s">
        <v>315</v>
      </c>
      <c r="P74" s="31">
        <f aca="true" t="shared" si="44" ref="P74:P79">IF(AG74="5",J74,0)</f>
        <v>0</v>
      </c>
      <c r="R74" s="31">
        <f aca="true" t="shared" si="45" ref="R74:R79">IF(AG74="1",H74,0)</f>
        <v>0</v>
      </c>
      <c r="S74" s="31">
        <f aca="true" t="shared" si="46" ref="S74:S79">IF(AG74="1",I74,0)</f>
        <v>0</v>
      </c>
      <c r="T74" s="31">
        <f aca="true" t="shared" si="47" ref="T74:T79">IF(AG74="7",H74,0)</f>
        <v>0</v>
      </c>
      <c r="U74" s="31">
        <f aca="true" t="shared" si="48" ref="U74:U79">IF(AG74="7",I74,0)</f>
        <v>0</v>
      </c>
      <c r="V74" s="31">
        <f aca="true" t="shared" si="49" ref="V74:V79">IF(AG74="2",H74,0)</f>
        <v>0</v>
      </c>
      <c r="W74" s="31">
        <f aca="true" t="shared" si="50" ref="W74:W79">IF(AG74="2",I74,0)</f>
        <v>0</v>
      </c>
      <c r="X74" s="31">
        <f aca="true" t="shared" si="51" ref="X74:X79">IF(AG74="0",J74,0)</f>
        <v>0</v>
      </c>
      <c r="Y74" s="24"/>
      <c r="Z74" s="16">
        <f aca="true" t="shared" si="52" ref="Z74:Z79">IF(AD74=0,J74,0)</f>
        <v>0</v>
      </c>
      <c r="AA74" s="16">
        <f aca="true" t="shared" si="53" ref="AA74:AA79">IF(AD74=15,J74,0)</f>
        <v>0</v>
      </c>
      <c r="AB74" s="16">
        <f aca="true" t="shared" si="54" ref="AB74:AB79">IF(AD74=21,J74,0)</f>
        <v>0</v>
      </c>
      <c r="AD74" s="31">
        <v>21</v>
      </c>
      <c r="AE74" s="31">
        <f>G74*0.677626050420168</f>
        <v>0</v>
      </c>
      <c r="AF74" s="31">
        <f>G74*(1-0.677626050420168)</f>
        <v>0</v>
      </c>
      <c r="AG74" s="27" t="s">
        <v>13</v>
      </c>
      <c r="AM74" s="31">
        <f aca="true" t="shared" si="55" ref="AM74:AM79">F74*AE74</f>
        <v>0</v>
      </c>
      <c r="AN74" s="31">
        <f aca="true" t="shared" si="56" ref="AN74:AN79">F74*AF74</f>
        <v>0</v>
      </c>
      <c r="AO74" s="32" t="s">
        <v>329</v>
      </c>
      <c r="AP74" s="32" t="s">
        <v>343</v>
      </c>
      <c r="AQ74" s="24" t="s">
        <v>345</v>
      </c>
      <c r="AS74" s="31">
        <f aca="true" t="shared" si="57" ref="AS74:AS79">AM74+AN74</f>
        <v>0</v>
      </c>
      <c r="AT74" s="31">
        <f aca="true" t="shared" si="58" ref="AT74:AT79">G74/(100-AU74)*100</f>
        <v>0</v>
      </c>
      <c r="AU74" s="31">
        <v>0</v>
      </c>
      <c r="AV74" s="31">
        <f aca="true" t="shared" si="59" ref="AV74:AV79">L74</f>
        <v>0.01053</v>
      </c>
    </row>
    <row r="75" spans="1:48" ht="12.75">
      <c r="A75" s="4" t="s">
        <v>48</v>
      </c>
      <c r="B75" s="4"/>
      <c r="C75" s="4" t="s">
        <v>128</v>
      </c>
      <c r="D75" s="4" t="s">
        <v>239</v>
      </c>
      <c r="E75" s="4" t="s">
        <v>292</v>
      </c>
      <c r="F75" s="16">
        <v>9</v>
      </c>
      <c r="G75" s="16">
        <v>0</v>
      </c>
      <c r="H75" s="16">
        <f t="shared" si="40"/>
        <v>0</v>
      </c>
      <c r="I75" s="16">
        <f t="shared" si="41"/>
        <v>0</v>
      </c>
      <c r="J75" s="16">
        <f t="shared" si="42"/>
        <v>0</v>
      </c>
      <c r="K75" s="16">
        <v>0.00014</v>
      </c>
      <c r="L75" s="16">
        <f t="shared" si="43"/>
        <v>0.0012599999999999998</v>
      </c>
      <c r="M75" s="27" t="s">
        <v>315</v>
      </c>
      <c r="P75" s="31">
        <f t="shared" si="44"/>
        <v>0</v>
      </c>
      <c r="R75" s="31">
        <f t="shared" si="45"/>
        <v>0</v>
      </c>
      <c r="S75" s="31">
        <f t="shared" si="46"/>
        <v>0</v>
      </c>
      <c r="T75" s="31">
        <f t="shared" si="47"/>
        <v>0</v>
      </c>
      <c r="U75" s="31">
        <f t="shared" si="48"/>
        <v>0</v>
      </c>
      <c r="V75" s="31">
        <f t="shared" si="49"/>
        <v>0</v>
      </c>
      <c r="W75" s="31">
        <f t="shared" si="50"/>
        <v>0</v>
      </c>
      <c r="X75" s="31">
        <f t="shared" si="51"/>
        <v>0</v>
      </c>
      <c r="Y75" s="24"/>
      <c r="Z75" s="16">
        <f t="shared" si="52"/>
        <v>0</v>
      </c>
      <c r="AA75" s="16">
        <f t="shared" si="53"/>
        <v>0</v>
      </c>
      <c r="AB75" s="16">
        <f t="shared" si="54"/>
        <v>0</v>
      </c>
      <c r="AD75" s="31">
        <v>21</v>
      </c>
      <c r="AE75" s="31">
        <f>G75*0.644256559766764</f>
        <v>0</v>
      </c>
      <c r="AF75" s="31">
        <f>G75*(1-0.644256559766764)</f>
        <v>0</v>
      </c>
      <c r="AG75" s="27" t="s">
        <v>13</v>
      </c>
      <c r="AM75" s="31">
        <f t="shared" si="55"/>
        <v>0</v>
      </c>
      <c r="AN75" s="31">
        <f t="shared" si="56"/>
        <v>0</v>
      </c>
      <c r="AO75" s="32" t="s">
        <v>329</v>
      </c>
      <c r="AP75" s="32" t="s">
        <v>343</v>
      </c>
      <c r="AQ75" s="24" t="s">
        <v>345</v>
      </c>
      <c r="AS75" s="31">
        <f t="shared" si="57"/>
        <v>0</v>
      </c>
      <c r="AT75" s="31">
        <f t="shared" si="58"/>
        <v>0</v>
      </c>
      <c r="AU75" s="31">
        <v>0</v>
      </c>
      <c r="AV75" s="31">
        <f t="shared" si="59"/>
        <v>0.0012599999999999998</v>
      </c>
    </row>
    <row r="76" spans="1:48" ht="12.75">
      <c r="A76" s="4" t="s">
        <v>49</v>
      </c>
      <c r="B76" s="4"/>
      <c r="C76" s="4" t="s">
        <v>129</v>
      </c>
      <c r="D76" s="4" t="s">
        <v>240</v>
      </c>
      <c r="E76" s="4" t="s">
        <v>292</v>
      </c>
      <c r="F76" s="16">
        <v>4</v>
      </c>
      <c r="G76" s="16">
        <v>0</v>
      </c>
      <c r="H76" s="16">
        <f t="shared" si="40"/>
        <v>0</v>
      </c>
      <c r="I76" s="16">
        <f t="shared" si="41"/>
        <v>0</v>
      </c>
      <c r="J76" s="16">
        <f t="shared" si="42"/>
        <v>0</v>
      </c>
      <c r="K76" s="16">
        <v>0.0002</v>
      </c>
      <c r="L76" s="16">
        <f t="shared" si="43"/>
        <v>0.0008</v>
      </c>
      <c r="M76" s="27" t="s">
        <v>315</v>
      </c>
      <c r="P76" s="31">
        <f t="shared" si="44"/>
        <v>0</v>
      </c>
      <c r="R76" s="31">
        <f t="shared" si="45"/>
        <v>0</v>
      </c>
      <c r="S76" s="31">
        <f t="shared" si="46"/>
        <v>0</v>
      </c>
      <c r="T76" s="31">
        <f t="shared" si="47"/>
        <v>0</v>
      </c>
      <c r="U76" s="31">
        <f t="shared" si="48"/>
        <v>0</v>
      </c>
      <c r="V76" s="31">
        <f t="shared" si="49"/>
        <v>0</v>
      </c>
      <c r="W76" s="31">
        <f t="shared" si="50"/>
        <v>0</v>
      </c>
      <c r="X76" s="31">
        <f t="shared" si="51"/>
        <v>0</v>
      </c>
      <c r="Y76" s="24"/>
      <c r="Z76" s="16">
        <f t="shared" si="52"/>
        <v>0</v>
      </c>
      <c r="AA76" s="16">
        <f t="shared" si="53"/>
        <v>0</v>
      </c>
      <c r="AB76" s="16">
        <f t="shared" si="54"/>
        <v>0</v>
      </c>
      <c r="AD76" s="31">
        <v>21</v>
      </c>
      <c r="AE76" s="31">
        <f>G76*0.663575227462529</f>
        <v>0</v>
      </c>
      <c r="AF76" s="31">
        <f>G76*(1-0.663575227462529)</f>
        <v>0</v>
      </c>
      <c r="AG76" s="27" t="s">
        <v>13</v>
      </c>
      <c r="AM76" s="31">
        <f t="shared" si="55"/>
        <v>0</v>
      </c>
      <c r="AN76" s="31">
        <f t="shared" si="56"/>
        <v>0</v>
      </c>
      <c r="AO76" s="32" t="s">
        <v>329</v>
      </c>
      <c r="AP76" s="32" t="s">
        <v>343</v>
      </c>
      <c r="AQ76" s="24" t="s">
        <v>345</v>
      </c>
      <c r="AS76" s="31">
        <f t="shared" si="57"/>
        <v>0</v>
      </c>
      <c r="AT76" s="31">
        <f t="shared" si="58"/>
        <v>0</v>
      </c>
      <c r="AU76" s="31">
        <v>0</v>
      </c>
      <c r="AV76" s="31">
        <f t="shared" si="59"/>
        <v>0.0008</v>
      </c>
    </row>
    <row r="77" spans="1:48" ht="12.75">
      <c r="A77" s="4" t="s">
        <v>50</v>
      </c>
      <c r="B77" s="4"/>
      <c r="C77" s="4" t="s">
        <v>130</v>
      </c>
      <c r="D77" s="4" t="s">
        <v>241</v>
      </c>
      <c r="E77" s="4" t="s">
        <v>292</v>
      </c>
      <c r="F77" s="16">
        <v>8</v>
      </c>
      <c r="G77" s="16">
        <v>0</v>
      </c>
      <c r="H77" s="16">
        <f t="shared" si="40"/>
        <v>0</v>
      </c>
      <c r="I77" s="16">
        <f t="shared" si="41"/>
        <v>0</v>
      </c>
      <c r="J77" s="16">
        <f t="shared" si="42"/>
        <v>0</v>
      </c>
      <c r="K77" s="16">
        <v>0.00032</v>
      </c>
      <c r="L77" s="16">
        <f t="shared" si="43"/>
        <v>0.00256</v>
      </c>
      <c r="M77" s="27" t="s">
        <v>315</v>
      </c>
      <c r="P77" s="31">
        <f t="shared" si="44"/>
        <v>0</v>
      </c>
      <c r="R77" s="31">
        <f t="shared" si="45"/>
        <v>0</v>
      </c>
      <c r="S77" s="31">
        <f t="shared" si="46"/>
        <v>0</v>
      </c>
      <c r="T77" s="31">
        <f t="shared" si="47"/>
        <v>0</v>
      </c>
      <c r="U77" s="31">
        <f t="shared" si="48"/>
        <v>0</v>
      </c>
      <c r="V77" s="31">
        <f t="shared" si="49"/>
        <v>0</v>
      </c>
      <c r="W77" s="31">
        <f t="shared" si="50"/>
        <v>0</v>
      </c>
      <c r="X77" s="31">
        <f t="shared" si="51"/>
        <v>0</v>
      </c>
      <c r="Y77" s="24"/>
      <c r="Z77" s="16">
        <f t="shared" si="52"/>
        <v>0</v>
      </c>
      <c r="AA77" s="16">
        <f t="shared" si="53"/>
        <v>0</v>
      </c>
      <c r="AB77" s="16">
        <f t="shared" si="54"/>
        <v>0</v>
      </c>
      <c r="AD77" s="31">
        <v>21</v>
      </c>
      <c r="AE77" s="31">
        <f>G77*0.752418879056047</f>
        <v>0</v>
      </c>
      <c r="AF77" s="31">
        <f>G77*(1-0.752418879056047)</f>
        <v>0</v>
      </c>
      <c r="AG77" s="27" t="s">
        <v>13</v>
      </c>
      <c r="AM77" s="31">
        <f t="shared" si="55"/>
        <v>0</v>
      </c>
      <c r="AN77" s="31">
        <f t="shared" si="56"/>
        <v>0</v>
      </c>
      <c r="AO77" s="32" t="s">
        <v>329</v>
      </c>
      <c r="AP77" s="32" t="s">
        <v>343</v>
      </c>
      <c r="AQ77" s="24" t="s">
        <v>345</v>
      </c>
      <c r="AS77" s="31">
        <f t="shared" si="57"/>
        <v>0</v>
      </c>
      <c r="AT77" s="31">
        <f t="shared" si="58"/>
        <v>0</v>
      </c>
      <c r="AU77" s="31">
        <v>0</v>
      </c>
      <c r="AV77" s="31">
        <f t="shared" si="59"/>
        <v>0.00256</v>
      </c>
    </row>
    <row r="78" spans="1:48" ht="12.75">
      <c r="A78" s="4" t="s">
        <v>51</v>
      </c>
      <c r="B78" s="4"/>
      <c r="C78" s="4" t="s">
        <v>131</v>
      </c>
      <c r="D78" s="4" t="s">
        <v>242</v>
      </c>
      <c r="E78" s="4" t="s">
        <v>292</v>
      </c>
      <c r="F78" s="16">
        <v>8</v>
      </c>
      <c r="G78" s="16">
        <v>0</v>
      </c>
      <c r="H78" s="16">
        <f t="shared" si="40"/>
        <v>0</v>
      </c>
      <c r="I78" s="16">
        <f t="shared" si="41"/>
        <v>0</v>
      </c>
      <c r="J78" s="16">
        <f t="shared" si="42"/>
        <v>0</v>
      </c>
      <c r="K78" s="16">
        <v>0.00052</v>
      </c>
      <c r="L78" s="16">
        <f t="shared" si="43"/>
        <v>0.00416</v>
      </c>
      <c r="M78" s="27" t="s">
        <v>315</v>
      </c>
      <c r="P78" s="31">
        <f t="shared" si="44"/>
        <v>0</v>
      </c>
      <c r="R78" s="31">
        <f t="shared" si="45"/>
        <v>0</v>
      </c>
      <c r="S78" s="31">
        <f t="shared" si="46"/>
        <v>0</v>
      </c>
      <c r="T78" s="31">
        <f t="shared" si="47"/>
        <v>0</v>
      </c>
      <c r="U78" s="31">
        <f t="shared" si="48"/>
        <v>0</v>
      </c>
      <c r="V78" s="31">
        <f t="shared" si="49"/>
        <v>0</v>
      </c>
      <c r="W78" s="31">
        <f t="shared" si="50"/>
        <v>0</v>
      </c>
      <c r="X78" s="31">
        <f t="shared" si="51"/>
        <v>0</v>
      </c>
      <c r="Y78" s="24"/>
      <c r="Z78" s="16">
        <f t="shared" si="52"/>
        <v>0</v>
      </c>
      <c r="AA78" s="16">
        <f t="shared" si="53"/>
        <v>0</v>
      </c>
      <c r="AB78" s="16">
        <f t="shared" si="54"/>
        <v>0</v>
      </c>
      <c r="AD78" s="31">
        <v>21</v>
      </c>
      <c r="AE78" s="31">
        <f>G78*0.797437934054296</f>
        <v>0</v>
      </c>
      <c r="AF78" s="31">
        <f>G78*(1-0.797437934054296)</f>
        <v>0</v>
      </c>
      <c r="AG78" s="27" t="s">
        <v>13</v>
      </c>
      <c r="AM78" s="31">
        <f t="shared" si="55"/>
        <v>0</v>
      </c>
      <c r="AN78" s="31">
        <f t="shared" si="56"/>
        <v>0</v>
      </c>
      <c r="AO78" s="32" t="s">
        <v>329</v>
      </c>
      <c r="AP78" s="32" t="s">
        <v>343</v>
      </c>
      <c r="AQ78" s="24" t="s">
        <v>345</v>
      </c>
      <c r="AS78" s="31">
        <f t="shared" si="57"/>
        <v>0</v>
      </c>
      <c r="AT78" s="31">
        <f t="shared" si="58"/>
        <v>0</v>
      </c>
      <c r="AU78" s="31">
        <v>0</v>
      </c>
      <c r="AV78" s="31">
        <f t="shared" si="59"/>
        <v>0.00416</v>
      </c>
    </row>
    <row r="79" spans="1:48" ht="12.75">
      <c r="A79" s="4" t="s">
        <v>52</v>
      </c>
      <c r="B79" s="4"/>
      <c r="C79" s="4" t="s">
        <v>132</v>
      </c>
      <c r="D79" s="4" t="s">
        <v>243</v>
      </c>
      <c r="E79" s="4" t="s">
        <v>292</v>
      </c>
      <c r="F79" s="16">
        <v>9</v>
      </c>
      <c r="G79" s="16">
        <v>0</v>
      </c>
      <c r="H79" s="16">
        <f t="shared" si="40"/>
        <v>0</v>
      </c>
      <c r="I79" s="16">
        <f t="shared" si="41"/>
        <v>0</v>
      </c>
      <c r="J79" s="16">
        <f t="shared" si="42"/>
        <v>0</v>
      </c>
      <c r="K79" s="16">
        <v>0.00026</v>
      </c>
      <c r="L79" s="16">
        <f t="shared" si="43"/>
        <v>0.0023399999999999996</v>
      </c>
      <c r="M79" s="27" t="s">
        <v>315</v>
      </c>
      <c r="P79" s="31">
        <f t="shared" si="44"/>
        <v>0</v>
      </c>
      <c r="R79" s="31">
        <f t="shared" si="45"/>
        <v>0</v>
      </c>
      <c r="S79" s="31">
        <f t="shared" si="46"/>
        <v>0</v>
      </c>
      <c r="T79" s="31">
        <f t="shared" si="47"/>
        <v>0</v>
      </c>
      <c r="U79" s="31">
        <f t="shared" si="48"/>
        <v>0</v>
      </c>
      <c r="V79" s="31">
        <f t="shared" si="49"/>
        <v>0</v>
      </c>
      <c r="W79" s="31">
        <f t="shared" si="50"/>
        <v>0</v>
      </c>
      <c r="X79" s="31">
        <f t="shared" si="51"/>
        <v>0</v>
      </c>
      <c r="Y79" s="24"/>
      <c r="Z79" s="16">
        <f t="shared" si="52"/>
        <v>0</v>
      </c>
      <c r="AA79" s="16">
        <f t="shared" si="53"/>
        <v>0</v>
      </c>
      <c r="AB79" s="16">
        <f t="shared" si="54"/>
        <v>0</v>
      </c>
      <c r="AD79" s="31">
        <v>21</v>
      </c>
      <c r="AE79" s="31">
        <f>G79*0.922379134860051</f>
        <v>0</v>
      </c>
      <c r="AF79" s="31">
        <f>G79*(1-0.922379134860051)</f>
        <v>0</v>
      </c>
      <c r="AG79" s="27" t="s">
        <v>13</v>
      </c>
      <c r="AM79" s="31">
        <f t="shared" si="55"/>
        <v>0</v>
      </c>
      <c r="AN79" s="31">
        <f t="shared" si="56"/>
        <v>0</v>
      </c>
      <c r="AO79" s="32" t="s">
        <v>329</v>
      </c>
      <c r="AP79" s="32" t="s">
        <v>343</v>
      </c>
      <c r="AQ79" s="24" t="s">
        <v>345</v>
      </c>
      <c r="AS79" s="31">
        <f t="shared" si="57"/>
        <v>0</v>
      </c>
      <c r="AT79" s="31">
        <f t="shared" si="58"/>
        <v>0</v>
      </c>
      <c r="AU79" s="31">
        <v>0</v>
      </c>
      <c r="AV79" s="31">
        <f t="shared" si="59"/>
        <v>0.0023399999999999996</v>
      </c>
    </row>
    <row r="80" ht="12.75">
      <c r="D80" s="14" t="s">
        <v>244</v>
      </c>
    </row>
    <row r="81" spans="1:48" ht="12.75">
      <c r="A81" s="4" t="s">
        <v>53</v>
      </c>
      <c r="B81" s="4"/>
      <c r="C81" s="4" t="s">
        <v>133</v>
      </c>
      <c r="D81" s="4" t="s">
        <v>245</v>
      </c>
      <c r="E81" s="4" t="s">
        <v>294</v>
      </c>
      <c r="F81" s="16">
        <v>1.3929</v>
      </c>
      <c r="G81" s="16">
        <v>0</v>
      </c>
      <c r="H81" s="16">
        <f>F81*AE81</f>
        <v>0</v>
      </c>
      <c r="I81" s="16">
        <f>J81-H81</f>
        <v>0</v>
      </c>
      <c r="J81" s="16">
        <f>F81*G81</f>
        <v>0</v>
      </c>
      <c r="K81" s="16">
        <v>0</v>
      </c>
      <c r="L81" s="16">
        <f>F81*K81</f>
        <v>0</v>
      </c>
      <c r="M81" s="27" t="s">
        <v>315</v>
      </c>
      <c r="P81" s="31">
        <f>IF(AG81="5",J81,0)</f>
        <v>0</v>
      </c>
      <c r="R81" s="31">
        <f>IF(AG81="1",H81,0)</f>
        <v>0</v>
      </c>
      <c r="S81" s="31">
        <f>IF(AG81="1",I81,0)</f>
        <v>0</v>
      </c>
      <c r="T81" s="31">
        <f>IF(AG81="7",H81,0)</f>
        <v>0</v>
      </c>
      <c r="U81" s="31">
        <f>IF(AG81="7",I81,0)</f>
        <v>0</v>
      </c>
      <c r="V81" s="31">
        <f>IF(AG81="2",H81,0)</f>
        <v>0</v>
      </c>
      <c r="W81" s="31">
        <f>IF(AG81="2",I81,0)</f>
        <v>0</v>
      </c>
      <c r="X81" s="31">
        <f>IF(AG81="0",J81,0)</f>
        <v>0</v>
      </c>
      <c r="Y81" s="24"/>
      <c r="Z81" s="16">
        <f>IF(AD81=0,J81,0)</f>
        <v>0</v>
      </c>
      <c r="AA81" s="16">
        <f>IF(AD81=15,J81,0)</f>
        <v>0</v>
      </c>
      <c r="AB81" s="16">
        <f>IF(AD81=21,J81,0)</f>
        <v>0</v>
      </c>
      <c r="AD81" s="31">
        <v>21</v>
      </c>
      <c r="AE81" s="31">
        <f>G81*0</f>
        <v>0</v>
      </c>
      <c r="AF81" s="31">
        <f>G81*(1-0)</f>
        <v>0</v>
      </c>
      <c r="AG81" s="27" t="s">
        <v>13</v>
      </c>
      <c r="AM81" s="31">
        <f>F81*AE81</f>
        <v>0</v>
      </c>
      <c r="AN81" s="31">
        <f>F81*AF81</f>
        <v>0</v>
      </c>
      <c r="AO81" s="32" t="s">
        <v>329</v>
      </c>
      <c r="AP81" s="32" t="s">
        <v>343</v>
      </c>
      <c r="AQ81" s="24" t="s">
        <v>345</v>
      </c>
      <c r="AS81" s="31">
        <f>AM81+AN81</f>
        <v>0</v>
      </c>
      <c r="AT81" s="31">
        <f>G81/(100-AU81)*100</f>
        <v>0</v>
      </c>
      <c r="AU81" s="31">
        <v>0</v>
      </c>
      <c r="AV81" s="31">
        <f>L81</f>
        <v>0</v>
      </c>
    </row>
    <row r="82" spans="1:48" ht="12.75">
      <c r="A82" s="4" t="s">
        <v>54</v>
      </c>
      <c r="B82" s="4"/>
      <c r="C82" s="4" t="s">
        <v>134</v>
      </c>
      <c r="D82" s="4" t="s">
        <v>246</v>
      </c>
      <c r="E82" s="4" t="s">
        <v>293</v>
      </c>
      <c r="F82" s="16">
        <v>1278</v>
      </c>
      <c r="G82" s="16">
        <v>0</v>
      </c>
      <c r="H82" s="16">
        <f>F82*AE82</f>
        <v>0</v>
      </c>
      <c r="I82" s="16">
        <f>J82-H82</f>
        <v>0</v>
      </c>
      <c r="J82" s="16">
        <f>F82*G82</f>
        <v>0</v>
      </c>
      <c r="K82" s="16">
        <v>1E-05</v>
      </c>
      <c r="L82" s="16">
        <f>F82*K82</f>
        <v>0.012780000000000001</v>
      </c>
      <c r="M82" s="27" t="s">
        <v>315</v>
      </c>
      <c r="P82" s="31">
        <f>IF(AG82="5",J82,0)</f>
        <v>0</v>
      </c>
      <c r="R82" s="31">
        <f>IF(AG82="1",H82,0)</f>
        <v>0</v>
      </c>
      <c r="S82" s="31">
        <f>IF(AG82="1",I82,0)</f>
        <v>0</v>
      </c>
      <c r="T82" s="31">
        <f>IF(AG82="7",H82,0)</f>
        <v>0</v>
      </c>
      <c r="U82" s="31">
        <f>IF(AG82="7",I82,0)</f>
        <v>0</v>
      </c>
      <c r="V82" s="31">
        <f>IF(AG82="2",H82,0)</f>
        <v>0</v>
      </c>
      <c r="W82" s="31">
        <f>IF(AG82="2",I82,0)</f>
        <v>0</v>
      </c>
      <c r="X82" s="31">
        <f>IF(AG82="0",J82,0)</f>
        <v>0</v>
      </c>
      <c r="Y82" s="24"/>
      <c r="Z82" s="16">
        <f>IF(AD82=0,J82,0)</f>
        <v>0</v>
      </c>
      <c r="AA82" s="16">
        <f>IF(AD82=15,J82,0)</f>
        <v>0</v>
      </c>
      <c r="AB82" s="16">
        <f>IF(AD82=21,J82,0)</f>
        <v>0</v>
      </c>
      <c r="AD82" s="31">
        <v>21</v>
      </c>
      <c r="AE82" s="31">
        <f>G82*0.0594262295081967</f>
        <v>0</v>
      </c>
      <c r="AF82" s="31">
        <f>G82*(1-0.0594262295081967)</f>
        <v>0</v>
      </c>
      <c r="AG82" s="27" t="s">
        <v>13</v>
      </c>
      <c r="AM82" s="31">
        <f>F82*AE82</f>
        <v>0</v>
      </c>
      <c r="AN82" s="31">
        <f>F82*AF82</f>
        <v>0</v>
      </c>
      <c r="AO82" s="32" t="s">
        <v>329</v>
      </c>
      <c r="AP82" s="32" t="s">
        <v>343</v>
      </c>
      <c r="AQ82" s="24" t="s">
        <v>345</v>
      </c>
      <c r="AS82" s="31">
        <f>AM82+AN82</f>
        <v>0</v>
      </c>
      <c r="AT82" s="31">
        <f>G82/(100-AU82)*100</f>
        <v>0</v>
      </c>
      <c r="AU82" s="31">
        <v>0</v>
      </c>
      <c r="AV82" s="31">
        <f>L82</f>
        <v>0.012780000000000001</v>
      </c>
    </row>
    <row r="83" spans="1:48" ht="12.75">
      <c r="A83" s="4" t="s">
        <v>55</v>
      </c>
      <c r="B83" s="4"/>
      <c r="C83" s="4" t="s">
        <v>135</v>
      </c>
      <c r="D83" s="4" t="s">
        <v>247</v>
      </c>
      <c r="E83" s="4" t="s">
        <v>293</v>
      </c>
      <c r="F83" s="16">
        <v>1278</v>
      </c>
      <c r="G83" s="16">
        <v>0</v>
      </c>
      <c r="H83" s="16">
        <f>F83*AE83</f>
        <v>0</v>
      </c>
      <c r="I83" s="16">
        <f>J83-H83</f>
        <v>0</v>
      </c>
      <c r="J83" s="16">
        <f>F83*G83</f>
        <v>0</v>
      </c>
      <c r="K83" s="16">
        <v>0</v>
      </c>
      <c r="L83" s="16">
        <f>F83*K83</f>
        <v>0</v>
      </c>
      <c r="M83" s="27" t="s">
        <v>315</v>
      </c>
      <c r="P83" s="31">
        <f>IF(AG83="5",J83,0)</f>
        <v>0</v>
      </c>
      <c r="R83" s="31">
        <f>IF(AG83="1",H83,0)</f>
        <v>0</v>
      </c>
      <c r="S83" s="31">
        <f>IF(AG83="1",I83,0)</f>
        <v>0</v>
      </c>
      <c r="T83" s="31">
        <f>IF(AG83="7",H83,0)</f>
        <v>0</v>
      </c>
      <c r="U83" s="31">
        <f>IF(AG83="7",I83,0)</f>
        <v>0</v>
      </c>
      <c r="V83" s="31">
        <f>IF(AG83="2",H83,0)</f>
        <v>0</v>
      </c>
      <c r="W83" s="31">
        <f>IF(AG83="2",I83,0)</f>
        <v>0</v>
      </c>
      <c r="X83" s="31">
        <f>IF(AG83="0",J83,0)</f>
        <v>0</v>
      </c>
      <c r="Y83" s="24"/>
      <c r="Z83" s="16">
        <f>IF(AD83=0,J83,0)</f>
        <v>0</v>
      </c>
      <c r="AA83" s="16">
        <f>IF(AD83=15,J83,0)</f>
        <v>0</v>
      </c>
      <c r="AB83" s="16">
        <f>IF(AD83=21,J83,0)</f>
        <v>0</v>
      </c>
      <c r="AD83" s="31">
        <v>21</v>
      </c>
      <c r="AE83" s="31">
        <f>G83*0.021370207416719</f>
        <v>0</v>
      </c>
      <c r="AF83" s="31">
        <f>G83*(1-0.021370207416719)</f>
        <v>0</v>
      </c>
      <c r="AG83" s="27" t="s">
        <v>13</v>
      </c>
      <c r="AM83" s="31">
        <f>F83*AE83</f>
        <v>0</v>
      </c>
      <c r="AN83" s="31">
        <f>F83*AF83</f>
        <v>0</v>
      </c>
      <c r="AO83" s="32" t="s">
        <v>329</v>
      </c>
      <c r="AP83" s="32" t="s">
        <v>343</v>
      </c>
      <c r="AQ83" s="24" t="s">
        <v>345</v>
      </c>
      <c r="AS83" s="31">
        <f>AM83+AN83</f>
        <v>0</v>
      </c>
      <c r="AT83" s="31">
        <f>G83/(100-AU83)*100</f>
        <v>0</v>
      </c>
      <c r="AU83" s="31">
        <v>0</v>
      </c>
      <c r="AV83" s="31">
        <f>L83</f>
        <v>0</v>
      </c>
    </row>
    <row r="84" spans="1:37" ht="12.75">
      <c r="A84" s="5"/>
      <c r="B84" s="12"/>
      <c r="C84" s="12" t="s">
        <v>136</v>
      </c>
      <c r="D84" s="88" t="s">
        <v>248</v>
      </c>
      <c r="E84" s="89"/>
      <c r="F84" s="89"/>
      <c r="G84" s="89"/>
      <c r="H84" s="34">
        <f>SUM(H85:H87)</f>
        <v>0</v>
      </c>
      <c r="I84" s="34">
        <f>SUM(I85:I87)</f>
        <v>0</v>
      </c>
      <c r="J84" s="34">
        <f>H84+I84</f>
        <v>0</v>
      </c>
      <c r="K84" s="24"/>
      <c r="L84" s="34">
        <f>SUM(L85:L87)</f>
        <v>2.083</v>
      </c>
      <c r="M84" s="24"/>
      <c r="Y84" s="24"/>
      <c r="AI84" s="34">
        <f>SUM(Z85:Z87)</f>
        <v>0</v>
      </c>
      <c r="AJ84" s="34">
        <f>SUM(AA85:AA87)</f>
        <v>0</v>
      </c>
      <c r="AK84" s="34">
        <f>SUM(AB85:AB87)</f>
        <v>0</v>
      </c>
    </row>
    <row r="85" spans="1:48" ht="12.75">
      <c r="A85" s="4" t="s">
        <v>56</v>
      </c>
      <c r="B85" s="4"/>
      <c r="C85" s="4" t="s">
        <v>137</v>
      </c>
      <c r="D85" s="4" t="s">
        <v>249</v>
      </c>
      <c r="E85" s="4" t="s">
        <v>296</v>
      </c>
      <c r="F85" s="16">
        <v>128</v>
      </c>
      <c r="G85" s="16">
        <v>0</v>
      </c>
      <c r="H85" s="16">
        <f>F85*AE85</f>
        <v>0</v>
      </c>
      <c r="I85" s="16">
        <f>J85-H85</f>
        <v>0</v>
      </c>
      <c r="J85" s="16">
        <f>F85*G85</f>
        <v>0</v>
      </c>
      <c r="K85" s="16">
        <v>0.01</v>
      </c>
      <c r="L85" s="16">
        <f>F85*K85</f>
        <v>1.28</v>
      </c>
      <c r="M85" s="27" t="s">
        <v>315</v>
      </c>
      <c r="P85" s="31">
        <f>IF(AG85="5",J85,0)</f>
        <v>0</v>
      </c>
      <c r="R85" s="31">
        <f>IF(AG85="1",H85,0)</f>
        <v>0</v>
      </c>
      <c r="S85" s="31">
        <f>IF(AG85="1",I85,0)</f>
        <v>0</v>
      </c>
      <c r="T85" s="31">
        <f>IF(AG85="7",H85,0)</f>
        <v>0</v>
      </c>
      <c r="U85" s="31">
        <f>IF(AG85="7",I85,0)</f>
        <v>0</v>
      </c>
      <c r="V85" s="31">
        <f>IF(AG85="2",H85,0)</f>
        <v>0</v>
      </c>
      <c r="W85" s="31">
        <f>IF(AG85="2",I85,0)</f>
        <v>0</v>
      </c>
      <c r="X85" s="31">
        <f>IF(AG85="0",J85,0)</f>
        <v>0</v>
      </c>
      <c r="Y85" s="24"/>
      <c r="Z85" s="16">
        <f>IF(AD85=0,J85,0)</f>
        <v>0</v>
      </c>
      <c r="AA85" s="16">
        <f>IF(AD85=15,J85,0)</f>
        <v>0</v>
      </c>
      <c r="AB85" s="16">
        <f>IF(AD85=21,J85,0)</f>
        <v>0</v>
      </c>
      <c r="AD85" s="31">
        <v>21</v>
      </c>
      <c r="AE85" s="31">
        <f>G85*0.761904761904762</f>
        <v>0</v>
      </c>
      <c r="AF85" s="31">
        <f>G85*(1-0.761904761904762)</f>
        <v>0</v>
      </c>
      <c r="AG85" s="27" t="s">
        <v>13</v>
      </c>
      <c r="AM85" s="31">
        <f>F85*AE85</f>
        <v>0</v>
      </c>
      <c r="AN85" s="31">
        <f>F85*AF85</f>
        <v>0</v>
      </c>
      <c r="AO85" s="32" t="s">
        <v>330</v>
      </c>
      <c r="AP85" s="32" t="s">
        <v>343</v>
      </c>
      <c r="AQ85" s="24" t="s">
        <v>345</v>
      </c>
      <c r="AS85" s="31">
        <f>AM85+AN85</f>
        <v>0</v>
      </c>
      <c r="AT85" s="31">
        <f>G85/(100-AU85)*100</f>
        <v>0</v>
      </c>
      <c r="AU85" s="31">
        <v>0</v>
      </c>
      <c r="AV85" s="31">
        <f>L85</f>
        <v>1.28</v>
      </c>
    </row>
    <row r="86" spans="1:48" ht="12.75">
      <c r="A86" s="4" t="s">
        <v>57</v>
      </c>
      <c r="B86" s="4"/>
      <c r="C86" s="4" t="s">
        <v>138</v>
      </c>
      <c r="D86" s="4" t="s">
        <v>250</v>
      </c>
      <c r="E86" s="4" t="s">
        <v>296</v>
      </c>
      <c r="F86" s="16">
        <v>80</v>
      </c>
      <c r="G86" s="16">
        <v>0</v>
      </c>
      <c r="H86" s="16">
        <f>F86*AE86</f>
        <v>0</v>
      </c>
      <c r="I86" s="16">
        <f>J86-H86</f>
        <v>0</v>
      </c>
      <c r="J86" s="16">
        <f>F86*G86</f>
        <v>0</v>
      </c>
      <c r="K86" s="16">
        <v>0.01</v>
      </c>
      <c r="L86" s="16">
        <f>F86*K86</f>
        <v>0.8</v>
      </c>
      <c r="M86" s="27" t="s">
        <v>315</v>
      </c>
      <c r="P86" s="31">
        <f>IF(AG86="5",J86,0)</f>
        <v>0</v>
      </c>
      <c r="R86" s="31">
        <f>IF(AG86="1",H86,0)</f>
        <v>0</v>
      </c>
      <c r="S86" s="31">
        <f>IF(AG86="1",I86,0)</f>
        <v>0</v>
      </c>
      <c r="T86" s="31">
        <f>IF(AG86="7",H86,0)</f>
        <v>0</v>
      </c>
      <c r="U86" s="31">
        <f>IF(AG86="7",I86,0)</f>
        <v>0</v>
      </c>
      <c r="V86" s="31">
        <f>IF(AG86="2",H86,0)</f>
        <v>0</v>
      </c>
      <c r="W86" s="31">
        <f>IF(AG86="2",I86,0)</f>
        <v>0</v>
      </c>
      <c r="X86" s="31">
        <f>IF(AG86="0",J86,0)</f>
        <v>0</v>
      </c>
      <c r="Y86" s="24"/>
      <c r="Z86" s="16">
        <f>IF(AD86=0,J86,0)</f>
        <v>0</v>
      </c>
      <c r="AA86" s="16">
        <f>IF(AD86=15,J86,0)</f>
        <v>0</v>
      </c>
      <c r="AB86" s="16">
        <f>IF(AD86=21,J86,0)</f>
        <v>0</v>
      </c>
      <c r="AD86" s="31">
        <v>21</v>
      </c>
      <c r="AE86" s="31">
        <f>G86*0.736842105263158</f>
        <v>0</v>
      </c>
      <c r="AF86" s="31">
        <f>G86*(1-0.736842105263158)</f>
        <v>0</v>
      </c>
      <c r="AG86" s="27" t="s">
        <v>13</v>
      </c>
      <c r="AM86" s="31">
        <f>F86*AE86</f>
        <v>0</v>
      </c>
      <c r="AN86" s="31">
        <f>F86*AF86</f>
        <v>0</v>
      </c>
      <c r="AO86" s="32" t="s">
        <v>330</v>
      </c>
      <c r="AP86" s="32" t="s">
        <v>343</v>
      </c>
      <c r="AQ86" s="24" t="s">
        <v>345</v>
      </c>
      <c r="AS86" s="31">
        <f>AM86+AN86</f>
        <v>0</v>
      </c>
      <c r="AT86" s="31">
        <f>G86/(100-AU86)*100</f>
        <v>0</v>
      </c>
      <c r="AU86" s="31">
        <v>0</v>
      </c>
      <c r="AV86" s="31">
        <f>L86</f>
        <v>0.8</v>
      </c>
    </row>
    <row r="87" spans="1:48" ht="12.75">
      <c r="A87" s="4" t="s">
        <v>58</v>
      </c>
      <c r="B87" s="4"/>
      <c r="C87" s="4" t="s">
        <v>139</v>
      </c>
      <c r="D87" s="4" t="s">
        <v>251</v>
      </c>
      <c r="E87" s="4" t="s">
        <v>296</v>
      </c>
      <c r="F87" s="16">
        <v>1</v>
      </c>
      <c r="G87" s="16">
        <v>0</v>
      </c>
      <c r="H87" s="16">
        <f>F87*AE87</f>
        <v>0</v>
      </c>
      <c r="I87" s="16">
        <f>J87-H87</f>
        <v>0</v>
      </c>
      <c r="J87" s="16">
        <f>F87*G87</f>
        <v>0</v>
      </c>
      <c r="K87" s="16">
        <v>0.003</v>
      </c>
      <c r="L87" s="16">
        <f>F87*K87</f>
        <v>0.003</v>
      </c>
      <c r="M87" s="27" t="s">
        <v>315</v>
      </c>
      <c r="P87" s="31">
        <f>IF(AG87="5",J87,0)</f>
        <v>0</v>
      </c>
      <c r="R87" s="31">
        <f>IF(AG87="1",H87,0)</f>
        <v>0</v>
      </c>
      <c r="S87" s="31">
        <f>IF(AG87="1",I87,0)</f>
        <v>0</v>
      </c>
      <c r="T87" s="31">
        <f>IF(AG87="7",H87,0)</f>
        <v>0</v>
      </c>
      <c r="U87" s="31">
        <f>IF(AG87="7",I87,0)</f>
        <v>0</v>
      </c>
      <c r="V87" s="31">
        <f>IF(AG87="2",H87,0)</f>
        <v>0</v>
      </c>
      <c r="W87" s="31">
        <f>IF(AG87="2",I87,0)</f>
        <v>0</v>
      </c>
      <c r="X87" s="31">
        <f>IF(AG87="0",J87,0)</f>
        <v>0</v>
      </c>
      <c r="Y87" s="24"/>
      <c r="Z87" s="16">
        <f>IF(AD87=0,J87,0)</f>
        <v>0</v>
      </c>
      <c r="AA87" s="16">
        <f>IF(AD87=15,J87,0)</f>
        <v>0</v>
      </c>
      <c r="AB87" s="16">
        <f>IF(AD87=21,J87,0)</f>
        <v>0</v>
      </c>
      <c r="AD87" s="31">
        <v>21</v>
      </c>
      <c r="AE87" s="31">
        <f>G87*0.979381443298969</f>
        <v>0</v>
      </c>
      <c r="AF87" s="31">
        <f>G87*(1-0.979381443298969)</f>
        <v>0</v>
      </c>
      <c r="AG87" s="27" t="s">
        <v>13</v>
      </c>
      <c r="AM87" s="31">
        <f>F87*AE87</f>
        <v>0</v>
      </c>
      <c r="AN87" s="31">
        <f>F87*AF87</f>
        <v>0</v>
      </c>
      <c r="AO87" s="32" t="s">
        <v>330</v>
      </c>
      <c r="AP87" s="32" t="s">
        <v>343</v>
      </c>
      <c r="AQ87" s="24" t="s">
        <v>345</v>
      </c>
      <c r="AS87" s="31">
        <f>AM87+AN87</f>
        <v>0</v>
      </c>
      <c r="AT87" s="31">
        <f>G87/(100-AU87)*100</f>
        <v>0</v>
      </c>
      <c r="AU87" s="31">
        <v>0</v>
      </c>
      <c r="AV87" s="31">
        <f>L87</f>
        <v>0.003</v>
      </c>
    </row>
    <row r="88" spans="1:37" ht="12.75">
      <c r="A88" s="5"/>
      <c r="B88" s="12"/>
      <c r="C88" s="12" t="s">
        <v>140</v>
      </c>
      <c r="D88" s="88" t="s">
        <v>252</v>
      </c>
      <c r="E88" s="89"/>
      <c r="F88" s="89"/>
      <c r="G88" s="89"/>
      <c r="H88" s="34">
        <f>SUM(H89:H98)</f>
        <v>0</v>
      </c>
      <c r="I88" s="34">
        <f>SUM(I89:I98)</f>
        <v>0</v>
      </c>
      <c r="J88" s="34">
        <f>H88+I88</f>
        <v>0</v>
      </c>
      <c r="K88" s="24"/>
      <c r="L88" s="34">
        <f>SUM(L89:L98)</f>
        <v>1.02482</v>
      </c>
      <c r="M88" s="24"/>
      <c r="Y88" s="24"/>
      <c r="AI88" s="34">
        <f>SUM(Z89:Z98)</f>
        <v>0</v>
      </c>
      <c r="AJ88" s="34">
        <f>SUM(AA89:AA98)</f>
        <v>0</v>
      </c>
      <c r="AK88" s="34">
        <f>SUM(AB89:AB98)</f>
        <v>0</v>
      </c>
    </row>
    <row r="89" spans="1:48" ht="12.75">
      <c r="A89" s="4" t="s">
        <v>59</v>
      </c>
      <c r="B89" s="4"/>
      <c r="C89" s="4" t="s">
        <v>141</v>
      </c>
      <c r="D89" s="4" t="s">
        <v>253</v>
      </c>
      <c r="E89" s="4" t="s">
        <v>292</v>
      </c>
      <c r="F89" s="16">
        <v>9</v>
      </c>
      <c r="G89" s="16">
        <v>0</v>
      </c>
      <c r="H89" s="16">
        <f aca="true" t="shared" si="60" ref="H89:H98">F89*AE89</f>
        <v>0</v>
      </c>
      <c r="I89" s="16">
        <f aca="true" t="shared" si="61" ref="I89:I98">J89-H89</f>
        <v>0</v>
      </c>
      <c r="J89" s="16">
        <f aca="true" t="shared" si="62" ref="J89:J98">F89*G89</f>
        <v>0</v>
      </c>
      <c r="K89" s="16">
        <v>3E-05</v>
      </c>
      <c r="L89" s="16">
        <f aca="true" t="shared" si="63" ref="L89:L98">F89*K89</f>
        <v>0.00027</v>
      </c>
      <c r="M89" s="27" t="s">
        <v>315</v>
      </c>
      <c r="P89" s="31">
        <f aca="true" t="shared" si="64" ref="P89:P98">IF(AG89="5",J89,0)</f>
        <v>0</v>
      </c>
      <c r="R89" s="31">
        <f aca="true" t="shared" si="65" ref="R89:R98">IF(AG89="1",H89,0)</f>
        <v>0</v>
      </c>
      <c r="S89" s="31">
        <f aca="true" t="shared" si="66" ref="S89:S98">IF(AG89="1",I89,0)</f>
        <v>0</v>
      </c>
      <c r="T89" s="31">
        <f aca="true" t="shared" si="67" ref="T89:T98">IF(AG89="7",H89,0)</f>
        <v>0</v>
      </c>
      <c r="U89" s="31">
        <f aca="true" t="shared" si="68" ref="U89:U98">IF(AG89="7",I89,0)</f>
        <v>0</v>
      </c>
      <c r="V89" s="31">
        <f aca="true" t="shared" si="69" ref="V89:V98">IF(AG89="2",H89,0)</f>
        <v>0</v>
      </c>
      <c r="W89" s="31">
        <f aca="true" t="shared" si="70" ref="W89:W98">IF(AG89="2",I89,0)</f>
        <v>0</v>
      </c>
      <c r="X89" s="31">
        <f aca="true" t="shared" si="71" ref="X89:X98">IF(AG89="0",J89,0)</f>
        <v>0</v>
      </c>
      <c r="Y89" s="24"/>
      <c r="Z89" s="16">
        <f aca="true" t="shared" si="72" ref="Z89:Z98">IF(AD89=0,J89,0)</f>
        <v>0</v>
      </c>
      <c r="AA89" s="16">
        <f aca="true" t="shared" si="73" ref="AA89:AA98">IF(AD89=15,J89,0)</f>
        <v>0</v>
      </c>
      <c r="AB89" s="16">
        <f aca="true" t="shared" si="74" ref="AB89:AB98">IF(AD89=21,J89,0)</f>
        <v>0</v>
      </c>
      <c r="AD89" s="31">
        <v>21</v>
      </c>
      <c r="AE89" s="31">
        <f>G89*0.0121513944223108</f>
        <v>0</v>
      </c>
      <c r="AF89" s="31">
        <f>G89*(1-0.0121513944223108)</f>
        <v>0</v>
      </c>
      <c r="AG89" s="27" t="s">
        <v>13</v>
      </c>
      <c r="AM89" s="31">
        <f aca="true" t="shared" si="75" ref="AM89:AM98">F89*AE89</f>
        <v>0</v>
      </c>
      <c r="AN89" s="31">
        <f aca="true" t="shared" si="76" ref="AN89:AN98">F89*AF89</f>
        <v>0</v>
      </c>
      <c r="AO89" s="32" t="s">
        <v>331</v>
      </c>
      <c r="AP89" s="32" t="s">
        <v>343</v>
      </c>
      <c r="AQ89" s="24" t="s">
        <v>345</v>
      </c>
      <c r="AS89" s="31">
        <f aca="true" t="shared" si="77" ref="AS89:AS98">AM89+AN89</f>
        <v>0</v>
      </c>
      <c r="AT89" s="31">
        <f aca="true" t="shared" si="78" ref="AT89:AT98">G89/(100-AU89)*100</f>
        <v>0</v>
      </c>
      <c r="AU89" s="31">
        <v>0</v>
      </c>
      <c r="AV89" s="31">
        <f aca="true" t="shared" si="79" ref="AV89:AV98">L89</f>
        <v>0.00027</v>
      </c>
    </row>
    <row r="90" spans="1:48" ht="12.75">
      <c r="A90" s="4" t="s">
        <v>60</v>
      </c>
      <c r="B90" s="4"/>
      <c r="C90" s="4" t="s">
        <v>142</v>
      </c>
      <c r="D90" s="4" t="s">
        <v>254</v>
      </c>
      <c r="E90" s="4" t="s">
        <v>292</v>
      </c>
      <c r="F90" s="16">
        <v>14</v>
      </c>
      <c r="G90" s="16">
        <v>0</v>
      </c>
      <c r="H90" s="16">
        <f t="shared" si="60"/>
        <v>0</v>
      </c>
      <c r="I90" s="16">
        <f t="shared" si="61"/>
        <v>0</v>
      </c>
      <c r="J90" s="16">
        <f t="shared" si="62"/>
        <v>0</v>
      </c>
      <c r="K90" s="16">
        <v>0</v>
      </c>
      <c r="L90" s="16">
        <f t="shared" si="63"/>
        <v>0</v>
      </c>
      <c r="M90" s="27" t="s">
        <v>315</v>
      </c>
      <c r="P90" s="31">
        <f t="shared" si="64"/>
        <v>0</v>
      </c>
      <c r="R90" s="31">
        <f t="shared" si="65"/>
        <v>0</v>
      </c>
      <c r="S90" s="31">
        <f t="shared" si="66"/>
        <v>0</v>
      </c>
      <c r="T90" s="31">
        <f t="shared" si="67"/>
        <v>0</v>
      </c>
      <c r="U90" s="31">
        <f t="shared" si="68"/>
        <v>0</v>
      </c>
      <c r="V90" s="31">
        <f t="shared" si="69"/>
        <v>0</v>
      </c>
      <c r="W90" s="31">
        <f t="shared" si="70"/>
        <v>0</v>
      </c>
      <c r="X90" s="31">
        <f t="shared" si="71"/>
        <v>0</v>
      </c>
      <c r="Y90" s="24"/>
      <c r="Z90" s="16">
        <f t="shared" si="72"/>
        <v>0</v>
      </c>
      <c r="AA90" s="16">
        <f t="shared" si="73"/>
        <v>0</v>
      </c>
      <c r="AB90" s="16">
        <f t="shared" si="74"/>
        <v>0</v>
      </c>
      <c r="AD90" s="31">
        <v>21</v>
      </c>
      <c r="AE90" s="31">
        <f>G90*0</f>
        <v>0</v>
      </c>
      <c r="AF90" s="31">
        <f>G90*(1-0)</f>
        <v>0</v>
      </c>
      <c r="AG90" s="27" t="s">
        <v>13</v>
      </c>
      <c r="AM90" s="31">
        <f t="shared" si="75"/>
        <v>0</v>
      </c>
      <c r="AN90" s="31">
        <f t="shared" si="76"/>
        <v>0</v>
      </c>
      <c r="AO90" s="32" t="s">
        <v>331</v>
      </c>
      <c r="AP90" s="32" t="s">
        <v>343</v>
      </c>
      <c r="AQ90" s="24" t="s">
        <v>345</v>
      </c>
      <c r="AS90" s="31">
        <f t="shared" si="77"/>
        <v>0</v>
      </c>
      <c r="AT90" s="31">
        <f t="shared" si="78"/>
        <v>0</v>
      </c>
      <c r="AU90" s="31">
        <v>0</v>
      </c>
      <c r="AV90" s="31">
        <f t="shared" si="79"/>
        <v>0</v>
      </c>
    </row>
    <row r="91" spans="1:48" ht="12.75">
      <c r="A91" s="4" t="s">
        <v>61</v>
      </c>
      <c r="B91" s="4"/>
      <c r="C91" s="4" t="s">
        <v>143</v>
      </c>
      <c r="D91" s="4" t="s">
        <v>255</v>
      </c>
      <c r="E91" s="4" t="s">
        <v>292</v>
      </c>
      <c r="F91" s="16">
        <v>14</v>
      </c>
      <c r="G91" s="16">
        <v>0</v>
      </c>
      <c r="H91" s="16">
        <f t="shared" si="60"/>
        <v>0</v>
      </c>
      <c r="I91" s="16">
        <f t="shared" si="61"/>
        <v>0</v>
      </c>
      <c r="J91" s="16">
        <f t="shared" si="62"/>
        <v>0</v>
      </c>
      <c r="K91" s="16">
        <v>2E-05</v>
      </c>
      <c r="L91" s="16">
        <f t="shared" si="63"/>
        <v>0.00028000000000000003</v>
      </c>
      <c r="M91" s="27" t="s">
        <v>315</v>
      </c>
      <c r="P91" s="31">
        <f t="shared" si="64"/>
        <v>0</v>
      </c>
      <c r="R91" s="31">
        <f t="shared" si="65"/>
        <v>0</v>
      </c>
      <c r="S91" s="31">
        <f t="shared" si="66"/>
        <v>0</v>
      </c>
      <c r="T91" s="31">
        <f t="shared" si="67"/>
        <v>0</v>
      </c>
      <c r="U91" s="31">
        <f t="shared" si="68"/>
        <v>0</v>
      </c>
      <c r="V91" s="31">
        <f t="shared" si="69"/>
        <v>0</v>
      </c>
      <c r="W91" s="31">
        <f t="shared" si="70"/>
        <v>0</v>
      </c>
      <c r="X91" s="31">
        <f t="shared" si="71"/>
        <v>0</v>
      </c>
      <c r="Y91" s="24"/>
      <c r="Z91" s="16">
        <f t="shared" si="72"/>
        <v>0</v>
      </c>
      <c r="AA91" s="16">
        <f t="shared" si="73"/>
        <v>0</v>
      </c>
      <c r="AB91" s="16">
        <f t="shared" si="74"/>
        <v>0</v>
      </c>
      <c r="AD91" s="31">
        <v>21</v>
      </c>
      <c r="AE91" s="31">
        <f>G91*0.048</f>
        <v>0</v>
      </c>
      <c r="AF91" s="31">
        <f>G91*(1-0.048)</f>
        <v>0</v>
      </c>
      <c r="AG91" s="27" t="s">
        <v>13</v>
      </c>
      <c r="AM91" s="31">
        <f t="shared" si="75"/>
        <v>0</v>
      </c>
      <c r="AN91" s="31">
        <f t="shared" si="76"/>
        <v>0</v>
      </c>
      <c r="AO91" s="32" t="s">
        <v>331</v>
      </c>
      <c r="AP91" s="32" t="s">
        <v>343</v>
      </c>
      <c r="AQ91" s="24" t="s">
        <v>345</v>
      </c>
      <c r="AS91" s="31">
        <f t="shared" si="77"/>
        <v>0</v>
      </c>
      <c r="AT91" s="31">
        <f t="shared" si="78"/>
        <v>0</v>
      </c>
      <c r="AU91" s="31">
        <v>0</v>
      </c>
      <c r="AV91" s="31">
        <f t="shared" si="79"/>
        <v>0.00028000000000000003</v>
      </c>
    </row>
    <row r="92" spans="1:48" ht="12.75">
      <c r="A92" s="4" t="s">
        <v>62</v>
      </c>
      <c r="B92" s="4"/>
      <c r="C92" s="4" t="s">
        <v>144</v>
      </c>
      <c r="D92" s="4" t="s">
        <v>256</v>
      </c>
      <c r="E92" s="4" t="s">
        <v>295</v>
      </c>
      <c r="F92" s="16">
        <v>5</v>
      </c>
      <c r="G92" s="16">
        <v>0</v>
      </c>
      <c r="H92" s="16">
        <f t="shared" si="60"/>
        <v>0</v>
      </c>
      <c r="I92" s="16">
        <f t="shared" si="61"/>
        <v>0</v>
      </c>
      <c r="J92" s="16">
        <f t="shared" si="62"/>
        <v>0</v>
      </c>
      <c r="K92" s="16">
        <v>0.0329</v>
      </c>
      <c r="L92" s="16">
        <f t="shared" si="63"/>
        <v>0.16449999999999998</v>
      </c>
      <c r="M92" s="27" t="s">
        <v>315</v>
      </c>
      <c r="P92" s="31">
        <f t="shared" si="64"/>
        <v>0</v>
      </c>
      <c r="R92" s="31">
        <f t="shared" si="65"/>
        <v>0</v>
      </c>
      <c r="S92" s="31">
        <f t="shared" si="66"/>
        <v>0</v>
      </c>
      <c r="T92" s="31">
        <f t="shared" si="67"/>
        <v>0</v>
      </c>
      <c r="U92" s="31">
        <f t="shared" si="68"/>
        <v>0</v>
      </c>
      <c r="V92" s="31">
        <f t="shared" si="69"/>
        <v>0</v>
      </c>
      <c r="W92" s="31">
        <f t="shared" si="70"/>
        <v>0</v>
      </c>
      <c r="X92" s="31">
        <f t="shared" si="71"/>
        <v>0</v>
      </c>
      <c r="Y92" s="24"/>
      <c r="Z92" s="16">
        <f t="shared" si="72"/>
        <v>0</v>
      </c>
      <c r="AA92" s="16">
        <f t="shared" si="73"/>
        <v>0</v>
      </c>
      <c r="AB92" s="16">
        <f t="shared" si="74"/>
        <v>0</v>
      </c>
      <c r="AD92" s="31">
        <v>21</v>
      </c>
      <c r="AE92" s="31">
        <f>G92*0</f>
        <v>0</v>
      </c>
      <c r="AF92" s="31">
        <f>G92*(1-0)</f>
        <v>0</v>
      </c>
      <c r="AG92" s="27" t="s">
        <v>13</v>
      </c>
      <c r="AM92" s="31">
        <f t="shared" si="75"/>
        <v>0</v>
      </c>
      <c r="AN92" s="31">
        <f t="shared" si="76"/>
        <v>0</v>
      </c>
      <c r="AO92" s="32" t="s">
        <v>331</v>
      </c>
      <c r="AP92" s="32" t="s">
        <v>343</v>
      </c>
      <c r="AQ92" s="24" t="s">
        <v>345</v>
      </c>
      <c r="AS92" s="31">
        <f t="shared" si="77"/>
        <v>0</v>
      </c>
      <c r="AT92" s="31">
        <f t="shared" si="78"/>
        <v>0</v>
      </c>
      <c r="AU92" s="31">
        <v>0</v>
      </c>
      <c r="AV92" s="31">
        <f t="shared" si="79"/>
        <v>0.16449999999999998</v>
      </c>
    </row>
    <row r="93" spans="1:48" ht="12.75">
      <c r="A93" s="4" t="s">
        <v>63</v>
      </c>
      <c r="B93" s="4"/>
      <c r="C93" s="4" t="s">
        <v>145</v>
      </c>
      <c r="D93" s="4" t="s">
        <v>257</v>
      </c>
      <c r="E93" s="4" t="s">
        <v>295</v>
      </c>
      <c r="F93" s="16">
        <v>5</v>
      </c>
      <c r="G93" s="16">
        <v>0</v>
      </c>
      <c r="H93" s="16">
        <f t="shared" si="60"/>
        <v>0</v>
      </c>
      <c r="I93" s="16">
        <f t="shared" si="61"/>
        <v>0</v>
      </c>
      <c r="J93" s="16">
        <f t="shared" si="62"/>
        <v>0</v>
      </c>
      <c r="K93" s="16">
        <v>0.00049</v>
      </c>
      <c r="L93" s="16">
        <f t="shared" si="63"/>
        <v>0.00245</v>
      </c>
      <c r="M93" s="27" t="s">
        <v>315</v>
      </c>
      <c r="P93" s="31">
        <f t="shared" si="64"/>
        <v>0</v>
      </c>
      <c r="R93" s="31">
        <f t="shared" si="65"/>
        <v>0</v>
      </c>
      <c r="S93" s="31">
        <f t="shared" si="66"/>
        <v>0</v>
      </c>
      <c r="T93" s="31">
        <f t="shared" si="67"/>
        <v>0</v>
      </c>
      <c r="U93" s="31">
        <f t="shared" si="68"/>
        <v>0</v>
      </c>
      <c r="V93" s="31">
        <f t="shared" si="69"/>
        <v>0</v>
      </c>
      <c r="W93" s="31">
        <f t="shared" si="70"/>
        <v>0</v>
      </c>
      <c r="X93" s="31">
        <f t="shared" si="71"/>
        <v>0</v>
      </c>
      <c r="Y93" s="24"/>
      <c r="Z93" s="16">
        <f t="shared" si="72"/>
        <v>0</v>
      </c>
      <c r="AA93" s="16">
        <f t="shared" si="73"/>
        <v>0</v>
      </c>
      <c r="AB93" s="16">
        <f t="shared" si="74"/>
        <v>0</v>
      </c>
      <c r="AD93" s="31">
        <v>21</v>
      </c>
      <c r="AE93" s="31">
        <f>G93*0.223597667638484</f>
        <v>0</v>
      </c>
      <c r="AF93" s="31">
        <f>G93*(1-0.223597667638484)</f>
        <v>0</v>
      </c>
      <c r="AG93" s="27" t="s">
        <v>13</v>
      </c>
      <c r="AM93" s="31">
        <f t="shared" si="75"/>
        <v>0</v>
      </c>
      <c r="AN93" s="31">
        <f t="shared" si="76"/>
        <v>0</v>
      </c>
      <c r="AO93" s="32" t="s">
        <v>331</v>
      </c>
      <c r="AP93" s="32" t="s">
        <v>343</v>
      </c>
      <c r="AQ93" s="24" t="s">
        <v>345</v>
      </c>
      <c r="AS93" s="31">
        <f t="shared" si="77"/>
        <v>0</v>
      </c>
      <c r="AT93" s="31">
        <f t="shared" si="78"/>
        <v>0</v>
      </c>
      <c r="AU93" s="31">
        <v>0</v>
      </c>
      <c r="AV93" s="31">
        <f t="shared" si="79"/>
        <v>0.00245</v>
      </c>
    </row>
    <row r="94" spans="1:48" ht="12.75">
      <c r="A94" s="4" t="s">
        <v>64</v>
      </c>
      <c r="B94" s="4"/>
      <c r="C94" s="4" t="s">
        <v>146</v>
      </c>
      <c r="D94" s="4" t="s">
        <v>258</v>
      </c>
      <c r="E94" s="4" t="s">
        <v>292</v>
      </c>
      <c r="F94" s="16">
        <v>48</v>
      </c>
      <c r="G94" s="16">
        <v>0</v>
      </c>
      <c r="H94" s="16">
        <f t="shared" si="60"/>
        <v>0</v>
      </c>
      <c r="I94" s="16">
        <f t="shared" si="61"/>
        <v>0</v>
      </c>
      <c r="J94" s="16">
        <f t="shared" si="62"/>
        <v>0</v>
      </c>
      <c r="K94" s="16">
        <v>0.0008</v>
      </c>
      <c r="L94" s="16">
        <f t="shared" si="63"/>
        <v>0.038400000000000004</v>
      </c>
      <c r="M94" s="27" t="s">
        <v>315</v>
      </c>
      <c r="P94" s="31">
        <f t="shared" si="64"/>
        <v>0</v>
      </c>
      <c r="R94" s="31">
        <f t="shared" si="65"/>
        <v>0</v>
      </c>
      <c r="S94" s="31">
        <f t="shared" si="66"/>
        <v>0</v>
      </c>
      <c r="T94" s="31">
        <f t="shared" si="67"/>
        <v>0</v>
      </c>
      <c r="U94" s="31">
        <f t="shared" si="68"/>
        <v>0</v>
      </c>
      <c r="V94" s="31">
        <f t="shared" si="69"/>
        <v>0</v>
      </c>
      <c r="W94" s="31">
        <f t="shared" si="70"/>
        <v>0</v>
      </c>
      <c r="X94" s="31">
        <f t="shared" si="71"/>
        <v>0</v>
      </c>
      <c r="Y94" s="24"/>
      <c r="Z94" s="16">
        <f t="shared" si="72"/>
        <v>0</v>
      </c>
      <c r="AA94" s="16">
        <f t="shared" si="73"/>
        <v>0</v>
      </c>
      <c r="AB94" s="16">
        <f t="shared" si="74"/>
        <v>0</v>
      </c>
      <c r="AD94" s="31">
        <v>21</v>
      </c>
      <c r="AE94" s="31">
        <f>G94*0.482759924385633</f>
        <v>0</v>
      </c>
      <c r="AF94" s="31">
        <f>G94*(1-0.482759924385633)</f>
        <v>0</v>
      </c>
      <c r="AG94" s="27" t="s">
        <v>13</v>
      </c>
      <c r="AM94" s="31">
        <f t="shared" si="75"/>
        <v>0</v>
      </c>
      <c r="AN94" s="31">
        <f t="shared" si="76"/>
        <v>0</v>
      </c>
      <c r="AO94" s="32" t="s">
        <v>331</v>
      </c>
      <c r="AP94" s="32" t="s">
        <v>343</v>
      </c>
      <c r="AQ94" s="24" t="s">
        <v>345</v>
      </c>
      <c r="AS94" s="31">
        <f t="shared" si="77"/>
        <v>0</v>
      </c>
      <c r="AT94" s="31">
        <f t="shared" si="78"/>
        <v>0</v>
      </c>
      <c r="AU94" s="31">
        <v>0</v>
      </c>
      <c r="AV94" s="31">
        <f t="shared" si="79"/>
        <v>0.038400000000000004</v>
      </c>
    </row>
    <row r="95" spans="1:48" ht="12.75">
      <c r="A95" s="4" t="s">
        <v>65</v>
      </c>
      <c r="B95" s="4"/>
      <c r="C95" s="4" t="s">
        <v>147</v>
      </c>
      <c r="D95" s="4" t="s">
        <v>259</v>
      </c>
      <c r="E95" s="4" t="s">
        <v>292</v>
      </c>
      <c r="F95" s="16">
        <v>17</v>
      </c>
      <c r="G95" s="16">
        <v>0</v>
      </c>
      <c r="H95" s="16">
        <f t="shared" si="60"/>
        <v>0</v>
      </c>
      <c r="I95" s="16">
        <f t="shared" si="61"/>
        <v>0</v>
      </c>
      <c r="J95" s="16">
        <f t="shared" si="62"/>
        <v>0</v>
      </c>
      <c r="K95" s="16">
        <v>0.0007</v>
      </c>
      <c r="L95" s="16">
        <f t="shared" si="63"/>
        <v>0.011899999999999999</v>
      </c>
      <c r="M95" s="27" t="s">
        <v>315</v>
      </c>
      <c r="P95" s="31">
        <f t="shared" si="64"/>
        <v>0</v>
      </c>
      <c r="R95" s="31">
        <f t="shared" si="65"/>
        <v>0</v>
      </c>
      <c r="S95" s="31">
        <f t="shared" si="66"/>
        <v>0</v>
      </c>
      <c r="T95" s="31">
        <f t="shared" si="67"/>
        <v>0</v>
      </c>
      <c r="U95" s="31">
        <f t="shared" si="68"/>
        <v>0</v>
      </c>
      <c r="V95" s="31">
        <f t="shared" si="69"/>
        <v>0</v>
      </c>
      <c r="W95" s="31">
        <f t="shared" si="70"/>
        <v>0</v>
      </c>
      <c r="X95" s="31">
        <f t="shared" si="71"/>
        <v>0</v>
      </c>
      <c r="Y95" s="24"/>
      <c r="Z95" s="16">
        <f t="shared" si="72"/>
        <v>0</v>
      </c>
      <c r="AA95" s="16">
        <f t="shared" si="73"/>
        <v>0</v>
      </c>
      <c r="AB95" s="16">
        <f t="shared" si="74"/>
        <v>0</v>
      </c>
      <c r="AD95" s="31">
        <v>21</v>
      </c>
      <c r="AE95" s="31">
        <f>G95*0.458178217821782</f>
        <v>0</v>
      </c>
      <c r="AF95" s="31">
        <f>G95*(1-0.458178217821782)</f>
        <v>0</v>
      </c>
      <c r="AG95" s="27" t="s">
        <v>13</v>
      </c>
      <c r="AM95" s="31">
        <f t="shared" si="75"/>
        <v>0</v>
      </c>
      <c r="AN95" s="31">
        <f t="shared" si="76"/>
        <v>0</v>
      </c>
      <c r="AO95" s="32" t="s">
        <v>331</v>
      </c>
      <c r="AP95" s="32" t="s">
        <v>343</v>
      </c>
      <c r="AQ95" s="24" t="s">
        <v>345</v>
      </c>
      <c r="AS95" s="31">
        <f t="shared" si="77"/>
        <v>0</v>
      </c>
      <c r="AT95" s="31">
        <f t="shared" si="78"/>
        <v>0</v>
      </c>
      <c r="AU95" s="31">
        <v>0</v>
      </c>
      <c r="AV95" s="31">
        <f t="shared" si="79"/>
        <v>0.011899999999999999</v>
      </c>
    </row>
    <row r="96" spans="1:48" ht="12.75">
      <c r="A96" s="4" t="s">
        <v>66</v>
      </c>
      <c r="B96" s="4"/>
      <c r="C96" s="4" t="s">
        <v>148</v>
      </c>
      <c r="D96" s="4" t="s">
        <v>260</v>
      </c>
      <c r="E96" s="4" t="s">
        <v>295</v>
      </c>
      <c r="F96" s="16">
        <v>25</v>
      </c>
      <c r="G96" s="16">
        <v>0</v>
      </c>
      <c r="H96" s="16">
        <f t="shared" si="60"/>
        <v>0</v>
      </c>
      <c r="I96" s="16">
        <f t="shared" si="61"/>
        <v>0</v>
      </c>
      <c r="J96" s="16">
        <f t="shared" si="62"/>
        <v>0</v>
      </c>
      <c r="K96" s="16">
        <v>0.01933</v>
      </c>
      <c r="L96" s="16">
        <f t="shared" si="63"/>
        <v>0.48325</v>
      </c>
      <c r="M96" s="27" t="s">
        <v>315</v>
      </c>
      <c r="P96" s="31">
        <f t="shared" si="64"/>
        <v>0</v>
      </c>
      <c r="R96" s="31">
        <f t="shared" si="65"/>
        <v>0</v>
      </c>
      <c r="S96" s="31">
        <f t="shared" si="66"/>
        <v>0</v>
      </c>
      <c r="T96" s="31">
        <f t="shared" si="67"/>
        <v>0</v>
      </c>
      <c r="U96" s="31">
        <f t="shared" si="68"/>
        <v>0</v>
      </c>
      <c r="V96" s="31">
        <f t="shared" si="69"/>
        <v>0</v>
      </c>
      <c r="W96" s="31">
        <f t="shared" si="70"/>
        <v>0</v>
      </c>
      <c r="X96" s="31">
        <f t="shared" si="71"/>
        <v>0</v>
      </c>
      <c r="Y96" s="24"/>
      <c r="Z96" s="16">
        <f t="shared" si="72"/>
        <v>0</v>
      </c>
      <c r="AA96" s="16">
        <f t="shared" si="73"/>
        <v>0</v>
      </c>
      <c r="AB96" s="16">
        <f t="shared" si="74"/>
        <v>0</v>
      </c>
      <c r="AD96" s="31">
        <v>21</v>
      </c>
      <c r="AE96" s="31">
        <f>G96*0</f>
        <v>0</v>
      </c>
      <c r="AF96" s="31">
        <f>G96*(1-0)</f>
        <v>0</v>
      </c>
      <c r="AG96" s="27" t="s">
        <v>13</v>
      </c>
      <c r="AM96" s="31">
        <f t="shared" si="75"/>
        <v>0</v>
      </c>
      <c r="AN96" s="31">
        <f t="shared" si="76"/>
        <v>0</v>
      </c>
      <c r="AO96" s="32" t="s">
        <v>331</v>
      </c>
      <c r="AP96" s="32" t="s">
        <v>343</v>
      </c>
      <c r="AQ96" s="24" t="s">
        <v>345</v>
      </c>
      <c r="AS96" s="31">
        <f t="shared" si="77"/>
        <v>0</v>
      </c>
      <c r="AT96" s="31">
        <f t="shared" si="78"/>
        <v>0</v>
      </c>
      <c r="AU96" s="31">
        <v>0</v>
      </c>
      <c r="AV96" s="31">
        <f t="shared" si="79"/>
        <v>0.48325</v>
      </c>
    </row>
    <row r="97" spans="1:48" ht="12.75">
      <c r="A97" s="4" t="s">
        <v>67</v>
      </c>
      <c r="B97" s="4"/>
      <c r="C97" s="4" t="s">
        <v>149</v>
      </c>
      <c r="D97" s="4" t="s">
        <v>261</v>
      </c>
      <c r="E97" s="4" t="s">
        <v>295</v>
      </c>
      <c r="F97" s="16">
        <v>25</v>
      </c>
      <c r="G97" s="16">
        <v>0</v>
      </c>
      <c r="H97" s="16">
        <f t="shared" si="60"/>
        <v>0</v>
      </c>
      <c r="I97" s="16">
        <f t="shared" si="61"/>
        <v>0</v>
      </c>
      <c r="J97" s="16">
        <f t="shared" si="62"/>
        <v>0</v>
      </c>
      <c r="K97" s="16">
        <v>0.00186</v>
      </c>
      <c r="L97" s="16">
        <f t="shared" si="63"/>
        <v>0.0465</v>
      </c>
      <c r="M97" s="27" t="s">
        <v>315</v>
      </c>
      <c r="P97" s="31">
        <f t="shared" si="64"/>
        <v>0</v>
      </c>
      <c r="R97" s="31">
        <f t="shared" si="65"/>
        <v>0</v>
      </c>
      <c r="S97" s="31">
        <f t="shared" si="66"/>
        <v>0</v>
      </c>
      <c r="T97" s="31">
        <f t="shared" si="67"/>
        <v>0</v>
      </c>
      <c r="U97" s="31">
        <f t="shared" si="68"/>
        <v>0</v>
      </c>
      <c r="V97" s="31">
        <f t="shared" si="69"/>
        <v>0</v>
      </c>
      <c r="W97" s="31">
        <f t="shared" si="70"/>
        <v>0</v>
      </c>
      <c r="X97" s="31">
        <f t="shared" si="71"/>
        <v>0</v>
      </c>
      <c r="Y97" s="24"/>
      <c r="Z97" s="16">
        <f t="shared" si="72"/>
        <v>0</v>
      </c>
      <c r="AA97" s="16">
        <f t="shared" si="73"/>
        <v>0</v>
      </c>
      <c r="AB97" s="16">
        <f t="shared" si="74"/>
        <v>0</v>
      </c>
      <c r="AD97" s="31">
        <v>21</v>
      </c>
      <c r="AE97" s="31">
        <f>G97*0.435657158548725</f>
        <v>0</v>
      </c>
      <c r="AF97" s="31">
        <f>G97*(1-0.435657158548725)</f>
        <v>0</v>
      </c>
      <c r="AG97" s="27" t="s">
        <v>13</v>
      </c>
      <c r="AM97" s="31">
        <f t="shared" si="75"/>
        <v>0</v>
      </c>
      <c r="AN97" s="31">
        <f t="shared" si="76"/>
        <v>0</v>
      </c>
      <c r="AO97" s="32" t="s">
        <v>331</v>
      </c>
      <c r="AP97" s="32" t="s">
        <v>343</v>
      </c>
      <c r="AQ97" s="24" t="s">
        <v>345</v>
      </c>
      <c r="AS97" s="31">
        <f t="shared" si="77"/>
        <v>0</v>
      </c>
      <c r="AT97" s="31">
        <f t="shared" si="78"/>
        <v>0</v>
      </c>
      <c r="AU97" s="31">
        <v>0</v>
      </c>
      <c r="AV97" s="31">
        <f t="shared" si="79"/>
        <v>0.0465</v>
      </c>
    </row>
    <row r="98" spans="1:48" ht="12.75">
      <c r="A98" s="4" t="s">
        <v>68</v>
      </c>
      <c r="B98" s="4"/>
      <c r="C98" s="4" t="s">
        <v>150</v>
      </c>
      <c r="D98" s="4" t="s">
        <v>262</v>
      </c>
      <c r="E98" s="4" t="s">
        <v>292</v>
      </c>
      <c r="F98" s="16">
        <v>17</v>
      </c>
      <c r="G98" s="16">
        <v>0</v>
      </c>
      <c r="H98" s="16">
        <f t="shared" si="60"/>
        <v>0</v>
      </c>
      <c r="I98" s="16">
        <f t="shared" si="61"/>
        <v>0</v>
      </c>
      <c r="J98" s="16">
        <f t="shared" si="62"/>
        <v>0</v>
      </c>
      <c r="K98" s="16">
        <v>0.01631</v>
      </c>
      <c r="L98" s="16">
        <f t="shared" si="63"/>
        <v>0.27727</v>
      </c>
      <c r="M98" s="27" t="s">
        <v>315</v>
      </c>
      <c r="P98" s="31">
        <f t="shared" si="64"/>
        <v>0</v>
      </c>
      <c r="R98" s="31">
        <f t="shared" si="65"/>
        <v>0</v>
      </c>
      <c r="S98" s="31">
        <f t="shared" si="66"/>
        <v>0</v>
      </c>
      <c r="T98" s="31">
        <f t="shared" si="67"/>
        <v>0</v>
      </c>
      <c r="U98" s="31">
        <f t="shared" si="68"/>
        <v>0</v>
      </c>
      <c r="V98" s="31">
        <f t="shared" si="69"/>
        <v>0</v>
      </c>
      <c r="W98" s="31">
        <f t="shared" si="70"/>
        <v>0</v>
      </c>
      <c r="X98" s="31">
        <f t="shared" si="71"/>
        <v>0</v>
      </c>
      <c r="Y98" s="24"/>
      <c r="Z98" s="16">
        <f t="shared" si="72"/>
        <v>0</v>
      </c>
      <c r="AA98" s="16">
        <f t="shared" si="73"/>
        <v>0</v>
      </c>
      <c r="AB98" s="16">
        <f t="shared" si="74"/>
        <v>0</v>
      </c>
      <c r="AD98" s="31">
        <v>21</v>
      </c>
      <c r="AE98" s="31">
        <f>G98*0.952787436679503</f>
        <v>0</v>
      </c>
      <c r="AF98" s="31">
        <f>G98*(1-0.952787436679503)</f>
        <v>0</v>
      </c>
      <c r="AG98" s="27" t="s">
        <v>13</v>
      </c>
      <c r="AM98" s="31">
        <f t="shared" si="75"/>
        <v>0</v>
      </c>
      <c r="AN98" s="31">
        <f t="shared" si="76"/>
        <v>0</v>
      </c>
      <c r="AO98" s="32" t="s">
        <v>331</v>
      </c>
      <c r="AP98" s="32" t="s">
        <v>343</v>
      </c>
      <c r="AQ98" s="24" t="s">
        <v>345</v>
      </c>
      <c r="AS98" s="31">
        <f t="shared" si="77"/>
        <v>0</v>
      </c>
      <c r="AT98" s="31">
        <f t="shared" si="78"/>
        <v>0</v>
      </c>
      <c r="AU98" s="31">
        <v>0</v>
      </c>
      <c r="AV98" s="31">
        <f t="shared" si="79"/>
        <v>0.27727</v>
      </c>
    </row>
    <row r="99" spans="1:37" ht="12.75">
      <c r="A99" s="5"/>
      <c r="B99" s="12"/>
      <c r="C99" s="12" t="s">
        <v>151</v>
      </c>
      <c r="D99" s="88" t="s">
        <v>263</v>
      </c>
      <c r="E99" s="89"/>
      <c r="F99" s="89"/>
      <c r="G99" s="89"/>
      <c r="H99" s="34">
        <f>SUM(H100:H100)</f>
        <v>0</v>
      </c>
      <c r="I99" s="34">
        <f>SUM(I100:I100)</f>
        <v>0</v>
      </c>
      <c r="J99" s="34">
        <f>H99+I99</f>
        <v>0</v>
      </c>
      <c r="K99" s="24"/>
      <c r="L99" s="34">
        <f>SUM(L100:L100)</f>
        <v>0</v>
      </c>
      <c r="M99" s="24"/>
      <c r="Y99" s="24"/>
      <c r="AI99" s="34">
        <f>SUM(Z100:Z100)</f>
        <v>0</v>
      </c>
      <c r="AJ99" s="34">
        <f>SUM(AA100:AA100)</f>
        <v>0</v>
      </c>
      <c r="AK99" s="34">
        <f>SUM(AB100:AB100)</f>
        <v>0</v>
      </c>
    </row>
    <row r="100" spans="1:48" ht="12.75">
      <c r="A100" s="4" t="s">
        <v>69</v>
      </c>
      <c r="B100" s="4"/>
      <c r="C100" s="4" t="s">
        <v>152</v>
      </c>
      <c r="D100" s="4" t="s">
        <v>264</v>
      </c>
      <c r="E100" s="4" t="s">
        <v>297</v>
      </c>
      <c r="F100" s="16">
        <v>8</v>
      </c>
      <c r="G100" s="16">
        <v>0</v>
      </c>
      <c r="H100" s="16">
        <f>F100*AE100</f>
        <v>0</v>
      </c>
      <c r="I100" s="16">
        <f>J100-H100</f>
        <v>0</v>
      </c>
      <c r="J100" s="16">
        <f>F100*G100</f>
        <v>0</v>
      </c>
      <c r="K100" s="16">
        <v>0</v>
      </c>
      <c r="L100" s="16">
        <f>F100*K100</f>
        <v>0</v>
      </c>
      <c r="M100" s="27" t="s">
        <v>315</v>
      </c>
      <c r="P100" s="31">
        <f>IF(AG100="5",J100,0)</f>
        <v>0</v>
      </c>
      <c r="R100" s="31">
        <f>IF(AG100="1",H100,0)</f>
        <v>0</v>
      </c>
      <c r="S100" s="31">
        <f>IF(AG100="1",I100,0)</f>
        <v>0</v>
      </c>
      <c r="T100" s="31">
        <f>IF(AG100="7",H100,0)</f>
        <v>0</v>
      </c>
      <c r="U100" s="31">
        <f>IF(AG100="7",I100,0)</f>
        <v>0</v>
      </c>
      <c r="V100" s="31">
        <f>IF(AG100="2",H100,0)</f>
        <v>0</v>
      </c>
      <c r="W100" s="31">
        <f>IF(AG100="2",I100,0)</f>
        <v>0</v>
      </c>
      <c r="X100" s="31">
        <f>IF(AG100="0",J100,0)</f>
        <v>0</v>
      </c>
      <c r="Y100" s="24"/>
      <c r="Z100" s="16">
        <f>IF(AD100=0,J100,0)</f>
        <v>0</v>
      </c>
      <c r="AA100" s="16">
        <f>IF(AD100=15,J100,0)</f>
        <v>0</v>
      </c>
      <c r="AB100" s="16">
        <f>IF(AD100=21,J100,0)</f>
        <v>0</v>
      </c>
      <c r="AD100" s="31">
        <v>21</v>
      </c>
      <c r="AE100" s="31">
        <f>G100*0</f>
        <v>0</v>
      </c>
      <c r="AF100" s="31">
        <f>G100*(1-0)</f>
        <v>0</v>
      </c>
      <c r="AG100" s="27" t="s">
        <v>7</v>
      </c>
      <c r="AM100" s="31">
        <f>F100*AE100</f>
        <v>0</v>
      </c>
      <c r="AN100" s="31">
        <f>F100*AF100</f>
        <v>0</v>
      </c>
      <c r="AO100" s="32" t="s">
        <v>332</v>
      </c>
      <c r="AP100" s="32" t="s">
        <v>344</v>
      </c>
      <c r="AQ100" s="24" t="s">
        <v>345</v>
      </c>
      <c r="AS100" s="31">
        <f>AM100+AN100</f>
        <v>0</v>
      </c>
      <c r="AT100" s="31">
        <f>G100/(100-AU100)*100</f>
        <v>0</v>
      </c>
      <c r="AU100" s="31">
        <v>0</v>
      </c>
      <c r="AV100" s="31">
        <f>L100</f>
        <v>0</v>
      </c>
    </row>
    <row r="101" ht="12.75">
      <c r="D101" s="14" t="s">
        <v>265</v>
      </c>
    </row>
    <row r="102" spans="1:37" ht="12.75">
      <c r="A102" s="5"/>
      <c r="B102" s="12"/>
      <c r="C102" s="12" t="s">
        <v>153</v>
      </c>
      <c r="D102" s="88" t="s">
        <v>266</v>
      </c>
      <c r="E102" s="89"/>
      <c r="F102" s="89"/>
      <c r="G102" s="89"/>
      <c r="H102" s="34">
        <f>SUM(H103:H103)</f>
        <v>0</v>
      </c>
      <c r="I102" s="34">
        <f>SUM(I103:I103)</f>
        <v>0</v>
      </c>
      <c r="J102" s="34">
        <f>H102+I102</f>
        <v>0</v>
      </c>
      <c r="K102" s="24"/>
      <c r="L102" s="34">
        <f>SUM(L103:L103)</f>
        <v>0.04108</v>
      </c>
      <c r="M102" s="24"/>
      <c r="Y102" s="24"/>
      <c r="AI102" s="34">
        <f>SUM(Z103:Z103)</f>
        <v>0</v>
      </c>
      <c r="AJ102" s="34">
        <f>SUM(AA103:AA103)</f>
        <v>0</v>
      </c>
      <c r="AK102" s="34">
        <f>SUM(AB103:AB103)</f>
        <v>0</v>
      </c>
    </row>
    <row r="103" spans="1:48" ht="12.75">
      <c r="A103" s="4" t="s">
        <v>70</v>
      </c>
      <c r="B103" s="4"/>
      <c r="C103" s="4" t="s">
        <v>154</v>
      </c>
      <c r="D103" s="4" t="s">
        <v>267</v>
      </c>
      <c r="E103" s="4" t="s">
        <v>291</v>
      </c>
      <c r="F103" s="16">
        <v>26</v>
      </c>
      <c r="G103" s="16">
        <v>0</v>
      </c>
      <c r="H103" s="16">
        <f>F103*AE103</f>
        <v>0</v>
      </c>
      <c r="I103" s="16">
        <f>J103-H103</f>
        <v>0</v>
      </c>
      <c r="J103" s="16">
        <f>F103*G103</f>
        <v>0</v>
      </c>
      <c r="K103" s="16">
        <v>0.00158</v>
      </c>
      <c r="L103" s="16">
        <f>F103*K103</f>
        <v>0.04108</v>
      </c>
      <c r="M103" s="27" t="s">
        <v>315</v>
      </c>
      <c r="P103" s="31">
        <f>IF(AG103="5",J103,0)</f>
        <v>0</v>
      </c>
      <c r="R103" s="31">
        <f>IF(AG103="1",H103,0)</f>
        <v>0</v>
      </c>
      <c r="S103" s="31">
        <f>IF(AG103="1",I103,0)</f>
        <v>0</v>
      </c>
      <c r="T103" s="31">
        <f>IF(AG103="7",H103,0)</f>
        <v>0</v>
      </c>
      <c r="U103" s="31">
        <f>IF(AG103="7",I103,0)</f>
        <v>0</v>
      </c>
      <c r="V103" s="31">
        <f>IF(AG103="2",H103,0)</f>
        <v>0</v>
      </c>
      <c r="W103" s="31">
        <f>IF(AG103="2",I103,0)</f>
        <v>0</v>
      </c>
      <c r="X103" s="31">
        <f>IF(AG103="0",J103,0)</f>
        <v>0</v>
      </c>
      <c r="Y103" s="24"/>
      <c r="Z103" s="16">
        <f>IF(AD103=0,J103,0)</f>
        <v>0</v>
      </c>
      <c r="AA103" s="16">
        <f>IF(AD103=15,J103,0)</f>
        <v>0</v>
      </c>
      <c r="AB103" s="16">
        <f>IF(AD103=21,J103,0)</f>
        <v>0</v>
      </c>
      <c r="AD103" s="31">
        <v>21</v>
      </c>
      <c r="AE103" s="31">
        <f>G103*0.412818181818182</f>
        <v>0</v>
      </c>
      <c r="AF103" s="31">
        <f>G103*(1-0.412818181818182)</f>
        <v>0</v>
      </c>
      <c r="AG103" s="27" t="s">
        <v>7</v>
      </c>
      <c r="AM103" s="31">
        <f>F103*AE103</f>
        <v>0</v>
      </c>
      <c r="AN103" s="31">
        <f>F103*AF103</f>
        <v>0</v>
      </c>
      <c r="AO103" s="32" t="s">
        <v>333</v>
      </c>
      <c r="AP103" s="32" t="s">
        <v>344</v>
      </c>
      <c r="AQ103" s="24" t="s">
        <v>345</v>
      </c>
      <c r="AS103" s="31">
        <f>AM103+AN103</f>
        <v>0</v>
      </c>
      <c r="AT103" s="31">
        <f>G103/(100-AU103)*100</f>
        <v>0</v>
      </c>
      <c r="AU103" s="31">
        <v>0</v>
      </c>
      <c r="AV103" s="31">
        <f>L103</f>
        <v>0.04108</v>
      </c>
    </row>
    <row r="104" spans="1:37" ht="12.75">
      <c r="A104" s="5"/>
      <c r="B104" s="12"/>
      <c r="C104" s="12" t="s">
        <v>155</v>
      </c>
      <c r="D104" s="88" t="s">
        <v>268</v>
      </c>
      <c r="E104" s="89"/>
      <c r="F104" s="89"/>
      <c r="G104" s="89"/>
      <c r="H104" s="34">
        <f>SUM(H105:H105)</f>
        <v>0</v>
      </c>
      <c r="I104" s="34">
        <f>SUM(I105:I105)</f>
        <v>0</v>
      </c>
      <c r="J104" s="34">
        <f>H104+I104</f>
        <v>0</v>
      </c>
      <c r="K104" s="24"/>
      <c r="L104" s="34">
        <f>SUM(L105:L105)</f>
        <v>0.9921599999999999</v>
      </c>
      <c r="M104" s="24"/>
      <c r="Y104" s="24"/>
      <c r="AI104" s="34">
        <f>SUM(Z105:Z105)</f>
        <v>0</v>
      </c>
      <c r="AJ104" s="34">
        <f>SUM(AA105:AA105)</f>
        <v>0</v>
      </c>
      <c r="AK104" s="34">
        <f>SUM(AB105:AB105)</f>
        <v>0</v>
      </c>
    </row>
    <row r="105" spans="1:48" ht="12.75">
      <c r="A105" s="4" t="s">
        <v>71</v>
      </c>
      <c r="B105" s="4"/>
      <c r="C105" s="4" t="s">
        <v>156</v>
      </c>
      <c r="D105" s="4" t="s">
        <v>269</v>
      </c>
      <c r="E105" s="4" t="s">
        <v>292</v>
      </c>
      <c r="F105" s="16">
        <v>208</v>
      </c>
      <c r="G105" s="16">
        <v>0</v>
      </c>
      <c r="H105" s="16">
        <f>F105*AE105</f>
        <v>0</v>
      </c>
      <c r="I105" s="16">
        <f>J105-H105</f>
        <v>0</v>
      </c>
      <c r="J105" s="16">
        <f>F105*G105</f>
        <v>0</v>
      </c>
      <c r="K105" s="16">
        <v>0.00477</v>
      </c>
      <c r="L105" s="16">
        <f>F105*K105</f>
        <v>0.9921599999999999</v>
      </c>
      <c r="M105" s="27" t="s">
        <v>315</v>
      </c>
      <c r="P105" s="31">
        <f>IF(AG105="5",J105,0)</f>
        <v>0</v>
      </c>
      <c r="R105" s="31">
        <f>IF(AG105="1",H105,0)</f>
        <v>0</v>
      </c>
      <c r="S105" s="31">
        <f>IF(AG105="1",I105,0)</f>
        <v>0</v>
      </c>
      <c r="T105" s="31">
        <f>IF(AG105="7",H105,0)</f>
        <v>0</v>
      </c>
      <c r="U105" s="31">
        <f>IF(AG105="7",I105,0)</f>
        <v>0</v>
      </c>
      <c r="V105" s="31">
        <f>IF(AG105="2",H105,0)</f>
        <v>0</v>
      </c>
      <c r="W105" s="31">
        <f>IF(AG105="2",I105,0)</f>
        <v>0</v>
      </c>
      <c r="X105" s="31">
        <f>IF(AG105="0",J105,0)</f>
        <v>0</v>
      </c>
      <c r="Y105" s="24"/>
      <c r="Z105" s="16">
        <f>IF(AD105=0,J105,0)</f>
        <v>0</v>
      </c>
      <c r="AA105" s="16">
        <f>IF(AD105=15,J105,0)</f>
        <v>0</v>
      </c>
      <c r="AB105" s="16">
        <f>IF(AD105=21,J105,0)</f>
        <v>0</v>
      </c>
      <c r="AD105" s="31">
        <v>21</v>
      </c>
      <c r="AE105" s="31">
        <f>G105*0.0495846645367412</f>
        <v>0</v>
      </c>
      <c r="AF105" s="31">
        <f>G105*(1-0.0495846645367412)</f>
        <v>0</v>
      </c>
      <c r="AG105" s="27" t="s">
        <v>7</v>
      </c>
      <c r="AM105" s="31">
        <f>F105*AE105</f>
        <v>0</v>
      </c>
      <c r="AN105" s="31">
        <f>F105*AF105</f>
        <v>0</v>
      </c>
      <c r="AO105" s="32" t="s">
        <v>334</v>
      </c>
      <c r="AP105" s="32" t="s">
        <v>344</v>
      </c>
      <c r="AQ105" s="24" t="s">
        <v>345</v>
      </c>
      <c r="AS105" s="31">
        <f>AM105+AN105</f>
        <v>0</v>
      </c>
      <c r="AT105" s="31">
        <f>G105/(100-AU105)*100</f>
        <v>0</v>
      </c>
      <c r="AU105" s="31">
        <v>0</v>
      </c>
      <c r="AV105" s="31">
        <f>L105</f>
        <v>0.9921599999999999</v>
      </c>
    </row>
    <row r="106" spans="1:37" ht="12.75">
      <c r="A106" s="5"/>
      <c r="B106" s="12"/>
      <c r="C106" s="12" t="s">
        <v>157</v>
      </c>
      <c r="D106" s="88" t="s">
        <v>270</v>
      </c>
      <c r="E106" s="89"/>
      <c r="F106" s="89"/>
      <c r="G106" s="89"/>
      <c r="H106" s="34">
        <f>SUM(H107:H112)</f>
        <v>0</v>
      </c>
      <c r="I106" s="34">
        <f>SUM(I107:I112)</f>
        <v>0</v>
      </c>
      <c r="J106" s="34">
        <f>H106+I106</f>
        <v>0</v>
      </c>
      <c r="K106" s="24"/>
      <c r="L106" s="34">
        <f>SUM(L107:L112)</f>
        <v>19.48431</v>
      </c>
      <c r="M106" s="24"/>
      <c r="Y106" s="24"/>
      <c r="AI106" s="34">
        <f>SUM(Z107:Z112)</f>
        <v>0</v>
      </c>
      <c r="AJ106" s="34">
        <f>SUM(AA107:AA112)</f>
        <v>0</v>
      </c>
      <c r="AK106" s="34">
        <f>SUM(AB107:AB112)</f>
        <v>0</v>
      </c>
    </row>
    <row r="107" spans="1:48" ht="12.75">
      <c r="A107" s="4" t="s">
        <v>72</v>
      </c>
      <c r="B107" s="4"/>
      <c r="C107" s="4" t="s">
        <v>158</v>
      </c>
      <c r="D107" s="4" t="s">
        <v>271</v>
      </c>
      <c r="E107" s="4" t="s">
        <v>293</v>
      </c>
      <c r="F107" s="16">
        <v>13</v>
      </c>
      <c r="G107" s="16">
        <v>0</v>
      </c>
      <c r="H107" s="16">
        <f>F107*AE107</f>
        <v>0</v>
      </c>
      <c r="I107" s="16">
        <f>J107-H107</f>
        <v>0</v>
      </c>
      <c r="J107" s="16">
        <f>F107*G107</f>
        <v>0</v>
      </c>
      <c r="K107" s="16">
        <v>0.00263</v>
      </c>
      <c r="L107" s="16">
        <f>F107*K107</f>
        <v>0.03419</v>
      </c>
      <c r="M107" s="27" t="s">
        <v>315</v>
      </c>
      <c r="P107" s="31">
        <f>IF(AG107="5",J107,0)</f>
        <v>0</v>
      </c>
      <c r="R107" s="31">
        <f>IF(AG107="1",H107,0)</f>
        <v>0</v>
      </c>
      <c r="S107" s="31">
        <f>IF(AG107="1",I107,0)</f>
        <v>0</v>
      </c>
      <c r="T107" s="31">
        <f>IF(AG107="7",H107,0)</f>
        <v>0</v>
      </c>
      <c r="U107" s="31">
        <f>IF(AG107="7",I107,0)</f>
        <v>0</v>
      </c>
      <c r="V107" s="31">
        <f>IF(AG107="2",H107,0)</f>
        <v>0</v>
      </c>
      <c r="W107" s="31">
        <f>IF(AG107="2",I107,0)</f>
        <v>0</v>
      </c>
      <c r="X107" s="31">
        <f>IF(AG107="0",J107,0)</f>
        <v>0</v>
      </c>
      <c r="Y107" s="24"/>
      <c r="Z107" s="16">
        <f>IF(AD107=0,J107,0)</f>
        <v>0</v>
      </c>
      <c r="AA107" s="16">
        <f>IF(AD107=15,J107,0)</f>
        <v>0</v>
      </c>
      <c r="AB107" s="16">
        <f>IF(AD107=21,J107,0)</f>
        <v>0</v>
      </c>
      <c r="AD107" s="31">
        <v>21</v>
      </c>
      <c r="AE107" s="31">
        <f>G107*0.43018539976825</f>
        <v>0</v>
      </c>
      <c r="AF107" s="31">
        <f>G107*(1-0.43018539976825)</f>
        <v>0</v>
      </c>
      <c r="AG107" s="27" t="s">
        <v>7</v>
      </c>
      <c r="AM107" s="31">
        <f>F107*AE107</f>
        <v>0</v>
      </c>
      <c r="AN107" s="31">
        <f>F107*AF107</f>
        <v>0</v>
      </c>
      <c r="AO107" s="32" t="s">
        <v>335</v>
      </c>
      <c r="AP107" s="32" t="s">
        <v>344</v>
      </c>
      <c r="AQ107" s="24" t="s">
        <v>345</v>
      </c>
      <c r="AS107" s="31">
        <f>AM107+AN107</f>
        <v>0</v>
      </c>
      <c r="AT107" s="31">
        <f>G107/(100-AU107)*100</f>
        <v>0</v>
      </c>
      <c r="AU107" s="31">
        <v>0</v>
      </c>
      <c r="AV107" s="31">
        <f>L107</f>
        <v>0.03419</v>
      </c>
    </row>
    <row r="108" ht="12.75">
      <c r="D108" s="14" t="s">
        <v>272</v>
      </c>
    </row>
    <row r="109" spans="1:48" ht="12.75">
      <c r="A109" s="4" t="s">
        <v>73</v>
      </c>
      <c r="B109" s="4"/>
      <c r="C109" s="4" t="s">
        <v>159</v>
      </c>
      <c r="D109" s="4" t="s">
        <v>273</v>
      </c>
      <c r="E109" s="4" t="s">
        <v>293</v>
      </c>
      <c r="F109" s="16">
        <v>275</v>
      </c>
      <c r="G109" s="16">
        <v>0</v>
      </c>
      <c r="H109" s="16">
        <f>F109*AE109</f>
        <v>0</v>
      </c>
      <c r="I109" s="16">
        <f>J109-H109</f>
        <v>0</v>
      </c>
      <c r="J109" s="16">
        <f>F109*G109</f>
        <v>0</v>
      </c>
      <c r="K109" s="16">
        <v>0.05449</v>
      </c>
      <c r="L109" s="16">
        <f>F109*K109</f>
        <v>14.984749999999998</v>
      </c>
      <c r="M109" s="27" t="s">
        <v>315</v>
      </c>
      <c r="P109" s="31">
        <f>IF(AG109="5",J109,0)</f>
        <v>0</v>
      </c>
      <c r="R109" s="31">
        <f>IF(AG109="1",H109,0)</f>
        <v>0</v>
      </c>
      <c r="S109" s="31">
        <f>IF(AG109="1",I109,0)</f>
        <v>0</v>
      </c>
      <c r="T109" s="31">
        <f>IF(AG109="7",H109,0)</f>
        <v>0</v>
      </c>
      <c r="U109" s="31">
        <f>IF(AG109="7",I109,0)</f>
        <v>0</v>
      </c>
      <c r="V109" s="31">
        <f>IF(AG109="2",H109,0)</f>
        <v>0</v>
      </c>
      <c r="W109" s="31">
        <f>IF(AG109="2",I109,0)</f>
        <v>0</v>
      </c>
      <c r="X109" s="31">
        <f>IF(AG109="0",J109,0)</f>
        <v>0</v>
      </c>
      <c r="Y109" s="24"/>
      <c r="Z109" s="16">
        <f>IF(AD109=0,J109,0)</f>
        <v>0</v>
      </c>
      <c r="AA109" s="16">
        <f>IF(AD109=15,J109,0)</f>
        <v>0</v>
      </c>
      <c r="AB109" s="16">
        <f>IF(AD109=21,J109,0)</f>
        <v>0</v>
      </c>
      <c r="AD109" s="31">
        <v>21</v>
      </c>
      <c r="AE109" s="31">
        <f>G109*0.0614173228346457</f>
        <v>0</v>
      </c>
      <c r="AF109" s="31">
        <f>G109*(1-0.0614173228346457)</f>
        <v>0</v>
      </c>
      <c r="AG109" s="27" t="s">
        <v>7</v>
      </c>
      <c r="AM109" s="31">
        <f>F109*AE109</f>
        <v>0</v>
      </c>
      <c r="AN109" s="31">
        <f>F109*AF109</f>
        <v>0</v>
      </c>
      <c r="AO109" s="32" t="s">
        <v>335</v>
      </c>
      <c r="AP109" s="32" t="s">
        <v>344</v>
      </c>
      <c r="AQ109" s="24" t="s">
        <v>345</v>
      </c>
      <c r="AS109" s="31">
        <f>AM109+AN109</f>
        <v>0</v>
      </c>
      <c r="AT109" s="31">
        <f>G109/(100-AU109)*100</f>
        <v>0</v>
      </c>
      <c r="AU109" s="31">
        <v>0</v>
      </c>
      <c r="AV109" s="31">
        <f>L109</f>
        <v>14.984749999999998</v>
      </c>
    </row>
    <row r="110" spans="1:48" ht="12.75">
      <c r="A110" s="4" t="s">
        <v>74</v>
      </c>
      <c r="B110" s="4"/>
      <c r="C110" s="4" t="s">
        <v>160</v>
      </c>
      <c r="D110" s="4" t="s">
        <v>274</v>
      </c>
      <c r="E110" s="4" t="s">
        <v>292</v>
      </c>
      <c r="F110" s="16">
        <v>11</v>
      </c>
      <c r="G110" s="16">
        <v>0</v>
      </c>
      <c r="H110" s="16">
        <f>F110*AE110</f>
        <v>0</v>
      </c>
      <c r="I110" s="16">
        <f>J110-H110</f>
        <v>0</v>
      </c>
      <c r="J110" s="16">
        <f>F110*G110</f>
        <v>0</v>
      </c>
      <c r="K110" s="16">
        <v>0.02267</v>
      </c>
      <c r="L110" s="16">
        <f>F110*K110</f>
        <v>0.24936999999999998</v>
      </c>
      <c r="M110" s="27" t="s">
        <v>315</v>
      </c>
      <c r="P110" s="31">
        <f>IF(AG110="5",J110,0)</f>
        <v>0</v>
      </c>
      <c r="R110" s="31">
        <f>IF(AG110="1",H110,0)</f>
        <v>0</v>
      </c>
      <c r="S110" s="31">
        <f>IF(AG110="1",I110,0)</f>
        <v>0</v>
      </c>
      <c r="T110" s="31">
        <f>IF(AG110="7",H110,0)</f>
        <v>0</v>
      </c>
      <c r="U110" s="31">
        <f>IF(AG110="7",I110,0)</f>
        <v>0</v>
      </c>
      <c r="V110" s="31">
        <f>IF(AG110="2",H110,0)</f>
        <v>0</v>
      </c>
      <c r="W110" s="31">
        <f>IF(AG110="2",I110,0)</f>
        <v>0</v>
      </c>
      <c r="X110" s="31">
        <f>IF(AG110="0",J110,0)</f>
        <v>0</v>
      </c>
      <c r="Y110" s="24"/>
      <c r="Z110" s="16">
        <f>IF(AD110=0,J110,0)</f>
        <v>0</v>
      </c>
      <c r="AA110" s="16">
        <f>IF(AD110=15,J110,0)</f>
        <v>0</v>
      </c>
      <c r="AB110" s="16">
        <f>IF(AD110=21,J110,0)</f>
        <v>0</v>
      </c>
      <c r="AD110" s="31">
        <v>21</v>
      </c>
      <c r="AE110" s="31">
        <f>G110*0.0266218487394958</f>
        <v>0</v>
      </c>
      <c r="AF110" s="31">
        <f>G110*(1-0.0266218487394958)</f>
        <v>0</v>
      </c>
      <c r="AG110" s="27" t="s">
        <v>7</v>
      </c>
      <c r="AM110" s="31">
        <f>F110*AE110</f>
        <v>0</v>
      </c>
      <c r="AN110" s="31">
        <f>F110*AF110</f>
        <v>0</v>
      </c>
      <c r="AO110" s="32" t="s">
        <v>335</v>
      </c>
      <c r="AP110" s="32" t="s">
        <v>344</v>
      </c>
      <c r="AQ110" s="24" t="s">
        <v>345</v>
      </c>
      <c r="AS110" s="31">
        <f>AM110+AN110</f>
        <v>0</v>
      </c>
      <c r="AT110" s="31">
        <f>G110/(100-AU110)*100</f>
        <v>0</v>
      </c>
      <c r="AU110" s="31">
        <v>0</v>
      </c>
      <c r="AV110" s="31">
        <f>L110</f>
        <v>0.24936999999999998</v>
      </c>
    </row>
    <row r="111" spans="1:48" ht="12.75">
      <c r="A111" s="4" t="s">
        <v>75</v>
      </c>
      <c r="B111" s="4"/>
      <c r="C111" s="4" t="s">
        <v>161</v>
      </c>
      <c r="D111" s="4" t="s">
        <v>275</v>
      </c>
      <c r="E111" s="4" t="s">
        <v>291</v>
      </c>
      <c r="F111" s="16">
        <v>62</v>
      </c>
      <c r="G111" s="16">
        <v>0</v>
      </c>
      <c r="H111" s="16">
        <f>F111*AE111</f>
        <v>0</v>
      </c>
      <c r="I111" s="16">
        <f>J111-H111</f>
        <v>0</v>
      </c>
      <c r="J111" s="16">
        <f>F111*G111</f>
        <v>0</v>
      </c>
      <c r="K111" s="16">
        <v>0.068</v>
      </c>
      <c r="L111" s="16">
        <f>F111*K111</f>
        <v>4.216</v>
      </c>
      <c r="M111" s="27" t="s">
        <v>315</v>
      </c>
      <c r="P111" s="31">
        <f>IF(AG111="5",J111,0)</f>
        <v>0</v>
      </c>
      <c r="R111" s="31">
        <f>IF(AG111="1",H111,0)</f>
        <v>0</v>
      </c>
      <c r="S111" s="31">
        <f>IF(AG111="1",I111,0)</f>
        <v>0</v>
      </c>
      <c r="T111" s="31">
        <f>IF(AG111="7",H111,0)</f>
        <v>0</v>
      </c>
      <c r="U111" s="31">
        <f>IF(AG111="7",I111,0)</f>
        <v>0</v>
      </c>
      <c r="V111" s="31">
        <f>IF(AG111="2",H111,0)</f>
        <v>0</v>
      </c>
      <c r="W111" s="31">
        <f>IF(AG111="2",I111,0)</f>
        <v>0</v>
      </c>
      <c r="X111" s="31">
        <f>IF(AG111="0",J111,0)</f>
        <v>0</v>
      </c>
      <c r="Y111" s="24"/>
      <c r="Z111" s="16">
        <f>IF(AD111=0,J111,0)</f>
        <v>0</v>
      </c>
      <c r="AA111" s="16">
        <f>IF(AD111=15,J111,0)</f>
        <v>0</v>
      </c>
      <c r="AB111" s="16">
        <f>IF(AD111=21,J111,0)</f>
        <v>0</v>
      </c>
      <c r="AD111" s="31">
        <v>21</v>
      </c>
      <c r="AE111" s="31">
        <f>G111*0</f>
        <v>0</v>
      </c>
      <c r="AF111" s="31">
        <f>G111*(1-0)</f>
        <v>0</v>
      </c>
      <c r="AG111" s="27" t="s">
        <v>7</v>
      </c>
      <c r="AM111" s="31">
        <f>F111*AE111</f>
        <v>0</v>
      </c>
      <c r="AN111" s="31">
        <f>F111*AF111</f>
        <v>0</v>
      </c>
      <c r="AO111" s="32" t="s">
        <v>335</v>
      </c>
      <c r="AP111" s="32" t="s">
        <v>344</v>
      </c>
      <c r="AQ111" s="24" t="s">
        <v>345</v>
      </c>
      <c r="AS111" s="31">
        <f>AM111+AN111</f>
        <v>0</v>
      </c>
      <c r="AT111" s="31">
        <f>G111/(100-AU111)*100</f>
        <v>0</v>
      </c>
      <c r="AU111" s="31">
        <v>0</v>
      </c>
      <c r="AV111" s="31">
        <f>L111</f>
        <v>4.216</v>
      </c>
    </row>
    <row r="112" spans="1:48" ht="12.75">
      <c r="A112" s="4" t="s">
        <v>76</v>
      </c>
      <c r="B112" s="4"/>
      <c r="C112" s="4" t="s">
        <v>162</v>
      </c>
      <c r="D112" s="4" t="s">
        <v>276</v>
      </c>
      <c r="E112" s="4" t="s">
        <v>294</v>
      </c>
      <c r="F112" s="16">
        <v>46.8861</v>
      </c>
      <c r="G112" s="16">
        <v>0</v>
      </c>
      <c r="H112" s="16">
        <f>F112*AE112</f>
        <v>0</v>
      </c>
      <c r="I112" s="16">
        <f>J112-H112</f>
        <v>0</v>
      </c>
      <c r="J112" s="16">
        <f>F112*G112</f>
        <v>0</v>
      </c>
      <c r="K112" s="16">
        <v>0</v>
      </c>
      <c r="L112" s="16">
        <f>F112*K112</f>
        <v>0</v>
      </c>
      <c r="M112" s="27" t="s">
        <v>315</v>
      </c>
      <c r="P112" s="31">
        <f>IF(AG112="5",J112,0)</f>
        <v>0</v>
      </c>
      <c r="R112" s="31">
        <f>IF(AG112="1",H112,0)</f>
        <v>0</v>
      </c>
      <c r="S112" s="31">
        <f>IF(AG112="1",I112,0)</f>
        <v>0</v>
      </c>
      <c r="T112" s="31">
        <f>IF(AG112="7",H112,0)</f>
        <v>0</v>
      </c>
      <c r="U112" s="31">
        <f>IF(AG112="7",I112,0)</f>
        <v>0</v>
      </c>
      <c r="V112" s="31">
        <f>IF(AG112="2",H112,0)</f>
        <v>0</v>
      </c>
      <c r="W112" s="31">
        <f>IF(AG112="2",I112,0)</f>
        <v>0</v>
      </c>
      <c r="X112" s="31">
        <f>IF(AG112="0",J112,0)</f>
        <v>0</v>
      </c>
      <c r="Y112" s="24"/>
      <c r="Z112" s="16">
        <f>IF(AD112=0,J112,0)</f>
        <v>0</v>
      </c>
      <c r="AA112" s="16">
        <f>IF(AD112=15,J112,0)</f>
        <v>0</v>
      </c>
      <c r="AB112" s="16">
        <f>IF(AD112=21,J112,0)</f>
        <v>0</v>
      </c>
      <c r="AD112" s="31">
        <v>21</v>
      </c>
      <c r="AE112" s="31">
        <f>G112*0</f>
        <v>0</v>
      </c>
      <c r="AF112" s="31">
        <f>G112*(1-0)</f>
        <v>0</v>
      </c>
      <c r="AG112" s="27" t="s">
        <v>7</v>
      </c>
      <c r="AM112" s="31">
        <f>F112*AE112</f>
        <v>0</v>
      </c>
      <c r="AN112" s="31">
        <f>F112*AF112</f>
        <v>0</v>
      </c>
      <c r="AO112" s="32" t="s">
        <v>335</v>
      </c>
      <c r="AP112" s="32" t="s">
        <v>344</v>
      </c>
      <c r="AQ112" s="24" t="s">
        <v>345</v>
      </c>
      <c r="AS112" s="31">
        <f>AM112+AN112</f>
        <v>0</v>
      </c>
      <c r="AT112" s="31">
        <f>G112/(100-AU112)*100</f>
        <v>0</v>
      </c>
      <c r="AU112" s="31">
        <v>0</v>
      </c>
      <c r="AV112" s="31">
        <f>L112</f>
        <v>0</v>
      </c>
    </row>
    <row r="113" ht="12.75">
      <c r="D113" s="14" t="s">
        <v>277</v>
      </c>
    </row>
    <row r="114" spans="1:37" ht="12.75">
      <c r="A114" s="5"/>
      <c r="B114" s="12"/>
      <c r="C114" s="12" t="s">
        <v>163</v>
      </c>
      <c r="D114" s="88" t="s">
        <v>193</v>
      </c>
      <c r="E114" s="89"/>
      <c r="F114" s="89"/>
      <c r="G114" s="89"/>
      <c r="H114" s="34">
        <f>SUM(H115:H115)</f>
        <v>0</v>
      </c>
      <c r="I114" s="34">
        <f>SUM(I115:I115)</f>
        <v>0</v>
      </c>
      <c r="J114" s="34">
        <f>H114+I114</f>
        <v>0</v>
      </c>
      <c r="K114" s="24"/>
      <c r="L114" s="34">
        <f>SUM(L115:L115)</f>
        <v>0</v>
      </c>
      <c r="M114" s="24"/>
      <c r="Y114" s="24"/>
      <c r="AI114" s="34">
        <f>SUM(Z115:Z115)</f>
        <v>0</v>
      </c>
      <c r="AJ114" s="34">
        <f>SUM(AA115:AA115)</f>
        <v>0</v>
      </c>
      <c r="AK114" s="34">
        <f>SUM(AB115:AB115)</f>
        <v>0</v>
      </c>
    </row>
    <row r="115" spans="1:48" ht="12.75">
      <c r="A115" s="4" t="s">
        <v>77</v>
      </c>
      <c r="B115" s="4"/>
      <c r="C115" s="4" t="s">
        <v>164</v>
      </c>
      <c r="D115" s="4" t="s">
        <v>278</v>
      </c>
      <c r="E115" s="4" t="s">
        <v>294</v>
      </c>
      <c r="F115" s="16">
        <v>6.2829</v>
      </c>
      <c r="G115" s="16">
        <v>0</v>
      </c>
      <c r="H115" s="16">
        <f>F115*AE115</f>
        <v>0</v>
      </c>
      <c r="I115" s="16">
        <f>J115-H115</f>
        <v>0</v>
      </c>
      <c r="J115" s="16">
        <f>F115*G115</f>
        <v>0</v>
      </c>
      <c r="K115" s="16">
        <v>0</v>
      </c>
      <c r="L115" s="16">
        <f>F115*K115</f>
        <v>0</v>
      </c>
      <c r="M115" s="27" t="s">
        <v>315</v>
      </c>
      <c r="P115" s="31">
        <f>IF(AG115="5",J115,0)</f>
        <v>0</v>
      </c>
      <c r="R115" s="31">
        <f>IF(AG115="1",H115,0)</f>
        <v>0</v>
      </c>
      <c r="S115" s="31">
        <f>IF(AG115="1",I115,0)</f>
        <v>0</v>
      </c>
      <c r="T115" s="31">
        <f>IF(AG115="7",H115,0)</f>
        <v>0</v>
      </c>
      <c r="U115" s="31">
        <f>IF(AG115="7",I115,0)</f>
        <v>0</v>
      </c>
      <c r="V115" s="31">
        <f>IF(AG115="2",H115,0)</f>
        <v>0</v>
      </c>
      <c r="W115" s="31">
        <f>IF(AG115="2",I115,0)</f>
        <v>0</v>
      </c>
      <c r="X115" s="31">
        <f>IF(AG115="0",J115,0)</f>
        <v>0</v>
      </c>
      <c r="Y115" s="24"/>
      <c r="Z115" s="16">
        <f>IF(AD115=0,J115,0)</f>
        <v>0</v>
      </c>
      <c r="AA115" s="16">
        <f>IF(AD115=15,J115,0)</f>
        <v>0</v>
      </c>
      <c r="AB115" s="16">
        <f>IF(AD115=21,J115,0)</f>
        <v>0</v>
      </c>
      <c r="AD115" s="31">
        <v>21</v>
      </c>
      <c r="AE115" s="31">
        <f>G115*0</f>
        <v>0</v>
      </c>
      <c r="AF115" s="31">
        <f>G115*(1-0)</f>
        <v>0</v>
      </c>
      <c r="AG115" s="27" t="s">
        <v>11</v>
      </c>
      <c r="AM115" s="31">
        <f>F115*AE115</f>
        <v>0</v>
      </c>
      <c r="AN115" s="31">
        <f>F115*AF115</f>
        <v>0</v>
      </c>
      <c r="AO115" s="32" t="s">
        <v>336</v>
      </c>
      <c r="AP115" s="32" t="s">
        <v>344</v>
      </c>
      <c r="AQ115" s="24" t="s">
        <v>345</v>
      </c>
      <c r="AS115" s="31">
        <f>AM115+AN115</f>
        <v>0</v>
      </c>
      <c r="AT115" s="31">
        <f>G115/(100-AU115)*100</f>
        <v>0</v>
      </c>
      <c r="AU115" s="31">
        <v>0</v>
      </c>
      <c r="AV115" s="31">
        <f>L115</f>
        <v>0</v>
      </c>
    </row>
    <row r="116" spans="1:37" ht="12.75">
      <c r="A116" s="5"/>
      <c r="B116" s="12"/>
      <c r="C116" s="12" t="s">
        <v>165</v>
      </c>
      <c r="D116" s="88" t="s">
        <v>212</v>
      </c>
      <c r="E116" s="89"/>
      <c r="F116" s="89"/>
      <c r="G116" s="89"/>
      <c r="H116" s="34">
        <f>SUM(H117:H117)</f>
        <v>0</v>
      </c>
      <c r="I116" s="34">
        <f>SUM(I117:I117)</f>
        <v>0</v>
      </c>
      <c r="J116" s="34">
        <f>H116+I116</f>
        <v>0</v>
      </c>
      <c r="K116" s="24"/>
      <c r="L116" s="34">
        <f>SUM(L117:L117)</f>
        <v>0</v>
      </c>
      <c r="M116" s="24"/>
      <c r="Y116" s="24"/>
      <c r="AI116" s="34">
        <f>SUM(Z117:Z117)</f>
        <v>0</v>
      </c>
      <c r="AJ116" s="34">
        <f>SUM(AA117:AA117)</f>
        <v>0</v>
      </c>
      <c r="AK116" s="34">
        <f>SUM(AB117:AB117)</f>
        <v>0</v>
      </c>
    </row>
    <row r="117" spans="1:48" ht="12.75">
      <c r="A117" s="4" t="s">
        <v>78</v>
      </c>
      <c r="B117" s="4"/>
      <c r="C117" s="4" t="s">
        <v>166</v>
      </c>
      <c r="D117" s="4" t="s">
        <v>279</v>
      </c>
      <c r="E117" s="4" t="s">
        <v>294</v>
      </c>
      <c r="F117" s="16">
        <v>8.1964</v>
      </c>
      <c r="G117" s="16">
        <v>0</v>
      </c>
      <c r="H117" s="16">
        <f>F117*AE117</f>
        <v>0</v>
      </c>
      <c r="I117" s="16">
        <f>J117-H117</f>
        <v>0</v>
      </c>
      <c r="J117" s="16">
        <f>F117*G117</f>
        <v>0</v>
      </c>
      <c r="K117" s="16">
        <v>0</v>
      </c>
      <c r="L117" s="16">
        <f>F117*K117</f>
        <v>0</v>
      </c>
      <c r="M117" s="27" t="s">
        <v>315</v>
      </c>
      <c r="P117" s="31">
        <f>IF(AG117="5",J117,0)</f>
        <v>0</v>
      </c>
      <c r="R117" s="31">
        <f>IF(AG117="1",H117,0)</f>
        <v>0</v>
      </c>
      <c r="S117" s="31">
        <f>IF(AG117="1",I117,0)</f>
        <v>0</v>
      </c>
      <c r="T117" s="31">
        <f>IF(AG117="7",H117,0)</f>
        <v>0</v>
      </c>
      <c r="U117" s="31">
        <f>IF(AG117="7",I117,0)</f>
        <v>0</v>
      </c>
      <c r="V117" s="31">
        <f>IF(AG117="2",H117,0)</f>
        <v>0</v>
      </c>
      <c r="W117" s="31">
        <f>IF(AG117="2",I117,0)</f>
        <v>0</v>
      </c>
      <c r="X117" s="31">
        <f>IF(AG117="0",J117,0)</f>
        <v>0</v>
      </c>
      <c r="Y117" s="24"/>
      <c r="Z117" s="16">
        <f>IF(AD117=0,J117,0)</f>
        <v>0</v>
      </c>
      <c r="AA117" s="16">
        <f>IF(AD117=15,J117,0)</f>
        <v>0</v>
      </c>
      <c r="AB117" s="16">
        <f>IF(AD117=21,J117,0)</f>
        <v>0</v>
      </c>
      <c r="AD117" s="31">
        <v>21</v>
      </c>
      <c r="AE117" s="31">
        <f>G117*0</f>
        <v>0</v>
      </c>
      <c r="AF117" s="31">
        <f>G117*(1-0)</f>
        <v>0</v>
      </c>
      <c r="AG117" s="27" t="s">
        <v>11</v>
      </c>
      <c r="AM117" s="31">
        <f>F117*AE117</f>
        <v>0</v>
      </c>
      <c r="AN117" s="31">
        <f>F117*AF117</f>
        <v>0</v>
      </c>
      <c r="AO117" s="32" t="s">
        <v>337</v>
      </c>
      <c r="AP117" s="32" t="s">
        <v>344</v>
      </c>
      <c r="AQ117" s="24" t="s">
        <v>345</v>
      </c>
      <c r="AS117" s="31">
        <f>AM117+AN117</f>
        <v>0</v>
      </c>
      <c r="AT117" s="31">
        <f>G117/(100-AU117)*100</f>
        <v>0</v>
      </c>
      <c r="AU117" s="31">
        <v>0</v>
      </c>
      <c r="AV117" s="31">
        <f>L117</f>
        <v>0</v>
      </c>
    </row>
    <row r="118" spans="1:37" ht="12.75">
      <c r="A118" s="5"/>
      <c r="B118" s="12"/>
      <c r="C118" s="12" t="s">
        <v>167</v>
      </c>
      <c r="D118" s="88" t="s">
        <v>248</v>
      </c>
      <c r="E118" s="89"/>
      <c r="F118" s="89"/>
      <c r="G118" s="89"/>
      <c r="H118" s="34">
        <f>SUM(H119:H119)</f>
        <v>0</v>
      </c>
      <c r="I118" s="34">
        <f>SUM(I119:I119)</f>
        <v>0</v>
      </c>
      <c r="J118" s="34">
        <f>H118+I118</f>
        <v>0</v>
      </c>
      <c r="K118" s="24"/>
      <c r="L118" s="34">
        <f>SUM(L119:L119)</f>
        <v>0</v>
      </c>
      <c r="M118" s="24"/>
      <c r="Y118" s="24"/>
      <c r="AI118" s="34">
        <f>SUM(Z119:Z119)</f>
        <v>0</v>
      </c>
      <c r="AJ118" s="34">
        <f>SUM(AA119:AA119)</f>
        <v>0</v>
      </c>
      <c r="AK118" s="34">
        <f>SUM(AB119:AB119)</f>
        <v>0</v>
      </c>
    </row>
    <row r="119" spans="1:48" ht="12.75">
      <c r="A119" s="4" t="s">
        <v>79</v>
      </c>
      <c r="B119" s="4"/>
      <c r="C119" s="4" t="s">
        <v>168</v>
      </c>
      <c r="D119" s="4" t="s">
        <v>280</v>
      </c>
      <c r="E119" s="4" t="s">
        <v>294</v>
      </c>
      <c r="F119" s="16">
        <v>2.083</v>
      </c>
      <c r="G119" s="16">
        <v>0</v>
      </c>
      <c r="H119" s="16">
        <f>F119*AE119</f>
        <v>0</v>
      </c>
      <c r="I119" s="16">
        <f>J119-H119</f>
        <v>0</v>
      </c>
      <c r="J119" s="16">
        <f>F119*G119</f>
        <v>0</v>
      </c>
      <c r="K119" s="16">
        <v>0</v>
      </c>
      <c r="L119" s="16">
        <f>F119*K119</f>
        <v>0</v>
      </c>
      <c r="M119" s="27" t="s">
        <v>315</v>
      </c>
      <c r="P119" s="31">
        <f>IF(AG119="5",J119,0)</f>
        <v>0</v>
      </c>
      <c r="R119" s="31">
        <f>IF(AG119="1",H119,0)</f>
        <v>0</v>
      </c>
      <c r="S119" s="31">
        <f>IF(AG119="1",I119,0)</f>
        <v>0</v>
      </c>
      <c r="T119" s="31">
        <f>IF(AG119="7",H119,0)</f>
        <v>0</v>
      </c>
      <c r="U119" s="31">
        <f>IF(AG119="7",I119,0)</f>
        <v>0</v>
      </c>
      <c r="V119" s="31">
        <f>IF(AG119="2",H119,0)</f>
        <v>0</v>
      </c>
      <c r="W119" s="31">
        <f>IF(AG119="2",I119,0)</f>
        <v>0</v>
      </c>
      <c r="X119" s="31">
        <f>IF(AG119="0",J119,0)</f>
        <v>0</v>
      </c>
      <c r="Y119" s="24"/>
      <c r="Z119" s="16">
        <f>IF(AD119=0,J119,0)</f>
        <v>0</v>
      </c>
      <c r="AA119" s="16">
        <f>IF(AD119=15,J119,0)</f>
        <v>0</v>
      </c>
      <c r="AB119" s="16">
        <f>IF(AD119=21,J119,0)</f>
        <v>0</v>
      </c>
      <c r="AD119" s="31">
        <v>21</v>
      </c>
      <c r="AE119" s="31">
        <f>G119*0</f>
        <v>0</v>
      </c>
      <c r="AF119" s="31">
        <f>G119*(1-0)</f>
        <v>0</v>
      </c>
      <c r="AG119" s="27" t="s">
        <v>11</v>
      </c>
      <c r="AM119" s="31">
        <f>F119*AE119</f>
        <v>0</v>
      </c>
      <c r="AN119" s="31">
        <f>F119*AF119</f>
        <v>0</v>
      </c>
      <c r="AO119" s="32" t="s">
        <v>338</v>
      </c>
      <c r="AP119" s="32" t="s">
        <v>344</v>
      </c>
      <c r="AQ119" s="24" t="s">
        <v>345</v>
      </c>
      <c r="AS119" s="31">
        <f>AM119+AN119</f>
        <v>0</v>
      </c>
      <c r="AT119" s="31">
        <f>G119/(100-AU119)*100</f>
        <v>0</v>
      </c>
      <c r="AU119" s="31">
        <v>0</v>
      </c>
      <c r="AV119" s="31">
        <f>L119</f>
        <v>0</v>
      </c>
    </row>
    <row r="120" spans="1:37" ht="12.75">
      <c r="A120" s="5"/>
      <c r="B120" s="12"/>
      <c r="C120" s="12" t="s">
        <v>169</v>
      </c>
      <c r="D120" s="88" t="s">
        <v>281</v>
      </c>
      <c r="E120" s="89"/>
      <c r="F120" s="89"/>
      <c r="G120" s="89"/>
      <c r="H120" s="34">
        <f>SUM(H121:H121)</f>
        <v>0</v>
      </c>
      <c r="I120" s="34">
        <f>SUM(I121:I121)</f>
        <v>0</v>
      </c>
      <c r="J120" s="34">
        <f>H120+I120</f>
        <v>0</v>
      </c>
      <c r="K120" s="24"/>
      <c r="L120" s="34">
        <f>SUM(L121:L121)</f>
        <v>0</v>
      </c>
      <c r="M120" s="24"/>
      <c r="Y120" s="24"/>
      <c r="AI120" s="34">
        <f>SUM(Z121:Z121)</f>
        <v>0</v>
      </c>
      <c r="AJ120" s="34">
        <f>SUM(AA121:AA121)</f>
        <v>0</v>
      </c>
      <c r="AK120" s="34">
        <f>SUM(AB121:AB121)</f>
        <v>0</v>
      </c>
    </row>
    <row r="121" spans="1:48" ht="12.75">
      <c r="A121" s="4" t="s">
        <v>80</v>
      </c>
      <c r="B121" s="4"/>
      <c r="C121" s="4" t="s">
        <v>170</v>
      </c>
      <c r="D121" s="4" t="s">
        <v>282</v>
      </c>
      <c r="E121" s="4" t="s">
        <v>294</v>
      </c>
      <c r="F121" s="16">
        <v>19.4999</v>
      </c>
      <c r="G121" s="16">
        <v>0</v>
      </c>
      <c r="H121" s="16">
        <f>F121*AE121</f>
        <v>0</v>
      </c>
      <c r="I121" s="16">
        <f>J121-H121</f>
        <v>0</v>
      </c>
      <c r="J121" s="16">
        <f>F121*G121</f>
        <v>0</v>
      </c>
      <c r="K121" s="16">
        <v>0</v>
      </c>
      <c r="L121" s="16">
        <f>F121*K121</f>
        <v>0</v>
      </c>
      <c r="M121" s="27" t="s">
        <v>315</v>
      </c>
      <c r="P121" s="31">
        <f>IF(AG121="5",J121,0)</f>
        <v>0</v>
      </c>
      <c r="R121" s="31">
        <f>IF(AG121="1",H121,0)</f>
        <v>0</v>
      </c>
      <c r="S121" s="31">
        <f>IF(AG121="1",I121,0)</f>
        <v>0</v>
      </c>
      <c r="T121" s="31">
        <f>IF(AG121="7",H121,0)</f>
        <v>0</v>
      </c>
      <c r="U121" s="31">
        <f>IF(AG121="7",I121,0)</f>
        <v>0</v>
      </c>
      <c r="V121" s="31">
        <f>IF(AG121="2",H121,0)</f>
        <v>0</v>
      </c>
      <c r="W121" s="31">
        <f>IF(AG121="2",I121,0)</f>
        <v>0</v>
      </c>
      <c r="X121" s="31">
        <f>IF(AG121="0",J121,0)</f>
        <v>0</v>
      </c>
      <c r="Y121" s="24"/>
      <c r="Z121" s="16">
        <f>IF(AD121=0,J121,0)</f>
        <v>0</v>
      </c>
      <c r="AA121" s="16">
        <f>IF(AD121=15,J121,0)</f>
        <v>0</v>
      </c>
      <c r="AB121" s="16">
        <f>IF(AD121=21,J121,0)</f>
        <v>0</v>
      </c>
      <c r="AD121" s="31">
        <v>21</v>
      </c>
      <c r="AE121" s="31">
        <f>G121*0</f>
        <v>0</v>
      </c>
      <c r="AF121" s="31">
        <f>G121*(1-0)</f>
        <v>0</v>
      </c>
      <c r="AG121" s="27" t="s">
        <v>11</v>
      </c>
      <c r="AM121" s="31">
        <f>F121*AE121</f>
        <v>0</v>
      </c>
      <c r="AN121" s="31">
        <f>F121*AF121</f>
        <v>0</v>
      </c>
      <c r="AO121" s="32" t="s">
        <v>339</v>
      </c>
      <c r="AP121" s="32" t="s">
        <v>344</v>
      </c>
      <c r="AQ121" s="24" t="s">
        <v>345</v>
      </c>
      <c r="AS121" s="31">
        <f>AM121+AN121</f>
        <v>0</v>
      </c>
      <c r="AT121" s="31">
        <f>G121/(100-AU121)*100</f>
        <v>0</v>
      </c>
      <c r="AU121" s="31">
        <v>0</v>
      </c>
      <c r="AV121" s="31">
        <f>L121</f>
        <v>0</v>
      </c>
    </row>
    <row r="122" spans="1:37" ht="12.75">
      <c r="A122" s="5"/>
      <c r="B122" s="12"/>
      <c r="C122" s="12" t="s">
        <v>171</v>
      </c>
      <c r="D122" s="88" t="s">
        <v>283</v>
      </c>
      <c r="E122" s="89"/>
      <c r="F122" s="89"/>
      <c r="G122" s="89"/>
      <c r="H122" s="34">
        <f>SUM(H123:H124)</f>
        <v>0</v>
      </c>
      <c r="I122" s="34">
        <f>SUM(I123:I124)</f>
        <v>0</v>
      </c>
      <c r="J122" s="34">
        <f>H122+I122</f>
        <v>0</v>
      </c>
      <c r="K122" s="24"/>
      <c r="L122" s="34">
        <f>SUM(L123:L124)</f>
        <v>0</v>
      </c>
      <c r="M122" s="24"/>
      <c r="Y122" s="24"/>
      <c r="AI122" s="34">
        <f>SUM(Z123:Z124)</f>
        <v>0</v>
      </c>
      <c r="AJ122" s="34">
        <f>SUM(AA123:AA124)</f>
        <v>0</v>
      </c>
      <c r="AK122" s="34">
        <f>SUM(AB123:AB124)</f>
        <v>0</v>
      </c>
    </row>
    <row r="123" spans="1:48" ht="12.75">
      <c r="A123" s="4" t="s">
        <v>81</v>
      </c>
      <c r="B123" s="4"/>
      <c r="C123" s="4" t="s">
        <v>172</v>
      </c>
      <c r="D123" s="4" t="s">
        <v>284</v>
      </c>
      <c r="E123" s="4" t="s">
        <v>294</v>
      </c>
      <c r="F123" s="16">
        <v>46.8861</v>
      </c>
      <c r="G123" s="16">
        <v>0</v>
      </c>
      <c r="H123" s="16">
        <f>F123*AE123</f>
        <v>0</v>
      </c>
      <c r="I123" s="16">
        <f>J123-H123</f>
        <v>0</v>
      </c>
      <c r="J123" s="16">
        <f>F123*G123</f>
        <v>0</v>
      </c>
      <c r="K123" s="16">
        <v>0</v>
      </c>
      <c r="L123" s="16">
        <f>F123*K123</f>
        <v>0</v>
      </c>
      <c r="M123" s="27" t="s">
        <v>315</v>
      </c>
      <c r="P123" s="31">
        <f>IF(AG123="5",J123,0)</f>
        <v>0</v>
      </c>
      <c r="R123" s="31">
        <f>IF(AG123="1",H123,0)</f>
        <v>0</v>
      </c>
      <c r="S123" s="31">
        <f>IF(AG123="1",I123,0)</f>
        <v>0</v>
      </c>
      <c r="T123" s="31">
        <f>IF(AG123="7",H123,0)</f>
        <v>0</v>
      </c>
      <c r="U123" s="31">
        <f>IF(AG123="7",I123,0)</f>
        <v>0</v>
      </c>
      <c r="V123" s="31">
        <f>IF(AG123="2",H123,0)</f>
        <v>0</v>
      </c>
      <c r="W123" s="31">
        <f>IF(AG123="2",I123,0)</f>
        <v>0</v>
      </c>
      <c r="X123" s="31">
        <f>IF(AG123="0",J123,0)</f>
        <v>0</v>
      </c>
      <c r="Y123" s="24"/>
      <c r="Z123" s="16">
        <f>IF(AD123=0,J123,0)</f>
        <v>0</v>
      </c>
      <c r="AA123" s="16">
        <f>IF(AD123=15,J123,0)</f>
        <v>0</v>
      </c>
      <c r="AB123" s="16">
        <f>IF(AD123=21,J123,0)</f>
        <v>0</v>
      </c>
      <c r="AD123" s="31">
        <v>21</v>
      </c>
      <c r="AE123" s="31">
        <f>G123*0.824484697064335</f>
        <v>0</v>
      </c>
      <c r="AF123" s="31">
        <f>G123*(1-0.824484697064335)</f>
        <v>0</v>
      </c>
      <c r="AG123" s="27" t="s">
        <v>11</v>
      </c>
      <c r="AM123" s="31">
        <f>F123*AE123</f>
        <v>0</v>
      </c>
      <c r="AN123" s="31">
        <f>F123*AF123</f>
        <v>0</v>
      </c>
      <c r="AO123" s="32" t="s">
        <v>340</v>
      </c>
      <c r="AP123" s="32" t="s">
        <v>344</v>
      </c>
      <c r="AQ123" s="24" t="s">
        <v>345</v>
      </c>
      <c r="AS123" s="31">
        <f>AM123+AN123</f>
        <v>0</v>
      </c>
      <c r="AT123" s="31">
        <f>G123/(100-AU123)*100</f>
        <v>0</v>
      </c>
      <c r="AU123" s="31">
        <v>0</v>
      </c>
      <c r="AV123" s="31">
        <f>L123</f>
        <v>0</v>
      </c>
    </row>
    <row r="124" spans="1:48" ht="12.75">
      <c r="A124" s="6" t="s">
        <v>82</v>
      </c>
      <c r="B124" s="6"/>
      <c r="C124" s="6" t="s">
        <v>173</v>
      </c>
      <c r="D124" s="6" t="s">
        <v>285</v>
      </c>
      <c r="E124" s="6" t="s">
        <v>294</v>
      </c>
      <c r="F124" s="17">
        <v>46.8861</v>
      </c>
      <c r="G124" s="17">
        <v>0</v>
      </c>
      <c r="H124" s="17">
        <f>F124*AE124</f>
        <v>0</v>
      </c>
      <c r="I124" s="17">
        <f>J124-H124</f>
        <v>0</v>
      </c>
      <c r="J124" s="17">
        <f>F124*G124</f>
        <v>0</v>
      </c>
      <c r="K124" s="17">
        <v>0</v>
      </c>
      <c r="L124" s="17">
        <f>F124*K124</f>
        <v>0</v>
      </c>
      <c r="M124" s="28" t="s">
        <v>315</v>
      </c>
      <c r="P124" s="31">
        <f>IF(AG124="5",J124,0)</f>
        <v>0</v>
      </c>
      <c r="R124" s="31">
        <f>IF(AG124="1",H124,0)</f>
        <v>0</v>
      </c>
      <c r="S124" s="31">
        <f>IF(AG124="1",I124,0)</f>
        <v>0</v>
      </c>
      <c r="T124" s="31">
        <f>IF(AG124="7",H124,0)</f>
        <v>0</v>
      </c>
      <c r="U124" s="31">
        <f>IF(AG124="7",I124,0)</f>
        <v>0</v>
      </c>
      <c r="V124" s="31">
        <f>IF(AG124="2",H124,0)</f>
        <v>0</v>
      </c>
      <c r="W124" s="31">
        <f>IF(AG124="2",I124,0)</f>
        <v>0</v>
      </c>
      <c r="X124" s="31">
        <f>IF(AG124="0",J124,0)</f>
        <v>0</v>
      </c>
      <c r="Y124" s="24"/>
      <c r="Z124" s="16">
        <f>IF(AD124=0,J124,0)</f>
        <v>0</v>
      </c>
      <c r="AA124" s="16">
        <f>IF(AD124=15,J124,0)</f>
        <v>0</v>
      </c>
      <c r="AB124" s="16">
        <f>IF(AD124=21,J124,0)</f>
        <v>0</v>
      </c>
      <c r="AD124" s="31">
        <v>21</v>
      </c>
      <c r="AE124" s="31">
        <f>G124*0</f>
        <v>0</v>
      </c>
      <c r="AF124" s="31">
        <f>G124*(1-0)</f>
        <v>0</v>
      </c>
      <c r="AG124" s="27" t="s">
        <v>11</v>
      </c>
      <c r="AM124" s="31">
        <f>F124*AE124</f>
        <v>0</v>
      </c>
      <c r="AN124" s="31">
        <f>F124*AF124</f>
        <v>0</v>
      </c>
      <c r="AO124" s="32" t="s">
        <v>340</v>
      </c>
      <c r="AP124" s="32" t="s">
        <v>344</v>
      </c>
      <c r="AQ124" s="24" t="s">
        <v>345</v>
      </c>
      <c r="AS124" s="31">
        <f>AM124+AN124</f>
        <v>0</v>
      </c>
      <c r="AT124" s="31">
        <f>G124/(100-AU124)*100</f>
        <v>0</v>
      </c>
      <c r="AU124" s="31">
        <v>0</v>
      </c>
      <c r="AV124" s="31">
        <f>L124</f>
        <v>0</v>
      </c>
    </row>
    <row r="125" spans="1:13" ht="12.75">
      <c r="A125" s="7"/>
      <c r="B125" s="7"/>
      <c r="C125" s="7"/>
      <c r="D125" s="7"/>
      <c r="E125" s="7"/>
      <c r="F125" s="7"/>
      <c r="G125" s="7"/>
      <c r="H125" s="90" t="s">
        <v>303</v>
      </c>
      <c r="I125" s="91"/>
      <c r="J125" s="35">
        <f>J12+J17+J21+J26+J45+J84+J88+J99+J102+J104+J106+J114+J116+J118+J120+J122</f>
        <v>0</v>
      </c>
      <c r="K125" s="7"/>
      <c r="L125" s="7"/>
      <c r="M125" s="7"/>
    </row>
    <row r="126" ht="11.25" customHeight="1">
      <c r="A126" s="8" t="s">
        <v>83</v>
      </c>
    </row>
    <row r="127" spans="1:13" ht="12.75">
      <c r="A127" s="77" t="s">
        <v>84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</row>
  </sheetData>
  <sheetProtection/>
  <mergeCells count="45">
    <mergeCell ref="H125:I125"/>
    <mergeCell ref="A127:M127"/>
    <mergeCell ref="D106:G106"/>
    <mergeCell ref="D114:G114"/>
    <mergeCell ref="D116:G116"/>
    <mergeCell ref="D118:G118"/>
    <mergeCell ref="D120:G120"/>
    <mergeCell ref="D122:G122"/>
    <mergeCell ref="D45:G45"/>
    <mergeCell ref="D84:G84"/>
    <mergeCell ref="D88:G88"/>
    <mergeCell ref="D99:G99"/>
    <mergeCell ref="D102:G102"/>
    <mergeCell ref="D104:G104"/>
    <mergeCell ref="H10:J10"/>
    <mergeCell ref="K10:L10"/>
    <mergeCell ref="D12:G12"/>
    <mergeCell ref="D17:G17"/>
    <mergeCell ref="D21:G21"/>
    <mergeCell ref="D26:G26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04"/>
  <sheetViews>
    <sheetView zoomScalePageLayoutView="0" workbookViewId="0" topLeftCell="A73">
      <selection activeCell="BD6" sqref="BD6:BE7"/>
    </sheetView>
  </sheetViews>
  <sheetFormatPr defaultColWidth="11.57421875" defaultRowHeight="12.75"/>
  <cols>
    <col min="1" max="57" width="2.8515625" style="0" customWidth="1"/>
    <col min="58" max="250" width="11.57421875" style="0" customWidth="1"/>
    <col min="251" max="254" width="12.140625" style="0" hidden="1" customWidth="1"/>
  </cols>
  <sheetData>
    <row r="1" spans="1:57" ht="72.75" customHeigh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</row>
    <row r="2" spans="1:58" ht="12.75">
      <c r="A2" s="66" t="s">
        <v>1</v>
      </c>
      <c r="B2" s="67"/>
      <c r="C2" s="67"/>
      <c r="D2" s="67"/>
      <c r="E2" s="67"/>
      <c r="F2" s="70" t="s">
        <v>174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72" t="s">
        <v>286</v>
      </c>
      <c r="AK2" s="67"/>
      <c r="AL2" s="67"/>
      <c r="AM2" s="67"/>
      <c r="AN2" s="67"/>
      <c r="AO2" s="67"/>
      <c r="AP2" s="67"/>
      <c r="AQ2" s="72"/>
      <c r="AR2" s="67"/>
      <c r="AS2" s="67"/>
      <c r="AT2" s="67"/>
      <c r="AU2" s="67"/>
      <c r="AV2" s="67"/>
      <c r="AW2" s="73" t="s">
        <v>304</v>
      </c>
      <c r="AX2" s="67"/>
      <c r="AY2" s="67"/>
      <c r="AZ2" s="67"/>
      <c r="BA2" s="67"/>
      <c r="BB2" s="67"/>
      <c r="BC2" s="67"/>
      <c r="BD2" s="73"/>
      <c r="BE2" s="74"/>
      <c r="BF2" s="29"/>
    </row>
    <row r="3" spans="1:58" ht="12.75">
      <c r="A3" s="68"/>
      <c r="B3" s="69"/>
      <c r="C3" s="69"/>
      <c r="D3" s="69"/>
      <c r="E3" s="69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75"/>
      <c r="BF3" s="29"/>
    </row>
    <row r="4" spans="1:58" ht="12.75">
      <c r="A4" s="76" t="s">
        <v>2</v>
      </c>
      <c r="B4" s="69"/>
      <c r="C4" s="69"/>
      <c r="D4" s="69"/>
      <c r="E4" s="69"/>
      <c r="F4" s="77" t="s">
        <v>175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78" t="s">
        <v>287</v>
      </c>
      <c r="AK4" s="69"/>
      <c r="AL4" s="69"/>
      <c r="AM4" s="69"/>
      <c r="AN4" s="69"/>
      <c r="AO4" s="69"/>
      <c r="AP4" s="69"/>
      <c r="AQ4" s="78" t="s">
        <v>6</v>
      </c>
      <c r="AR4" s="69"/>
      <c r="AS4" s="69"/>
      <c r="AT4" s="69"/>
      <c r="AU4" s="69"/>
      <c r="AV4" s="69"/>
      <c r="AW4" s="77" t="s">
        <v>305</v>
      </c>
      <c r="AX4" s="69"/>
      <c r="AY4" s="69"/>
      <c r="AZ4" s="69"/>
      <c r="BA4" s="69"/>
      <c r="BB4" s="69"/>
      <c r="BC4" s="69"/>
      <c r="BD4" s="77" t="s">
        <v>6</v>
      </c>
      <c r="BE4" s="75"/>
      <c r="BF4" s="29"/>
    </row>
    <row r="5" spans="1:58" ht="12.75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75"/>
      <c r="BF5" s="29"/>
    </row>
    <row r="6" spans="1:58" ht="12.75">
      <c r="A6" s="76" t="s">
        <v>3</v>
      </c>
      <c r="B6" s="69"/>
      <c r="C6" s="69"/>
      <c r="D6" s="69"/>
      <c r="E6" s="69"/>
      <c r="F6" s="77" t="s">
        <v>176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78" t="s">
        <v>288</v>
      </c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77" t="s">
        <v>306</v>
      </c>
      <c r="AX6" s="69"/>
      <c r="AY6" s="69"/>
      <c r="AZ6" s="69"/>
      <c r="BA6" s="69"/>
      <c r="BB6" s="69"/>
      <c r="BC6" s="69"/>
      <c r="BD6" s="77" t="s">
        <v>6</v>
      </c>
      <c r="BE6" s="75"/>
      <c r="BF6" s="29"/>
    </row>
    <row r="7" spans="1:58" ht="12.7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75"/>
      <c r="BF7" s="29"/>
    </row>
    <row r="8" spans="1:58" ht="12.75">
      <c r="A8" s="76" t="s">
        <v>4</v>
      </c>
      <c r="B8" s="69"/>
      <c r="C8" s="69"/>
      <c r="D8" s="69"/>
      <c r="E8" s="69"/>
      <c r="F8" s="77">
        <v>8035</v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78" t="s">
        <v>289</v>
      </c>
      <c r="AK8" s="69"/>
      <c r="AL8" s="69"/>
      <c r="AM8" s="69"/>
      <c r="AN8" s="69"/>
      <c r="AO8" s="69"/>
      <c r="AP8" s="69"/>
      <c r="AQ8" s="81">
        <v>43033</v>
      </c>
      <c r="AR8" s="69"/>
      <c r="AS8" s="69"/>
      <c r="AT8" s="69"/>
      <c r="AU8" s="69"/>
      <c r="AV8" s="69"/>
      <c r="AW8" s="77" t="s">
        <v>307</v>
      </c>
      <c r="AX8" s="69"/>
      <c r="AY8" s="69"/>
      <c r="AZ8" s="69"/>
      <c r="BA8" s="69"/>
      <c r="BB8" s="69"/>
      <c r="BC8" s="69"/>
      <c r="BD8" s="77"/>
      <c r="BE8" s="75"/>
      <c r="BF8" s="29"/>
    </row>
    <row r="9" spans="1:58" ht="12.75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4"/>
      <c r="BF9" s="29"/>
    </row>
    <row r="10" spans="1:58" ht="12.75">
      <c r="A10" s="95" t="s">
        <v>5</v>
      </c>
      <c r="B10" s="96"/>
      <c r="C10" s="95" t="s">
        <v>177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6"/>
      <c r="AA10" s="95" t="s">
        <v>290</v>
      </c>
      <c r="AB10" s="96"/>
      <c r="AC10" s="95" t="s">
        <v>298</v>
      </c>
      <c r="AD10" s="97"/>
      <c r="AE10" s="97"/>
      <c r="AF10" s="97"/>
      <c r="AG10" s="96"/>
      <c r="AH10" s="95" t="s">
        <v>346</v>
      </c>
      <c r="AI10" s="97"/>
      <c r="AJ10" s="97"/>
      <c r="AK10" s="97"/>
      <c r="AL10" s="97"/>
      <c r="AM10" s="97"/>
      <c r="AN10" s="97"/>
      <c r="AO10" s="96"/>
      <c r="AP10" s="95" t="s">
        <v>347</v>
      </c>
      <c r="AQ10" s="97"/>
      <c r="AR10" s="97"/>
      <c r="AS10" s="97"/>
      <c r="AT10" s="97"/>
      <c r="AU10" s="97"/>
      <c r="AV10" s="97"/>
      <c r="AW10" s="96"/>
      <c r="AX10" s="95" t="s">
        <v>348</v>
      </c>
      <c r="AY10" s="97"/>
      <c r="AZ10" s="97"/>
      <c r="BA10" s="97"/>
      <c r="BB10" s="97"/>
      <c r="BC10" s="97"/>
      <c r="BD10" s="97"/>
      <c r="BE10" s="98"/>
      <c r="BF10" s="29"/>
    </row>
    <row r="11" spans="1:57" ht="12.75">
      <c r="A11" s="99" t="s">
        <v>6</v>
      </c>
      <c r="B11" s="100"/>
      <c r="C11" s="99" t="s">
        <v>179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99" t="s">
        <v>6</v>
      </c>
      <c r="AB11" s="100"/>
      <c r="AC11" s="101" t="s">
        <v>6</v>
      </c>
      <c r="AD11" s="102"/>
      <c r="AE11" s="102"/>
      <c r="AF11" s="102"/>
      <c r="AG11" s="102"/>
      <c r="AH11" s="101" t="s">
        <v>6</v>
      </c>
      <c r="AI11" s="102"/>
      <c r="AJ11" s="102"/>
      <c r="AK11" s="102"/>
      <c r="AL11" s="102"/>
      <c r="AM11" s="102"/>
      <c r="AN11" s="102"/>
      <c r="AO11" s="102"/>
      <c r="AP11" s="103">
        <f>SUM(AP12:AP13)</f>
        <v>0</v>
      </c>
      <c r="AQ11" s="102"/>
      <c r="AR11" s="102"/>
      <c r="AS11" s="102"/>
      <c r="AT11" s="102"/>
      <c r="AU11" s="102"/>
      <c r="AV11" s="102"/>
      <c r="AW11" s="102"/>
      <c r="AX11" s="103">
        <f>SUM(AX12:AX13)</f>
        <v>4.36476</v>
      </c>
      <c r="AY11" s="102"/>
      <c r="AZ11" s="102"/>
      <c r="BA11" s="102"/>
      <c r="BB11" s="102"/>
      <c r="BC11" s="102"/>
      <c r="BD11" s="102"/>
      <c r="BE11" s="102"/>
    </row>
    <row r="12" spans="1:253" ht="12.75">
      <c r="A12" s="104" t="s">
        <v>7</v>
      </c>
      <c r="B12" s="105"/>
      <c r="C12" s="104" t="s">
        <v>180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4" t="s">
        <v>291</v>
      </c>
      <c r="AB12" s="105"/>
      <c r="AC12" s="106">
        <f>'Stavební rozpočet'!F13</f>
        <v>28</v>
      </c>
      <c r="AD12" s="107"/>
      <c r="AE12" s="107"/>
      <c r="AF12" s="107"/>
      <c r="AG12" s="107"/>
      <c r="AH12" s="106">
        <f>'Stavební rozpočet'!G13</f>
        <v>0</v>
      </c>
      <c r="AI12" s="107"/>
      <c r="AJ12" s="107"/>
      <c r="AK12" s="107"/>
      <c r="AL12" s="107"/>
      <c r="AM12" s="107"/>
      <c r="AN12" s="107"/>
      <c r="AO12" s="107"/>
      <c r="AP12" s="106">
        <f>IR12*AC12+IS12*AC12</f>
        <v>0</v>
      </c>
      <c r="AQ12" s="107"/>
      <c r="AR12" s="107"/>
      <c r="AS12" s="107"/>
      <c r="AT12" s="107"/>
      <c r="AU12" s="107"/>
      <c r="AV12" s="107"/>
      <c r="AW12" s="107"/>
      <c r="AX12" s="106">
        <f>0.02925*AC12</f>
        <v>0.8190000000000001</v>
      </c>
      <c r="AY12" s="107"/>
      <c r="AZ12" s="107"/>
      <c r="BA12" s="107"/>
      <c r="BB12" s="107"/>
      <c r="BC12" s="107"/>
      <c r="BD12" s="107"/>
      <c r="BE12" s="107"/>
      <c r="IR12" s="36">
        <f>AH12*0.491130605547732</f>
        <v>0</v>
      </c>
      <c r="IS12" s="36">
        <f>AH12*(1-0.491130605547732)</f>
        <v>0</v>
      </c>
    </row>
    <row r="13" spans="1:253" ht="12.75">
      <c r="A13" s="104" t="s">
        <v>8</v>
      </c>
      <c r="B13" s="105"/>
      <c r="C13" s="104" t="s">
        <v>182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4" t="s">
        <v>291</v>
      </c>
      <c r="AB13" s="105"/>
      <c r="AC13" s="106">
        <f>'Stavební rozpočet'!F15</f>
        <v>48</v>
      </c>
      <c r="AD13" s="107"/>
      <c r="AE13" s="107"/>
      <c r="AF13" s="107"/>
      <c r="AG13" s="107"/>
      <c r="AH13" s="106">
        <f>'Stavební rozpočet'!G15</f>
        <v>0</v>
      </c>
      <c r="AI13" s="107"/>
      <c r="AJ13" s="107"/>
      <c r="AK13" s="107"/>
      <c r="AL13" s="107"/>
      <c r="AM13" s="107"/>
      <c r="AN13" s="107"/>
      <c r="AO13" s="107"/>
      <c r="AP13" s="106">
        <f>IR13*AC13+IS13*AC13</f>
        <v>0</v>
      </c>
      <c r="AQ13" s="107"/>
      <c r="AR13" s="107"/>
      <c r="AS13" s="107"/>
      <c r="AT13" s="107"/>
      <c r="AU13" s="107"/>
      <c r="AV13" s="107"/>
      <c r="AW13" s="107"/>
      <c r="AX13" s="106">
        <f>0.07387*AC13</f>
        <v>3.5457600000000005</v>
      </c>
      <c r="AY13" s="107"/>
      <c r="AZ13" s="107"/>
      <c r="BA13" s="107"/>
      <c r="BB13" s="107"/>
      <c r="BC13" s="107"/>
      <c r="BD13" s="107"/>
      <c r="BE13" s="107"/>
      <c r="IR13" s="36">
        <f>AH13*0.524253968253968</f>
        <v>0</v>
      </c>
      <c r="IS13" s="36">
        <f>AH13*(1-0.524253968253968)</f>
        <v>0</v>
      </c>
    </row>
    <row r="14" spans="1:57" ht="12.75">
      <c r="A14" s="108" t="s">
        <v>6</v>
      </c>
      <c r="B14" s="109"/>
      <c r="C14" s="108" t="s">
        <v>184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8" t="s">
        <v>6</v>
      </c>
      <c r="AB14" s="109"/>
      <c r="AC14" s="110" t="s">
        <v>6</v>
      </c>
      <c r="AD14" s="111"/>
      <c r="AE14" s="111"/>
      <c r="AF14" s="111"/>
      <c r="AG14" s="111"/>
      <c r="AH14" s="110" t="s">
        <v>6</v>
      </c>
      <c r="AI14" s="111"/>
      <c r="AJ14" s="111"/>
      <c r="AK14" s="111"/>
      <c r="AL14" s="111"/>
      <c r="AM14" s="111"/>
      <c r="AN14" s="111"/>
      <c r="AO14" s="111"/>
      <c r="AP14" s="112">
        <f>SUM(AP15:AP16)</f>
        <v>0</v>
      </c>
      <c r="AQ14" s="111"/>
      <c r="AR14" s="111"/>
      <c r="AS14" s="111"/>
      <c r="AT14" s="111"/>
      <c r="AU14" s="111"/>
      <c r="AV14" s="111"/>
      <c r="AW14" s="111"/>
      <c r="AX14" s="112">
        <f>SUM(AX15:AX16)</f>
        <v>13.879610000000001</v>
      </c>
      <c r="AY14" s="111"/>
      <c r="AZ14" s="111"/>
      <c r="BA14" s="111"/>
      <c r="BB14" s="111"/>
      <c r="BC14" s="111"/>
      <c r="BD14" s="111"/>
      <c r="BE14" s="111"/>
    </row>
    <row r="15" spans="1:253" ht="12.75">
      <c r="A15" s="104" t="s">
        <v>9</v>
      </c>
      <c r="B15" s="105"/>
      <c r="C15" s="104" t="s">
        <v>185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4" t="s">
        <v>292</v>
      </c>
      <c r="AB15" s="105"/>
      <c r="AC15" s="106">
        <f>'Stavební rozpočet'!F18</f>
        <v>103</v>
      </c>
      <c r="AD15" s="107"/>
      <c r="AE15" s="107"/>
      <c r="AF15" s="107"/>
      <c r="AG15" s="107"/>
      <c r="AH15" s="106">
        <f>'Stavební rozpočet'!G18</f>
        <v>0</v>
      </c>
      <c r="AI15" s="107"/>
      <c r="AJ15" s="107"/>
      <c r="AK15" s="107"/>
      <c r="AL15" s="107"/>
      <c r="AM15" s="107"/>
      <c r="AN15" s="107"/>
      <c r="AO15" s="107"/>
      <c r="AP15" s="106">
        <f>IR15*AC15+IS15*AC15</f>
        <v>0</v>
      </c>
      <c r="AQ15" s="107"/>
      <c r="AR15" s="107"/>
      <c r="AS15" s="107"/>
      <c r="AT15" s="107"/>
      <c r="AU15" s="107"/>
      <c r="AV15" s="107"/>
      <c r="AW15" s="107"/>
      <c r="AX15" s="106">
        <f>0.03562*AC15</f>
        <v>3.66886</v>
      </c>
      <c r="AY15" s="107"/>
      <c r="AZ15" s="107"/>
      <c r="BA15" s="107"/>
      <c r="BB15" s="107"/>
      <c r="BC15" s="107"/>
      <c r="BD15" s="107"/>
      <c r="BE15" s="107"/>
      <c r="IR15" s="36">
        <f>AH15*0.292668945457634</f>
        <v>0</v>
      </c>
      <c r="IS15" s="36">
        <f>AH15*(1-0.292668945457634)</f>
        <v>0</v>
      </c>
    </row>
    <row r="16" spans="1:253" ht="12.75">
      <c r="A16" s="104" t="s">
        <v>10</v>
      </c>
      <c r="B16" s="105"/>
      <c r="C16" s="104" t="s">
        <v>187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4" t="s">
        <v>293</v>
      </c>
      <c r="AB16" s="105"/>
      <c r="AC16" s="106">
        <f>'Stavební rozpočet'!F20</f>
        <v>275</v>
      </c>
      <c r="AD16" s="107"/>
      <c r="AE16" s="107"/>
      <c r="AF16" s="107"/>
      <c r="AG16" s="107"/>
      <c r="AH16" s="106">
        <f>'Stavební rozpočet'!G20</f>
        <v>0</v>
      </c>
      <c r="AI16" s="107"/>
      <c r="AJ16" s="107"/>
      <c r="AK16" s="107"/>
      <c r="AL16" s="107"/>
      <c r="AM16" s="107"/>
      <c r="AN16" s="107"/>
      <c r="AO16" s="107"/>
      <c r="AP16" s="106">
        <f>IR16*AC16+IS16*AC16</f>
        <v>0</v>
      </c>
      <c r="AQ16" s="107"/>
      <c r="AR16" s="107"/>
      <c r="AS16" s="107"/>
      <c r="AT16" s="107"/>
      <c r="AU16" s="107"/>
      <c r="AV16" s="107"/>
      <c r="AW16" s="107"/>
      <c r="AX16" s="106">
        <f>0.03713*AC16</f>
        <v>10.21075</v>
      </c>
      <c r="AY16" s="107"/>
      <c r="AZ16" s="107"/>
      <c r="BA16" s="107"/>
      <c r="BB16" s="107"/>
      <c r="BC16" s="107"/>
      <c r="BD16" s="107"/>
      <c r="BE16" s="107"/>
      <c r="IR16" s="36">
        <f>AH16*0.508368421052631</f>
        <v>0</v>
      </c>
      <c r="IS16" s="36">
        <f>AH16*(1-0.508368421052631)</f>
        <v>0</v>
      </c>
    </row>
    <row r="17" spans="1:57" ht="12.75">
      <c r="A17" s="108" t="s">
        <v>6</v>
      </c>
      <c r="B17" s="109"/>
      <c r="C17" s="108" t="s">
        <v>188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8" t="s">
        <v>6</v>
      </c>
      <c r="AB17" s="109"/>
      <c r="AC17" s="110" t="s">
        <v>6</v>
      </c>
      <c r="AD17" s="111"/>
      <c r="AE17" s="111"/>
      <c r="AF17" s="111"/>
      <c r="AG17" s="111"/>
      <c r="AH17" s="110" t="s">
        <v>6</v>
      </c>
      <c r="AI17" s="111"/>
      <c r="AJ17" s="111"/>
      <c r="AK17" s="111"/>
      <c r="AL17" s="111"/>
      <c r="AM17" s="111"/>
      <c r="AN17" s="111"/>
      <c r="AO17" s="111"/>
      <c r="AP17" s="112">
        <f>SUM(AP18:AP19)</f>
        <v>0</v>
      </c>
      <c r="AQ17" s="111"/>
      <c r="AR17" s="111"/>
      <c r="AS17" s="111"/>
      <c r="AT17" s="111"/>
      <c r="AU17" s="111"/>
      <c r="AV17" s="111"/>
      <c r="AW17" s="111"/>
      <c r="AX17" s="112">
        <f>SUM(AX18:AX19)</f>
        <v>21.832</v>
      </c>
      <c r="AY17" s="111"/>
      <c r="AZ17" s="111"/>
      <c r="BA17" s="111"/>
      <c r="BB17" s="111"/>
      <c r="BC17" s="111"/>
      <c r="BD17" s="111"/>
      <c r="BE17" s="111"/>
    </row>
    <row r="18" spans="1:253" ht="12.75">
      <c r="A18" s="104" t="s">
        <v>11</v>
      </c>
      <c r="B18" s="105"/>
      <c r="C18" s="104" t="s">
        <v>189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4" t="s">
        <v>291</v>
      </c>
      <c r="AB18" s="105"/>
      <c r="AC18" s="106">
        <f>'Stavební rozpočet'!F22</f>
        <v>32</v>
      </c>
      <c r="AD18" s="107"/>
      <c r="AE18" s="107"/>
      <c r="AF18" s="107"/>
      <c r="AG18" s="107"/>
      <c r="AH18" s="106">
        <f>'Stavební rozpočet'!G22</f>
        <v>0</v>
      </c>
      <c r="AI18" s="107"/>
      <c r="AJ18" s="107"/>
      <c r="AK18" s="107"/>
      <c r="AL18" s="107"/>
      <c r="AM18" s="107"/>
      <c r="AN18" s="107"/>
      <c r="AO18" s="107"/>
      <c r="AP18" s="106">
        <f>IR18*AC18+IS18*AC18</f>
        <v>0</v>
      </c>
      <c r="AQ18" s="107"/>
      <c r="AR18" s="107"/>
      <c r="AS18" s="107"/>
      <c r="AT18" s="107"/>
      <c r="AU18" s="107"/>
      <c r="AV18" s="107"/>
      <c r="AW18" s="107"/>
      <c r="AX18" s="106">
        <f>0.67525*AC18</f>
        <v>21.608</v>
      </c>
      <c r="AY18" s="107"/>
      <c r="AZ18" s="107"/>
      <c r="BA18" s="107"/>
      <c r="BB18" s="107"/>
      <c r="BC18" s="107"/>
      <c r="BD18" s="107"/>
      <c r="BE18" s="107"/>
      <c r="IR18" s="36">
        <f>AH18*0.334476401491767</f>
        <v>0</v>
      </c>
      <c r="IS18" s="36">
        <f>AH18*(1-0.334476401491767)</f>
        <v>0</v>
      </c>
    </row>
    <row r="19" spans="1:253" ht="12.75">
      <c r="A19" s="104" t="s">
        <v>12</v>
      </c>
      <c r="B19" s="105"/>
      <c r="C19" s="104" t="s">
        <v>191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4" t="s">
        <v>291</v>
      </c>
      <c r="AB19" s="105"/>
      <c r="AC19" s="106">
        <f>'Stavební rozpočet'!F24</f>
        <v>32</v>
      </c>
      <c r="AD19" s="107"/>
      <c r="AE19" s="107"/>
      <c r="AF19" s="107"/>
      <c r="AG19" s="107"/>
      <c r="AH19" s="106">
        <f>'Stavební rozpočet'!G24</f>
        <v>0</v>
      </c>
      <c r="AI19" s="107"/>
      <c r="AJ19" s="107"/>
      <c r="AK19" s="107"/>
      <c r="AL19" s="107"/>
      <c r="AM19" s="107"/>
      <c r="AN19" s="107"/>
      <c r="AO19" s="107"/>
      <c r="AP19" s="106">
        <f>IR19*AC19+IS19*AC19</f>
        <v>0</v>
      </c>
      <c r="AQ19" s="107"/>
      <c r="AR19" s="107"/>
      <c r="AS19" s="107"/>
      <c r="AT19" s="107"/>
      <c r="AU19" s="107"/>
      <c r="AV19" s="107"/>
      <c r="AW19" s="107"/>
      <c r="AX19" s="106">
        <f>0.007*AC19</f>
        <v>0.224</v>
      </c>
      <c r="AY19" s="107"/>
      <c r="AZ19" s="107"/>
      <c r="BA19" s="107"/>
      <c r="BB19" s="107"/>
      <c r="BC19" s="107"/>
      <c r="BD19" s="107"/>
      <c r="BE19" s="107"/>
      <c r="IR19" s="36">
        <f>AH19*0.763267457180501</f>
        <v>0</v>
      </c>
      <c r="IS19" s="36">
        <f>AH19*(1-0.763267457180501)</f>
        <v>0</v>
      </c>
    </row>
    <row r="20" spans="1:57" ht="12.75">
      <c r="A20" s="108" t="s">
        <v>6</v>
      </c>
      <c r="B20" s="109"/>
      <c r="C20" s="108" t="s">
        <v>193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8" t="s">
        <v>6</v>
      </c>
      <c r="AB20" s="109"/>
      <c r="AC20" s="110" t="s">
        <v>6</v>
      </c>
      <c r="AD20" s="111"/>
      <c r="AE20" s="111"/>
      <c r="AF20" s="111"/>
      <c r="AG20" s="111"/>
      <c r="AH20" s="110" t="s">
        <v>6</v>
      </c>
      <c r="AI20" s="111"/>
      <c r="AJ20" s="111"/>
      <c r="AK20" s="111"/>
      <c r="AL20" s="111"/>
      <c r="AM20" s="111"/>
      <c r="AN20" s="111"/>
      <c r="AO20" s="111"/>
      <c r="AP20" s="112">
        <f>SUM(AP21:AP34)</f>
        <v>0</v>
      </c>
      <c r="AQ20" s="111"/>
      <c r="AR20" s="111"/>
      <c r="AS20" s="111"/>
      <c r="AT20" s="111"/>
      <c r="AU20" s="111"/>
      <c r="AV20" s="111"/>
      <c r="AW20" s="111"/>
      <c r="AX20" s="112">
        <f>SUM(AX21:AX34)</f>
        <v>6.282930000000001</v>
      </c>
      <c r="AY20" s="111"/>
      <c r="AZ20" s="111"/>
      <c r="BA20" s="111"/>
      <c r="BB20" s="111"/>
      <c r="BC20" s="111"/>
      <c r="BD20" s="111"/>
      <c r="BE20" s="111"/>
    </row>
    <row r="21" spans="1:253" ht="12.75">
      <c r="A21" s="104" t="s">
        <v>13</v>
      </c>
      <c r="B21" s="105"/>
      <c r="C21" s="104" t="s">
        <v>194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4" t="s">
        <v>293</v>
      </c>
      <c r="AB21" s="105"/>
      <c r="AC21" s="106">
        <f>'Stavební rozpočet'!F27</f>
        <v>275</v>
      </c>
      <c r="AD21" s="107"/>
      <c r="AE21" s="107"/>
      <c r="AF21" s="107"/>
      <c r="AG21" s="107"/>
      <c r="AH21" s="106">
        <f>'Stavební rozpočet'!G27</f>
        <v>0</v>
      </c>
      <c r="AI21" s="107"/>
      <c r="AJ21" s="107"/>
      <c r="AK21" s="107"/>
      <c r="AL21" s="107"/>
      <c r="AM21" s="107"/>
      <c r="AN21" s="107"/>
      <c r="AO21" s="107"/>
      <c r="AP21" s="106">
        <f aca="true" t="shared" si="0" ref="AP21:AP34">IR21*AC21+IS21*AC21</f>
        <v>0</v>
      </c>
      <c r="AQ21" s="107"/>
      <c r="AR21" s="107"/>
      <c r="AS21" s="107"/>
      <c r="AT21" s="107"/>
      <c r="AU21" s="107"/>
      <c r="AV21" s="107"/>
      <c r="AW21" s="107"/>
      <c r="AX21" s="106">
        <f>0.01492*AC21</f>
        <v>4.103</v>
      </c>
      <c r="AY21" s="107"/>
      <c r="AZ21" s="107"/>
      <c r="BA21" s="107"/>
      <c r="BB21" s="107"/>
      <c r="BC21" s="107"/>
      <c r="BD21" s="107"/>
      <c r="BE21" s="107"/>
      <c r="IR21" s="36">
        <f>AH21*0</f>
        <v>0</v>
      </c>
      <c r="IS21" s="36">
        <f>AH21*(1-0)</f>
        <v>0</v>
      </c>
    </row>
    <row r="22" spans="1:253" ht="12.75">
      <c r="A22" s="104" t="s">
        <v>14</v>
      </c>
      <c r="B22" s="105"/>
      <c r="C22" s="104" t="s">
        <v>195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4" t="s">
        <v>293</v>
      </c>
      <c r="AB22" s="105"/>
      <c r="AC22" s="106">
        <f>'Stavební rozpočet'!F28</f>
        <v>105</v>
      </c>
      <c r="AD22" s="107"/>
      <c r="AE22" s="107"/>
      <c r="AF22" s="107"/>
      <c r="AG22" s="107"/>
      <c r="AH22" s="106">
        <f>'Stavební rozpočet'!G28</f>
        <v>0</v>
      </c>
      <c r="AI22" s="107"/>
      <c r="AJ22" s="107"/>
      <c r="AK22" s="107"/>
      <c r="AL22" s="107"/>
      <c r="AM22" s="107"/>
      <c r="AN22" s="107"/>
      <c r="AO22" s="107"/>
      <c r="AP22" s="106">
        <f t="shared" si="0"/>
        <v>0</v>
      </c>
      <c r="AQ22" s="107"/>
      <c r="AR22" s="107"/>
      <c r="AS22" s="107"/>
      <c r="AT22" s="107"/>
      <c r="AU22" s="107"/>
      <c r="AV22" s="107"/>
      <c r="AW22" s="107"/>
      <c r="AX22" s="106">
        <f>0.00198*AC22</f>
        <v>0.2079</v>
      </c>
      <c r="AY22" s="107"/>
      <c r="AZ22" s="107"/>
      <c r="BA22" s="107"/>
      <c r="BB22" s="107"/>
      <c r="BC22" s="107"/>
      <c r="BD22" s="107"/>
      <c r="BE22" s="107"/>
      <c r="IR22" s="36">
        <f>AH22*0</f>
        <v>0</v>
      </c>
      <c r="IS22" s="36">
        <f>AH22*(1-0)</f>
        <v>0</v>
      </c>
    </row>
    <row r="23" spans="1:253" ht="12.75">
      <c r="A23" s="104" t="s">
        <v>15</v>
      </c>
      <c r="B23" s="105"/>
      <c r="C23" s="104" t="s">
        <v>196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4" t="s">
        <v>292</v>
      </c>
      <c r="AB23" s="105"/>
      <c r="AC23" s="106">
        <f>'Stavební rozpočet'!F29</f>
        <v>21</v>
      </c>
      <c r="AD23" s="107"/>
      <c r="AE23" s="107"/>
      <c r="AF23" s="107"/>
      <c r="AG23" s="107"/>
      <c r="AH23" s="106">
        <f>'Stavební rozpočet'!G29</f>
        <v>0</v>
      </c>
      <c r="AI23" s="107"/>
      <c r="AJ23" s="107"/>
      <c r="AK23" s="107"/>
      <c r="AL23" s="107"/>
      <c r="AM23" s="107"/>
      <c r="AN23" s="107"/>
      <c r="AO23" s="107"/>
      <c r="AP23" s="106">
        <f t="shared" si="0"/>
        <v>0</v>
      </c>
      <c r="AQ23" s="107"/>
      <c r="AR23" s="107"/>
      <c r="AS23" s="107"/>
      <c r="AT23" s="107"/>
      <c r="AU23" s="107"/>
      <c r="AV23" s="107"/>
      <c r="AW23" s="107"/>
      <c r="AX23" s="106">
        <f>0.00278*AC23</f>
        <v>0.05838</v>
      </c>
      <c r="AY23" s="107"/>
      <c r="AZ23" s="107"/>
      <c r="BA23" s="107"/>
      <c r="BB23" s="107"/>
      <c r="BC23" s="107"/>
      <c r="BD23" s="107"/>
      <c r="BE23" s="107"/>
      <c r="IR23" s="36">
        <f>AH23*0.200288713910761</f>
        <v>0</v>
      </c>
      <c r="IS23" s="36">
        <f>AH23*(1-0.200288713910761)</f>
        <v>0</v>
      </c>
    </row>
    <row r="24" spans="1:253" ht="12.75">
      <c r="A24" s="104" t="s">
        <v>16</v>
      </c>
      <c r="B24" s="105"/>
      <c r="C24" s="104" t="s">
        <v>198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4" t="s">
        <v>292</v>
      </c>
      <c r="AB24" s="105"/>
      <c r="AC24" s="106">
        <f>'Stavební rozpočet'!F31</f>
        <v>105</v>
      </c>
      <c r="AD24" s="107"/>
      <c r="AE24" s="107"/>
      <c r="AF24" s="107"/>
      <c r="AG24" s="107"/>
      <c r="AH24" s="106">
        <f>'Stavební rozpočet'!G31</f>
        <v>0</v>
      </c>
      <c r="AI24" s="107"/>
      <c r="AJ24" s="107"/>
      <c r="AK24" s="107"/>
      <c r="AL24" s="107"/>
      <c r="AM24" s="107"/>
      <c r="AN24" s="107"/>
      <c r="AO24" s="107"/>
      <c r="AP24" s="106">
        <f t="shared" si="0"/>
        <v>0</v>
      </c>
      <c r="AQ24" s="107"/>
      <c r="AR24" s="107"/>
      <c r="AS24" s="107"/>
      <c r="AT24" s="107"/>
      <c r="AU24" s="107"/>
      <c r="AV24" s="107"/>
      <c r="AW24" s="107"/>
      <c r="AX24" s="106">
        <f>0.00675*AC24</f>
        <v>0.70875</v>
      </c>
      <c r="AY24" s="107"/>
      <c r="AZ24" s="107"/>
      <c r="BA24" s="107"/>
      <c r="BB24" s="107"/>
      <c r="BC24" s="107"/>
      <c r="BD24" s="107"/>
      <c r="BE24" s="107"/>
      <c r="IR24" s="36">
        <f>AH24*0.249049773755656</f>
        <v>0</v>
      </c>
      <c r="IS24" s="36">
        <f>AH24*(1-0.249049773755656)</f>
        <v>0</v>
      </c>
    </row>
    <row r="25" spans="1:253" ht="12.75">
      <c r="A25" s="104" t="s">
        <v>17</v>
      </c>
      <c r="B25" s="105"/>
      <c r="C25" s="104" t="s">
        <v>200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4" t="s">
        <v>293</v>
      </c>
      <c r="AB25" s="105"/>
      <c r="AC25" s="106">
        <f>'Stavební rozpočet'!F33</f>
        <v>33</v>
      </c>
      <c r="AD25" s="107"/>
      <c r="AE25" s="107"/>
      <c r="AF25" s="107"/>
      <c r="AG25" s="107"/>
      <c r="AH25" s="106">
        <f>'Stavební rozpočet'!G33</f>
        <v>0</v>
      </c>
      <c r="AI25" s="107"/>
      <c r="AJ25" s="107"/>
      <c r="AK25" s="107"/>
      <c r="AL25" s="107"/>
      <c r="AM25" s="107"/>
      <c r="AN25" s="107"/>
      <c r="AO25" s="107"/>
      <c r="AP25" s="106">
        <f t="shared" si="0"/>
        <v>0</v>
      </c>
      <c r="AQ25" s="107"/>
      <c r="AR25" s="107"/>
      <c r="AS25" s="107"/>
      <c r="AT25" s="107"/>
      <c r="AU25" s="107"/>
      <c r="AV25" s="107"/>
      <c r="AW25" s="107"/>
      <c r="AX25" s="106">
        <f>0.001*AC25</f>
        <v>0.033</v>
      </c>
      <c r="AY25" s="107"/>
      <c r="AZ25" s="107"/>
      <c r="BA25" s="107"/>
      <c r="BB25" s="107"/>
      <c r="BC25" s="107"/>
      <c r="BD25" s="107"/>
      <c r="BE25" s="107"/>
      <c r="IR25" s="36">
        <f>AH25*0.361111111111111</f>
        <v>0</v>
      </c>
      <c r="IS25" s="36">
        <f>AH25*(1-0.361111111111111)</f>
        <v>0</v>
      </c>
    </row>
    <row r="26" spans="1:253" ht="12.75">
      <c r="A26" s="104" t="s">
        <v>18</v>
      </c>
      <c r="B26" s="105"/>
      <c r="C26" s="104" t="s">
        <v>202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4" t="s">
        <v>293</v>
      </c>
      <c r="AB26" s="105"/>
      <c r="AC26" s="106">
        <f>'Stavební rozpočet'!F35</f>
        <v>330</v>
      </c>
      <c r="AD26" s="107"/>
      <c r="AE26" s="107"/>
      <c r="AF26" s="107"/>
      <c r="AG26" s="107"/>
      <c r="AH26" s="106">
        <f>'Stavební rozpočet'!G35</f>
        <v>0</v>
      </c>
      <c r="AI26" s="107"/>
      <c r="AJ26" s="107"/>
      <c r="AK26" s="107"/>
      <c r="AL26" s="107"/>
      <c r="AM26" s="107"/>
      <c r="AN26" s="107"/>
      <c r="AO26" s="107"/>
      <c r="AP26" s="106">
        <f t="shared" si="0"/>
        <v>0</v>
      </c>
      <c r="AQ26" s="107"/>
      <c r="AR26" s="107"/>
      <c r="AS26" s="107"/>
      <c r="AT26" s="107"/>
      <c r="AU26" s="107"/>
      <c r="AV26" s="107"/>
      <c r="AW26" s="107"/>
      <c r="AX26" s="106">
        <f>0.00308*AC26</f>
        <v>1.0164</v>
      </c>
      <c r="AY26" s="107"/>
      <c r="AZ26" s="107"/>
      <c r="BA26" s="107"/>
      <c r="BB26" s="107"/>
      <c r="BC26" s="107"/>
      <c r="BD26" s="107"/>
      <c r="BE26" s="107"/>
      <c r="IR26" s="36">
        <f>AH26*0.773958762886598</f>
        <v>0</v>
      </c>
      <c r="IS26" s="36">
        <f>AH26*(1-0.773958762886598)</f>
        <v>0</v>
      </c>
    </row>
    <row r="27" spans="1:253" ht="12.75">
      <c r="A27" s="104" t="s">
        <v>19</v>
      </c>
      <c r="B27" s="105"/>
      <c r="C27" s="104" t="s">
        <v>203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4" t="s">
        <v>293</v>
      </c>
      <c r="AB27" s="105"/>
      <c r="AC27" s="106">
        <f>'Stavební rozpočet'!F36</f>
        <v>8</v>
      </c>
      <c r="AD27" s="107"/>
      <c r="AE27" s="107"/>
      <c r="AF27" s="107"/>
      <c r="AG27" s="107"/>
      <c r="AH27" s="106">
        <f>'Stavební rozpočet'!G36</f>
        <v>0</v>
      </c>
      <c r="AI27" s="107"/>
      <c r="AJ27" s="107"/>
      <c r="AK27" s="107"/>
      <c r="AL27" s="107"/>
      <c r="AM27" s="107"/>
      <c r="AN27" s="107"/>
      <c r="AO27" s="107"/>
      <c r="AP27" s="106">
        <f t="shared" si="0"/>
        <v>0</v>
      </c>
      <c r="AQ27" s="107"/>
      <c r="AR27" s="107"/>
      <c r="AS27" s="107"/>
      <c r="AT27" s="107"/>
      <c r="AU27" s="107"/>
      <c r="AV27" s="107"/>
      <c r="AW27" s="107"/>
      <c r="AX27" s="106">
        <f>0.0038*AC27</f>
        <v>0.0304</v>
      </c>
      <c r="AY27" s="107"/>
      <c r="AZ27" s="107"/>
      <c r="BA27" s="107"/>
      <c r="BB27" s="107"/>
      <c r="BC27" s="107"/>
      <c r="BD27" s="107"/>
      <c r="BE27" s="107"/>
      <c r="IR27" s="36">
        <f>AH27*0.851063614108536</f>
        <v>0</v>
      </c>
      <c r="IS27" s="36">
        <f>AH27*(1-0.851063614108536)</f>
        <v>0</v>
      </c>
    </row>
    <row r="28" spans="1:253" ht="12.75">
      <c r="A28" s="104" t="s">
        <v>20</v>
      </c>
      <c r="B28" s="105"/>
      <c r="C28" s="104" t="s">
        <v>204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4" t="s">
        <v>293</v>
      </c>
      <c r="AB28" s="105"/>
      <c r="AC28" s="106">
        <f>'Stavební rozpočet'!F37</f>
        <v>6</v>
      </c>
      <c r="AD28" s="107"/>
      <c r="AE28" s="107"/>
      <c r="AF28" s="107"/>
      <c r="AG28" s="107"/>
      <c r="AH28" s="106">
        <f>'Stavební rozpočet'!G37</f>
        <v>0</v>
      </c>
      <c r="AI28" s="107"/>
      <c r="AJ28" s="107"/>
      <c r="AK28" s="107"/>
      <c r="AL28" s="107"/>
      <c r="AM28" s="107"/>
      <c r="AN28" s="107"/>
      <c r="AO28" s="107"/>
      <c r="AP28" s="106">
        <f t="shared" si="0"/>
        <v>0</v>
      </c>
      <c r="AQ28" s="107"/>
      <c r="AR28" s="107"/>
      <c r="AS28" s="107"/>
      <c r="AT28" s="107"/>
      <c r="AU28" s="107"/>
      <c r="AV28" s="107"/>
      <c r="AW28" s="107"/>
      <c r="AX28" s="106">
        <f>0.00465*AC28</f>
        <v>0.027899999999999998</v>
      </c>
      <c r="AY28" s="107"/>
      <c r="AZ28" s="107"/>
      <c r="BA28" s="107"/>
      <c r="BB28" s="107"/>
      <c r="BC28" s="107"/>
      <c r="BD28" s="107"/>
      <c r="BE28" s="107"/>
      <c r="IR28" s="36">
        <f>AH28*0.656620739666425</f>
        <v>0</v>
      </c>
      <c r="IS28" s="36">
        <f>AH28*(1-0.656620739666425)</f>
        <v>0</v>
      </c>
    </row>
    <row r="29" spans="1:253" ht="12.75">
      <c r="A29" s="104" t="s">
        <v>21</v>
      </c>
      <c r="B29" s="105"/>
      <c r="C29" s="104" t="s">
        <v>205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4" t="s">
        <v>293</v>
      </c>
      <c r="AB29" s="105"/>
      <c r="AC29" s="106">
        <f>'Stavební rozpočet'!F38</f>
        <v>70</v>
      </c>
      <c r="AD29" s="107"/>
      <c r="AE29" s="107"/>
      <c r="AF29" s="107"/>
      <c r="AG29" s="107"/>
      <c r="AH29" s="106">
        <f>'Stavební rozpočet'!G38</f>
        <v>0</v>
      </c>
      <c r="AI29" s="107"/>
      <c r="AJ29" s="107"/>
      <c r="AK29" s="107"/>
      <c r="AL29" s="107"/>
      <c r="AM29" s="107"/>
      <c r="AN29" s="107"/>
      <c r="AO29" s="107"/>
      <c r="AP29" s="106">
        <f t="shared" si="0"/>
        <v>0</v>
      </c>
      <c r="AQ29" s="107"/>
      <c r="AR29" s="107"/>
      <c r="AS29" s="107"/>
      <c r="AT29" s="107"/>
      <c r="AU29" s="107"/>
      <c r="AV29" s="107"/>
      <c r="AW29" s="107"/>
      <c r="AX29" s="106">
        <f>0.00047*AC29</f>
        <v>0.0329</v>
      </c>
      <c r="AY29" s="107"/>
      <c r="AZ29" s="107"/>
      <c r="BA29" s="107"/>
      <c r="BB29" s="107"/>
      <c r="BC29" s="107"/>
      <c r="BD29" s="107"/>
      <c r="BE29" s="107"/>
      <c r="IR29" s="36">
        <f>AH29*0.331335012594458</f>
        <v>0</v>
      </c>
      <c r="IS29" s="36">
        <f>AH29*(1-0.331335012594458)</f>
        <v>0</v>
      </c>
    </row>
    <row r="30" spans="1:253" ht="12.75">
      <c r="A30" s="104" t="s">
        <v>22</v>
      </c>
      <c r="B30" s="105"/>
      <c r="C30" s="104" t="s">
        <v>206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4" t="s">
        <v>293</v>
      </c>
      <c r="AB30" s="105"/>
      <c r="AC30" s="106">
        <f>'Stavební rozpočet'!F39</f>
        <v>35</v>
      </c>
      <c r="AD30" s="107"/>
      <c r="AE30" s="107"/>
      <c r="AF30" s="107"/>
      <c r="AG30" s="107"/>
      <c r="AH30" s="106">
        <f>'Stavební rozpočet'!G39</f>
        <v>0</v>
      </c>
      <c r="AI30" s="107"/>
      <c r="AJ30" s="107"/>
      <c r="AK30" s="107"/>
      <c r="AL30" s="107"/>
      <c r="AM30" s="107"/>
      <c r="AN30" s="107"/>
      <c r="AO30" s="107"/>
      <c r="AP30" s="106">
        <f t="shared" si="0"/>
        <v>0</v>
      </c>
      <c r="AQ30" s="107"/>
      <c r="AR30" s="107"/>
      <c r="AS30" s="107"/>
      <c r="AT30" s="107"/>
      <c r="AU30" s="107"/>
      <c r="AV30" s="107"/>
      <c r="AW30" s="107"/>
      <c r="AX30" s="106">
        <f>0.00152*AC30</f>
        <v>0.053200000000000004</v>
      </c>
      <c r="AY30" s="107"/>
      <c r="AZ30" s="107"/>
      <c r="BA30" s="107"/>
      <c r="BB30" s="107"/>
      <c r="BC30" s="107"/>
      <c r="BD30" s="107"/>
      <c r="BE30" s="107"/>
      <c r="IR30" s="36">
        <f>AH30*0.315894071071434</f>
        <v>0</v>
      </c>
      <c r="IS30" s="36">
        <f>AH30*(1-0.315894071071434)</f>
        <v>0</v>
      </c>
    </row>
    <row r="31" spans="1:253" ht="12.75">
      <c r="A31" s="104" t="s">
        <v>23</v>
      </c>
      <c r="B31" s="105"/>
      <c r="C31" s="104" t="s">
        <v>207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4" t="s">
        <v>292</v>
      </c>
      <c r="AB31" s="105"/>
      <c r="AC31" s="106">
        <f>'Stavební rozpočet'!F40</f>
        <v>17</v>
      </c>
      <c r="AD31" s="107"/>
      <c r="AE31" s="107"/>
      <c r="AF31" s="107"/>
      <c r="AG31" s="107"/>
      <c r="AH31" s="106">
        <f>'Stavební rozpočet'!G40</f>
        <v>0</v>
      </c>
      <c r="AI31" s="107"/>
      <c r="AJ31" s="107"/>
      <c r="AK31" s="107"/>
      <c r="AL31" s="107"/>
      <c r="AM31" s="107"/>
      <c r="AN31" s="107"/>
      <c r="AO31" s="107"/>
      <c r="AP31" s="106">
        <f t="shared" si="0"/>
        <v>0</v>
      </c>
      <c r="AQ31" s="107"/>
      <c r="AR31" s="107"/>
      <c r="AS31" s="107"/>
      <c r="AT31" s="107"/>
      <c r="AU31" s="107"/>
      <c r="AV31" s="107"/>
      <c r="AW31" s="107"/>
      <c r="AX31" s="106">
        <f>0.00055*AC31</f>
        <v>0.00935</v>
      </c>
      <c r="AY31" s="107"/>
      <c r="AZ31" s="107"/>
      <c r="BA31" s="107"/>
      <c r="BB31" s="107"/>
      <c r="BC31" s="107"/>
      <c r="BD31" s="107"/>
      <c r="BE31" s="107"/>
      <c r="IR31" s="36">
        <f>AH31*0.808474576271186</f>
        <v>0</v>
      </c>
      <c r="IS31" s="36">
        <f>AH31*(1-0.808474576271186)</f>
        <v>0</v>
      </c>
    </row>
    <row r="32" spans="1:253" ht="12.75">
      <c r="A32" s="104" t="s">
        <v>24</v>
      </c>
      <c r="B32" s="105"/>
      <c r="C32" s="104" t="s">
        <v>208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4" t="s">
        <v>292</v>
      </c>
      <c r="AB32" s="105"/>
      <c r="AC32" s="106">
        <f>'Stavební rozpočet'!F41</f>
        <v>1</v>
      </c>
      <c r="AD32" s="107"/>
      <c r="AE32" s="107"/>
      <c r="AF32" s="107"/>
      <c r="AG32" s="107"/>
      <c r="AH32" s="106">
        <f>'Stavební rozpočet'!G41</f>
        <v>0</v>
      </c>
      <c r="AI32" s="107"/>
      <c r="AJ32" s="107"/>
      <c r="AK32" s="107"/>
      <c r="AL32" s="107"/>
      <c r="AM32" s="107"/>
      <c r="AN32" s="107"/>
      <c r="AO32" s="107"/>
      <c r="AP32" s="106">
        <f t="shared" si="0"/>
        <v>0</v>
      </c>
      <c r="AQ32" s="107"/>
      <c r="AR32" s="107"/>
      <c r="AS32" s="107"/>
      <c r="AT32" s="107"/>
      <c r="AU32" s="107"/>
      <c r="AV32" s="107"/>
      <c r="AW32" s="107"/>
      <c r="AX32" s="106">
        <f>0.00175*AC32</f>
        <v>0.00175</v>
      </c>
      <c r="AY32" s="107"/>
      <c r="AZ32" s="107"/>
      <c r="BA32" s="107"/>
      <c r="BB32" s="107"/>
      <c r="BC32" s="107"/>
      <c r="BD32" s="107"/>
      <c r="BE32" s="107"/>
      <c r="IR32" s="36">
        <f>AH32*0.969362962962963</f>
        <v>0</v>
      </c>
      <c r="IS32" s="36">
        <f>AH32*(1-0.969362962962963)</f>
        <v>0</v>
      </c>
    </row>
    <row r="33" spans="1:253" ht="12.75">
      <c r="A33" s="104" t="s">
        <v>25</v>
      </c>
      <c r="B33" s="105"/>
      <c r="C33" s="104" t="s">
        <v>210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4" t="s">
        <v>293</v>
      </c>
      <c r="AB33" s="105"/>
      <c r="AC33" s="106">
        <f>'Stavební rozpočet'!F43</f>
        <v>449</v>
      </c>
      <c r="AD33" s="107"/>
      <c r="AE33" s="107"/>
      <c r="AF33" s="107"/>
      <c r="AG33" s="107"/>
      <c r="AH33" s="106">
        <f>'Stavební rozpočet'!G43</f>
        <v>0</v>
      </c>
      <c r="AI33" s="107"/>
      <c r="AJ33" s="107"/>
      <c r="AK33" s="107"/>
      <c r="AL33" s="107"/>
      <c r="AM33" s="107"/>
      <c r="AN33" s="107"/>
      <c r="AO33" s="107"/>
      <c r="AP33" s="106">
        <f t="shared" si="0"/>
        <v>0</v>
      </c>
      <c r="AQ33" s="107"/>
      <c r="AR33" s="107"/>
      <c r="AS33" s="107"/>
      <c r="AT33" s="107"/>
      <c r="AU33" s="107"/>
      <c r="AV33" s="107"/>
      <c r="AW33" s="107"/>
      <c r="AX33" s="106">
        <f>0*AC33</f>
        <v>0</v>
      </c>
      <c r="AY33" s="107"/>
      <c r="AZ33" s="107"/>
      <c r="BA33" s="107"/>
      <c r="BB33" s="107"/>
      <c r="BC33" s="107"/>
      <c r="BD33" s="107"/>
      <c r="BE33" s="107"/>
      <c r="IR33" s="36">
        <f>AH33*0.0306010928961749</f>
        <v>0</v>
      </c>
      <c r="IS33" s="36">
        <f>AH33*(1-0.0306010928961749)</f>
        <v>0</v>
      </c>
    </row>
    <row r="34" spans="1:253" ht="12.75">
      <c r="A34" s="104" t="s">
        <v>26</v>
      </c>
      <c r="B34" s="105"/>
      <c r="C34" s="104" t="s">
        <v>211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4" t="s">
        <v>294</v>
      </c>
      <c r="AB34" s="105"/>
      <c r="AC34" s="106">
        <f>'Stavební rozpočet'!F44</f>
        <v>4.4009</v>
      </c>
      <c r="AD34" s="107"/>
      <c r="AE34" s="107"/>
      <c r="AF34" s="107"/>
      <c r="AG34" s="107"/>
      <c r="AH34" s="106">
        <f>'Stavební rozpočet'!G44</f>
        <v>0</v>
      </c>
      <c r="AI34" s="107"/>
      <c r="AJ34" s="107"/>
      <c r="AK34" s="107"/>
      <c r="AL34" s="107"/>
      <c r="AM34" s="107"/>
      <c r="AN34" s="107"/>
      <c r="AO34" s="107"/>
      <c r="AP34" s="106">
        <f t="shared" si="0"/>
        <v>0</v>
      </c>
      <c r="AQ34" s="107"/>
      <c r="AR34" s="107"/>
      <c r="AS34" s="107"/>
      <c r="AT34" s="107"/>
      <c r="AU34" s="107"/>
      <c r="AV34" s="107"/>
      <c r="AW34" s="107"/>
      <c r="AX34" s="106">
        <f>0*AC34</f>
        <v>0</v>
      </c>
      <c r="AY34" s="107"/>
      <c r="AZ34" s="107"/>
      <c r="BA34" s="107"/>
      <c r="BB34" s="107"/>
      <c r="BC34" s="107"/>
      <c r="BD34" s="107"/>
      <c r="BE34" s="107"/>
      <c r="IR34" s="36">
        <f>AH34*0</f>
        <v>0</v>
      </c>
      <c r="IS34" s="36">
        <f>AH34*(1-0)</f>
        <v>0</v>
      </c>
    </row>
    <row r="35" spans="1:57" ht="12.75">
      <c r="A35" s="108" t="s">
        <v>6</v>
      </c>
      <c r="B35" s="109"/>
      <c r="C35" s="108" t="s">
        <v>212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8" t="s">
        <v>6</v>
      </c>
      <c r="AB35" s="109"/>
      <c r="AC35" s="110" t="s">
        <v>6</v>
      </c>
      <c r="AD35" s="111"/>
      <c r="AE35" s="111"/>
      <c r="AF35" s="111"/>
      <c r="AG35" s="111"/>
      <c r="AH35" s="110" t="s">
        <v>6</v>
      </c>
      <c r="AI35" s="111"/>
      <c r="AJ35" s="111"/>
      <c r="AK35" s="111"/>
      <c r="AL35" s="111"/>
      <c r="AM35" s="111"/>
      <c r="AN35" s="111"/>
      <c r="AO35" s="111"/>
      <c r="AP35" s="112">
        <f>SUM(AP36:AP64)</f>
        <v>0</v>
      </c>
      <c r="AQ35" s="111"/>
      <c r="AR35" s="111"/>
      <c r="AS35" s="111"/>
      <c r="AT35" s="111"/>
      <c r="AU35" s="111"/>
      <c r="AV35" s="111"/>
      <c r="AW35" s="111"/>
      <c r="AX35" s="112">
        <f>SUM(AX36:AX64)</f>
        <v>8.196349999999999</v>
      </c>
      <c r="AY35" s="111"/>
      <c r="AZ35" s="111"/>
      <c r="BA35" s="111"/>
      <c r="BB35" s="111"/>
      <c r="BC35" s="111"/>
      <c r="BD35" s="111"/>
      <c r="BE35" s="111"/>
    </row>
    <row r="36" spans="1:253" ht="12.75">
      <c r="A36" s="104" t="s">
        <v>27</v>
      </c>
      <c r="B36" s="105"/>
      <c r="C36" s="104" t="s">
        <v>213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4" t="s">
        <v>293</v>
      </c>
      <c r="AB36" s="105"/>
      <c r="AC36" s="106">
        <f>'Stavební rozpočet'!F46</f>
        <v>680</v>
      </c>
      <c r="AD36" s="107"/>
      <c r="AE36" s="107"/>
      <c r="AF36" s="107"/>
      <c r="AG36" s="107"/>
      <c r="AH36" s="106">
        <f>'Stavební rozpočet'!G46</f>
        <v>0</v>
      </c>
      <c r="AI36" s="107"/>
      <c r="AJ36" s="107"/>
      <c r="AK36" s="107"/>
      <c r="AL36" s="107"/>
      <c r="AM36" s="107"/>
      <c r="AN36" s="107"/>
      <c r="AO36" s="107"/>
      <c r="AP36" s="106">
        <f aca="true" t="shared" si="1" ref="AP36:AP64">IR36*AC36+IS36*AC36</f>
        <v>0</v>
      </c>
      <c r="AQ36" s="107"/>
      <c r="AR36" s="107"/>
      <c r="AS36" s="107"/>
      <c r="AT36" s="107"/>
      <c r="AU36" s="107"/>
      <c r="AV36" s="107"/>
      <c r="AW36" s="107"/>
      <c r="AX36" s="106">
        <f>0.002*AC36</f>
        <v>1.36</v>
      </c>
      <c r="AY36" s="107"/>
      <c r="AZ36" s="107"/>
      <c r="BA36" s="107"/>
      <c r="BB36" s="107"/>
      <c r="BC36" s="107"/>
      <c r="BD36" s="107"/>
      <c r="BE36" s="107"/>
      <c r="IR36" s="36">
        <f>AH36*0</f>
        <v>0</v>
      </c>
      <c r="IS36" s="36">
        <f>AH36*(1-0)</f>
        <v>0</v>
      </c>
    </row>
    <row r="37" spans="1:253" ht="12.75">
      <c r="A37" s="104" t="s">
        <v>28</v>
      </c>
      <c r="B37" s="105"/>
      <c r="C37" s="104" t="s">
        <v>214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4" t="s">
        <v>292</v>
      </c>
      <c r="AB37" s="105"/>
      <c r="AC37" s="106">
        <f>'Stavební rozpočet'!F47</f>
        <v>6</v>
      </c>
      <c r="AD37" s="107"/>
      <c r="AE37" s="107"/>
      <c r="AF37" s="107"/>
      <c r="AG37" s="107"/>
      <c r="AH37" s="106">
        <f>'Stavební rozpočet'!G47</f>
        <v>0</v>
      </c>
      <c r="AI37" s="107"/>
      <c r="AJ37" s="107"/>
      <c r="AK37" s="107"/>
      <c r="AL37" s="107"/>
      <c r="AM37" s="107"/>
      <c r="AN37" s="107"/>
      <c r="AO37" s="107"/>
      <c r="AP37" s="106">
        <f t="shared" si="1"/>
        <v>0</v>
      </c>
      <c r="AQ37" s="107"/>
      <c r="AR37" s="107"/>
      <c r="AS37" s="107"/>
      <c r="AT37" s="107"/>
      <c r="AU37" s="107"/>
      <c r="AV37" s="107"/>
      <c r="AW37" s="107"/>
      <c r="AX37" s="106">
        <f>0.00549*AC37</f>
        <v>0.03294</v>
      </c>
      <c r="AY37" s="107"/>
      <c r="AZ37" s="107"/>
      <c r="BA37" s="107"/>
      <c r="BB37" s="107"/>
      <c r="BC37" s="107"/>
      <c r="BD37" s="107"/>
      <c r="BE37" s="107"/>
      <c r="IR37" s="36">
        <f>AH37*0</f>
        <v>0</v>
      </c>
      <c r="IS37" s="36">
        <f>AH37*(1-0)</f>
        <v>0</v>
      </c>
    </row>
    <row r="38" spans="1:253" ht="12.75">
      <c r="A38" s="104" t="s">
        <v>29</v>
      </c>
      <c r="B38" s="105"/>
      <c r="C38" s="104" t="s">
        <v>215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4" t="s">
        <v>293</v>
      </c>
      <c r="AB38" s="105"/>
      <c r="AC38" s="106">
        <f>'Stavební rozpočet'!F48</f>
        <v>14</v>
      </c>
      <c r="AD38" s="107"/>
      <c r="AE38" s="107"/>
      <c r="AF38" s="107"/>
      <c r="AG38" s="107"/>
      <c r="AH38" s="106">
        <f>'Stavební rozpočet'!G48</f>
        <v>0</v>
      </c>
      <c r="AI38" s="107"/>
      <c r="AJ38" s="107"/>
      <c r="AK38" s="107"/>
      <c r="AL38" s="107"/>
      <c r="AM38" s="107"/>
      <c r="AN38" s="107"/>
      <c r="AO38" s="107"/>
      <c r="AP38" s="106">
        <f t="shared" si="1"/>
        <v>0</v>
      </c>
      <c r="AQ38" s="107"/>
      <c r="AR38" s="107"/>
      <c r="AS38" s="107"/>
      <c r="AT38" s="107"/>
      <c r="AU38" s="107"/>
      <c r="AV38" s="107"/>
      <c r="AW38" s="107"/>
      <c r="AX38" s="106">
        <f>0.01387*AC38</f>
        <v>0.19418000000000002</v>
      </c>
      <c r="AY38" s="107"/>
      <c r="AZ38" s="107"/>
      <c r="BA38" s="107"/>
      <c r="BB38" s="107"/>
      <c r="BC38" s="107"/>
      <c r="BD38" s="107"/>
      <c r="BE38" s="107"/>
      <c r="IR38" s="36">
        <f>AH38*0.495939597315436</f>
        <v>0</v>
      </c>
      <c r="IS38" s="36">
        <f>AH38*(1-0.495939597315436)</f>
        <v>0</v>
      </c>
    </row>
    <row r="39" spans="1:253" ht="12.75">
      <c r="A39" s="104" t="s">
        <v>30</v>
      </c>
      <c r="B39" s="105"/>
      <c r="C39" s="104" t="s">
        <v>216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4" t="s">
        <v>293</v>
      </c>
      <c r="AB39" s="105"/>
      <c r="AC39" s="106">
        <f>'Stavební rozpočet'!F49</f>
        <v>120</v>
      </c>
      <c r="AD39" s="107"/>
      <c r="AE39" s="107"/>
      <c r="AF39" s="107"/>
      <c r="AG39" s="107"/>
      <c r="AH39" s="106">
        <f>'Stavební rozpočet'!G49</f>
        <v>0</v>
      </c>
      <c r="AI39" s="107"/>
      <c r="AJ39" s="107"/>
      <c r="AK39" s="107"/>
      <c r="AL39" s="107"/>
      <c r="AM39" s="107"/>
      <c r="AN39" s="107"/>
      <c r="AO39" s="107"/>
      <c r="AP39" s="106">
        <f t="shared" si="1"/>
        <v>0</v>
      </c>
      <c r="AQ39" s="107"/>
      <c r="AR39" s="107"/>
      <c r="AS39" s="107"/>
      <c r="AT39" s="107"/>
      <c r="AU39" s="107"/>
      <c r="AV39" s="107"/>
      <c r="AW39" s="107"/>
      <c r="AX39" s="106">
        <f>0.00401*AC39</f>
        <v>0.48119999999999996</v>
      </c>
      <c r="AY39" s="107"/>
      <c r="AZ39" s="107"/>
      <c r="BA39" s="107"/>
      <c r="BB39" s="107"/>
      <c r="BC39" s="107"/>
      <c r="BD39" s="107"/>
      <c r="BE39" s="107"/>
      <c r="IR39" s="36">
        <f>AH39*0.241598368691424</f>
        <v>0</v>
      </c>
      <c r="IS39" s="36">
        <f>AH39*(1-0.241598368691424)</f>
        <v>0</v>
      </c>
    </row>
    <row r="40" spans="1:253" ht="12.75">
      <c r="A40" s="104" t="s">
        <v>31</v>
      </c>
      <c r="B40" s="105"/>
      <c r="C40" s="104" t="s">
        <v>217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4" t="s">
        <v>293</v>
      </c>
      <c r="AB40" s="105"/>
      <c r="AC40" s="106">
        <f>'Stavební rozpočet'!F50</f>
        <v>340</v>
      </c>
      <c r="AD40" s="107"/>
      <c r="AE40" s="107"/>
      <c r="AF40" s="107"/>
      <c r="AG40" s="107"/>
      <c r="AH40" s="106">
        <f>'Stavební rozpočet'!G50</f>
        <v>0</v>
      </c>
      <c r="AI40" s="107"/>
      <c r="AJ40" s="107"/>
      <c r="AK40" s="107"/>
      <c r="AL40" s="107"/>
      <c r="AM40" s="107"/>
      <c r="AN40" s="107"/>
      <c r="AO40" s="107"/>
      <c r="AP40" s="106">
        <f t="shared" si="1"/>
        <v>0</v>
      </c>
      <c r="AQ40" s="107"/>
      <c r="AR40" s="107"/>
      <c r="AS40" s="107"/>
      <c r="AT40" s="107"/>
      <c r="AU40" s="107"/>
      <c r="AV40" s="107"/>
      <c r="AW40" s="107"/>
      <c r="AX40" s="106">
        <f>0.00401*AC40</f>
        <v>1.3634</v>
      </c>
      <c r="AY40" s="107"/>
      <c r="AZ40" s="107"/>
      <c r="BA40" s="107"/>
      <c r="BB40" s="107"/>
      <c r="BC40" s="107"/>
      <c r="BD40" s="107"/>
      <c r="BE40" s="107"/>
      <c r="IR40" s="36">
        <f>AH40*0.241598368691424</f>
        <v>0</v>
      </c>
      <c r="IS40" s="36">
        <f>AH40*(1-0.241598368691424)</f>
        <v>0</v>
      </c>
    </row>
    <row r="41" spans="1:253" ht="12.75">
      <c r="A41" s="104" t="s">
        <v>32</v>
      </c>
      <c r="B41" s="105"/>
      <c r="C41" s="104" t="s">
        <v>218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4" t="s">
        <v>293</v>
      </c>
      <c r="AB41" s="105"/>
      <c r="AC41" s="106">
        <f>'Stavební rozpočet'!F51</f>
        <v>290</v>
      </c>
      <c r="AD41" s="107"/>
      <c r="AE41" s="107"/>
      <c r="AF41" s="107"/>
      <c r="AG41" s="107"/>
      <c r="AH41" s="106">
        <f>'Stavební rozpočet'!G51</f>
        <v>0</v>
      </c>
      <c r="AI41" s="107"/>
      <c r="AJ41" s="107"/>
      <c r="AK41" s="107"/>
      <c r="AL41" s="107"/>
      <c r="AM41" s="107"/>
      <c r="AN41" s="107"/>
      <c r="AO41" s="107"/>
      <c r="AP41" s="106">
        <f t="shared" si="1"/>
        <v>0</v>
      </c>
      <c r="AQ41" s="107"/>
      <c r="AR41" s="107"/>
      <c r="AS41" s="107"/>
      <c r="AT41" s="107"/>
      <c r="AU41" s="107"/>
      <c r="AV41" s="107"/>
      <c r="AW41" s="107"/>
      <c r="AX41" s="106">
        <f>0.00522*AC41</f>
        <v>1.5138</v>
      </c>
      <c r="AY41" s="107"/>
      <c r="AZ41" s="107"/>
      <c r="BA41" s="107"/>
      <c r="BB41" s="107"/>
      <c r="BC41" s="107"/>
      <c r="BD41" s="107"/>
      <c r="BE41" s="107"/>
      <c r="IR41" s="36">
        <f>AH41*0.269533011272142</f>
        <v>0</v>
      </c>
      <c r="IS41" s="36">
        <f>AH41*(1-0.269533011272142)</f>
        <v>0</v>
      </c>
    </row>
    <row r="42" spans="1:253" ht="12.75">
      <c r="A42" s="104" t="s">
        <v>33</v>
      </c>
      <c r="B42" s="105"/>
      <c r="C42" s="104" t="s">
        <v>219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4" t="s">
        <v>293</v>
      </c>
      <c r="AB42" s="105"/>
      <c r="AC42" s="106">
        <f>'Stavební rozpočet'!F52</f>
        <v>250</v>
      </c>
      <c r="AD42" s="107"/>
      <c r="AE42" s="107"/>
      <c r="AF42" s="107"/>
      <c r="AG42" s="107"/>
      <c r="AH42" s="106">
        <f>'Stavební rozpočet'!G52</f>
        <v>0</v>
      </c>
      <c r="AI42" s="107"/>
      <c r="AJ42" s="107"/>
      <c r="AK42" s="107"/>
      <c r="AL42" s="107"/>
      <c r="AM42" s="107"/>
      <c r="AN42" s="107"/>
      <c r="AO42" s="107"/>
      <c r="AP42" s="106">
        <f t="shared" si="1"/>
        <v>0</v>
      </c>
      <c r="AQ42" s="107"/>
      <c r="AR42" s="107"/>
      <c r="AS42" s="107"/>
      <c r="AT42" s="107"/>
      <c r="AU42" s="107"/>
      <c r="AV42" s="107"/>
      <c r="AW42" s="107"/>
      <c r="AX42" s="106">
        <f>0.00541*AC42</f>
        <v>1.3525</v>
      </c>
      <c r="AY42" s="107"/>
      <c r="AZ42" s="107"/>
      <c r="BA42" s="107"/>
      <c r="BB42" s="107"/>
      <c r="BC42" s="107"/>
      <c r="BD42" s="107"/>
      <c r="BE42" s="107"/>
      <c r="IR42" s="36">
        <f>AH42*0.348222811671088</f>
        <v>0</v>
      </c>
      <c r="IS42" s="36">
        <f>AH42*(1-0.348222811671088)</f>
        <v>0</v>
      </c>
    </row>
    <row r="43" spans="1:253" ht="12.75">
      <c r="A43" s="104" t="s">
        <v>34</v>
      </c>
      <c r="B43" s="105"/>
      <c r="C43" s="104" t="s">
        <v>220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4" t="s">
        <v>293</v>
      </c>
      <c r="AB43" s="105"/>
      <c r="AC43" s="106">
        <f>'Stavební rozpočet'!F53</f>
        <v>80</v>
      </c>
      <c r="AD43" s="107"/>
      <c r="AE43" s="107"/>
      <c r="AF43" s="107"/>
      <c r="AG43" s="107"/>
      <c r="AH43" s="106">
        <f>'Stavební rozpočet'!G53</f>
        <v>0</v>
      </c>
      <c r="AI43" s="107"/>
      <c r="AJ43" s="107"/>
      <c r="AK43" s="107"/>
      <c r="AL43" s="107"/>
      <c r="AM43" s="107"/>
      <c r="AN43" s="107"/>
      <c r="AO43" s="107"/>
      <c r="AP43" s="106">
        <f t="shared" si="1"/>
        <v>0</v>
      </c>
      <c r="AQ43" s="107"/>
      <c r="AR43" s="107"/>
      <c r="AS43" s="107"/>
      <c r="AT43" s="107"/>
      <c r="AU43" s="107"/>
      <c r="AV43" s="107"/>
      <c r="AW43" s="107"/>
      <c r="AX43" s="106">
        <f>0.00573*AC43</f>
        <v>0.4584</v>
      </c>
      <c r="AY43" s="107"/>
      <c r="AZ43" s="107"/>
      <c r="BA43" s="107"/>
      <c r="BB43" s="107"/>
      <c r="BC43" s="107"/>
      <c r="BD43" s="107"/>
      <c r="BE43" s="107"/>
      <c r="IR43" s="36">
        <f>AH43*0.463145631067961</f>
        <v>0</v>
      </c>
      <c r="IS43" s="36">
        <f>AH43*(1-0.463145631067961)</f>
        <v>0</v>
      </c>
    </row>
    <row r="44" spans="1:253" ht="12.75">
      <c r="A44" s="104" t="s">
        <v>35</v>
      </c>
      <c r="B44" s="105"/>
      <c r="C44" s="104" t="s">
        <v>221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4" t="s">
        <v>293</v>
      </c>
      <c r="AB44" s="105"/>
      <c r="AC44" s="106">
        <f>'Stavební rozpočet'!F54</f>
        <v>50</v>
      </c>
      <c r="AD44" s="107"/>
      <c r="AE44" s="107"/>
      <c r="AF44" s="107"/>
      <c r="AG44" s="107"/>
      <c r="AH44" s="106">
        <f>'Stavební rozpočet'!G54</f>
        <v>0</v>
      </c>
      <c r="AI44" s="107"/>
      <c r="AJ44" s="107"/>
      <c r="AK44" s="107"/>
      <c r="AL44" s="107"/>
      <c r="AM44" s="107"/>
      <c r="AN44" s="107"/>
      <c r="AO44" s="107"/>
      <c r="AP44" s="106">
        <f t="shared" si="1"/>
        <v>0</v>
      </c>
      <c r="AQ44" s="107"/>
      <c r="AR44" s="107"/>
      <c r="AS44" s="107"/>
      <c r="AT44" s="107"/>
      <c r="AU44" s="107"/>
      <c r="AV44" s="107"/>
      <c r="AW44" s="107"/>
      <c r="AX44" s="106">
        <f>0.0061*AC44</f>
        <v>0.305</v>
      </c>
      <c r="AY44" s="107"/>
      <c r="AZ44" s="107"/>
      <c r="BA44" s="107"/>
      <c r="BB44" s="107"/>
      <c r="BC44" s="107"/>
      <c r="BD44" s="107"/>
      <c r="BE44" s="107"/>
      <c r="IR44" s="36">
        <f>AH44*0.44453973236679</f>
        <v>0</v>
      </c>
      <c r="IS44" s="36">
        <f>AH44*(1-0.44453973236679)</f>
        <v>0</v>
      </c>
    </row>
    <row r="45" spans="1:253" ht="12.75">
      <c r="A45" s="104" t="s">
        <v>36</v>
      </c>
      <c r="B45" s="105"/>
      <c r="C45" s="104" t="s">
        <v>222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4" t="s">
        <v>293</v>
      </c>
      <c r="AB45" s="105"/>
      <c r="AC45" s="106">
        <f>'Stavební rozpočet'!F55</f>
        <v>340</v>
      </c>
      <c r="AD45" s="107"/>
      <c r="AE45" s="107"/>
      <c r="AF45" s="107"/>
      <c r="AG45" s="107"/>
      <c r="AH45" s="106">
        <f>'Stavební rozpočet'!G55</f>
        <v>0</v>
      </c>
      <c r="AI45" s="107"/>
      <c r="AJ45" s="107"/>
      <c r="AK45" s="107"/>
      <c r="AL45" s="107"/>
      <c r="AM45" s="107"/>
      <c r="AN45" s="107"/>
      <c r="AO45" s="107"/>
      <c r="AP45" s="106">
        <f t="shared" si="1"/>
        <v>0</v>
      </c>
      <c r="AQ45" s="107"/>
      <c r="AR45" s="107"/>
      <c r="AS45" s="107"/>
      <c r="AT45" s="107"/>
      <c r="AU45" s="107"/>
      <c r="AV45" s="107"/>
      <c r="AW45" s="107"/>
      <c r="AX45" s="106">
        <f>0.00004*AC45</f>
        <v>0.013600000000000001</v>
      </c>
      <c r="AY45" s="107"/>
      <c r="AZ45" s="107"/>
      <c r="BA45" s="107"/>
      <c r="BB45" s="107"/>
      <c r="BC45" s="107"/>
      <c r="BD45" s="107"/>
      <c r="BE45" s="107"/>
      <c r="IR45" s="36">
        <f>AH45*0.392682926829268</f>
        <v>0</v>
      </c>
      <c r="IS45" s="36">
        <f>AH45*(1-0.392682926829268)</f>
        <v>0</v>
      </c>
    </row>
    <row r="46" spans="1:253" ht="12.75">
      <c r="A46" s="104" t="s">
        <v>37</v>
      </c>
      <c r="B46" s="105"/>
      <c r="C46" s="104" t="s">
        <v>224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4" t="s">
        <v>293</v>
      </c>
      <c r="AB46" s="105"/>
      <c r="AC46" s="106">
        <f>'Stavební rozpočet'!F57</f>
        <v>290</v>
      </c>
      <c r="AD46" s="107"/>
      <c r="AE46" s="107"/>
      <c r="AF46" s="107"/>
      <c r="AG46" s="107"/>
      <c r="AH46" s="106">
        <f>'Stavební rozpočet'!G57</f>
        <v>0</v>
      </c>
      <c r="AI46" s="107"/>
      <c r="AJ46" s="107"/>
      <c r="AK46" s="107"/>
      <c r="AL46" s="107"/>
      <c r="AM46" s="107"/>
      <c r="AN46" s="107"/>
      <c r="AO46" s="107"/>
      <c r="AP46" s="106">
        <f t="shared" si="1"/>
        <v>0</v>
      </c>
      <c r="AQ46" s="107"/>
      <c r="AR46" s="107"/>
      <c r="AS46" s="107"/>
      <c r="AT46" s="107"/>
      <c r="AU46" s="107"/>
      <c r="AV46" s="107"/>
      <c r="AW46" s="107"/>
      <c r="AX46" s="106">
        <f>0.00008*AC46</f>
        <v>0.023200000000000002</v>
      </c>
      <c r="AY46" s="107"/>
      <c r="AZ46" s="107"/>
      <c r="BA46" s="107"/>
      <c r="BB46" s="107"/>
      <c r="BC46" s="107"/>
      <c r="BD46" s="107"/>
      <c r="BE46" s="107"/>
      <c r="IR46" s="36">
        <f>AH46*0.539390642002176</f>
        <v>0</v>
      </c>
      <c r="IS46" s="36">
        <f>AH46*(1-0.539390642002176)</f>
        <v>0</v>
      </c>
    </row>
    <row r="47" spans="1:253" ht="12.75">
      <c r="A47" s="104" t="s">
        <v>38</v>
      </c>
      <c r="B47" s="105"/>
      <c r="C47" s="104" t="s">
        <v>226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4" t="s">
        <v>293</v>
      </c>
      <c r="AB47" s="105"/>
      <c r="AC47" s="106">
        <f>'Stavební rozpočet'!F59</f>
        <v>250</v>
      </c>
      <c r="AD47" s="107"/>
      <c r="AE47" s="107"/>
      <c r="AF47" s="107"/>
      <c r="AG47" s="107"/>
      <c r="AH47" s="106">
        <f>'Stavební rozpočet'!G59</f>
        <v>0</v>
      </c>
      <c r="AI47" s="107"/>
      <c r="AJ47" s="107"/>
      <c r="AK47" s="107"/>
      <c r="AL47" s="107"/>
      <c r="AM47" s="107"/>
      <c r="AN47" s="107"/>
      <c r="AO47" s="107"/>
      <c r="AP47" s="106">
        <f t="shared" si="1"/>
        <v>0</v>
      </c>
      <c r="AQ47" s="107"/>
      <c r="AR47" s="107"/>
      <c r="AS47" s="107"/>
      <c r="AT47" s="107"/>
      <c r="AU47" s="107"/>
      <c r="AV47" s="107"/>
      <c r="AW47" s="107"/>
      <c r="AX47" s="106">
        <f>0.00008*AC47</f>
        <v>0.02</v>
      </c>
      <c r="AY47" s="107"/>
      <c r="AZ47" s="107"/>
      <c r="BA47" s="107"/>
      <c r="BB47" s="107"/>
      <c r="BC47" s="107"/>
      <c r="BD47" s="107"/>
      <c r="BE47" s="107"/>
      <c r="IR47" s="36">
        <f>AH47*0.635731583470041</f>
        <v>0</v>
      </c>
      <c r="IS47" s="36">
        <f>AH47*(1-0.635731583470041)</f>
        <v>0</v>
      </c>
    </row>
    <row r="48" spans="1:253" ht="12.75">
      <c r="A48" s="104" t="s">
        <v>39</v>
      </c>
      <c r="B48" s="105"/>
      <c r="C48" s="104" t="s">
        <v>226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4" t="s">
        <v>293</v>
      </c>
      <c r="AB48" s="105"/>
      <c r="AC48" s="106">
        <f>'Stavební rozpočet'!F61</f>
        <v>80</v>
      </c>
      <c r="AD48" s="107"/>
      <c r="AE48" s="107"/>
      <c r="AF48" s="107"/>
      <c r="AG48" s="107"/>
      <c r="AH48" s="106">
        <f>'Stavební rozpočet'!G61</f>
        <v>0</v>
      </c>
      <c r="AI48" s="107"/>
      <c r="AJ48" s="107"/>
      <c r="AK48" s="107"/>
      <c r="AL48" s="107"/>
      <c r="AM48" s="107"/>
      <c r="AN48" s="107"/>
      <c r="AO48" s="107"/>
      <c r="AP48" s="106">
        <f t="shared" si="1"/>
        <v>0</v>
      </c>
      <c r="AQ48" s="107"/>
      <c r="AR48" s="107"/>
      <c r="AS48" s="107"/>
      <c r="AT48" s="107"/>
      <c r="AU48" s="107"/>
      <c r="AV48" s="107"/>
      <c r="AW48" s="107"/>
      <c r="AX48" s="106">
        <f>0.00013*AC48</f>
        <v>0.0104</v>
      </c>
      <c r="AY48" s="107"/>
      <c r="AZ48" s="107"/>
      <c r="BA48" s="107"/>
      <c r="BB48" s="107"/>
      <c r="BC48" s="107"/>
      <c r="BD48" s="107"/>
      <c r="BE48" s="107"/>
      <c r="IR48" s="36">
        <f>AH48*0.634397163120567</f>
        <v>0</v>
      </c>
      <c r="IS48" s="36">
        <f>AH48*(1-0.634397163120567)</f>
        <v>0</v>
      </c>
    </row>
    <row r="49" spans="1:253" ht="12.75">
      <c r="A49" s="104" t="s">
        <v>40</v>
      </c>
      <c r="B49" s="105"/>
      <c r="C49" s="104" t="s">
        <v>222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4" t="s">
        <v>293</v>
      </c>
      <c r="AB49" s="105"/>
      <c r="AC49" s="106">
        <f>'Stavební rozpočet'!F63</f>
        <v>50</v>
      </c>
      <c r="AD49" s="107"/>
      <c r="AE49" s="107"/>
      <c r="AF49" s="107"/>
      <c r="AG49" s="107"/>
      <c r="AH49" s="106">
        <f>'Stavební rozpočet'!G63</f>
        <v>0</v>
      </c>
      <c r="AI49" s="107"/>
      <c r="AJ49" s="107"/>
      <c r="AK49" s="107"/>
      <c r="AL49" s="107"/>
      <c r="AM49" s="107"/>
      <c r="AN49" s="107"/>
      <c r="AO49" s="107"/>
      <c r="AP49" s="106">
        <f t="shared" si="1"/>
        <v>0</v>
      </c>
      <c r="AQ49" s="107"/>
      <c r="AR49" s="107"/>
      <c r="AS49" s="107"/>
      <c r="AT49" s="107"/>
      <c r="AU49" s="107"/>
      <c r="AV49" s="107"/>
      <c r="AW49" s="107"/>
      <c r="AX49" s="106">
        <f>0.00014*AC49</f>
        <v>0.006999999999999999</v>
      </c>
      <c r="AY49" s="107"/>
      <c r="AZ49" s="107"/>
      <c r="BA49" s="107"/>
      <c r="BB49" s="107"/>
      <c r="BC49" s="107"/>
      <c r="BD49" s="107"/>
      <c r="BE49" s="107"/>
      <c r="IR49" s="36">
        <f>AH49*0.485529953917051</f>
        <v>0</v>
      </c>
      <c r="IS49" s="36">
        <f>AH49*(1-0.485529953917051)</f>
        <v>0</v>
      </c>
    </row>
    <row r="50" spans="1:253" ht="12.75">
      <c r="A50" s="104" t="s">
        <v>41</v>
      </c>
      <c r="B50" s="105"/>
      <c r="C50" s="104" t="s">
        <v>230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4" t="s">
        <v>295</v>
      </c>
      <c r="AB50" s="105"/>
      <c r="AC50" s="106">
        <f>'Stavební rozpočet'!F65</f>
        <v>110</v>
      </c>
      <c r="AD50" s="107"/>
      <c r="AE50" s="107"/>
      <c r="AF50" s="107"/>
      <c r="AG50" s="107"/>
      <c r="AH50" s="106">
        <f>'Stavební rozpočet'!G65</f>
        <v>0</v>
      </c>
      <c r="AI50" s="107"/>
      <c r="AJ50" s="107"/>
      <c r="AK50" s="107"/>
      <c r="AL50" s="107"/>
      <c r="AM50" s="107"/>
      <c r="AN50" s="107"/>
      <c r="AO50" s="107"/>
      <c r="AP50" s="106">
        <f t="shared" si="1"/>
        <v>0</v>
      </c>
      <c r="AQ50" s="107"/>
      <c r="AR50" s="107"/>
      <c r="AS50" s="107"/>
      <c r="AT50" s="107"/>
      <c r="AU50" s="107"/>
      <c r="AV50" s="107"/>
      <c r="AW50" s="107"/>
      <c r="AX50" s="106">
        <f>0.00704*AC50</f>
        <v>0.7744</v>
      </c>
      <c r="AY50" s="107"/>
      <c r="AZ50" s="107"/>
      <c r="BA50" s="107"/>
      <c r="BB50" s="107"/>
      <c r="BC50" s="107"/>
      <c r="BD50" s="107"/>
      <c r="BE50" s="107"/>
      <c r="IR50" s="36">
        <f>AH50*0.729992156862745</f>
        <v>0</v>
      </c>
      <c r="IS50" s="36">
        <f>AH50*(1-0.729992156862745)</f>
        <v>0</v>
      </c>
    </row>
    <row r="51" spans="1:253" ht="12.75">
      <c r="A51" s="104" t="s">
        <v>42</v>
      </c>
      <c r="B51" s="105"/>
      <c r="C51" s="104" t="s">
        <v>232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4" t="s">
        <v>292</v>
      </c>
      <c r="AB51" s="105"/>
      <c r="AC51" s="106">
        <f>'Stavební rozpočet'!F67</f>
        <v>9</v>
      </c>
      <c r="AD51" s="107"/>
      <c r="AE51" s="107"/>
      <c r="AF51" s="107"/>
      <c r="AG51" s="107"/>
      <c r="AH51" s="106">
        <f>'Stavební rozpočet'!G67</f>
        <v>0</v>
      </c>
      <c r="AI51" s="107"/>
      <c r="AJ51" s="107"/>
      <c r="AK51" s="107"/>
      <c r="AL51" s="107"/>
      <c r="AM51" s="107"/>
      <c r="AN51" s="107"/>
      <c r="AO51" s="107"/>
      <c r="AP51" s="106">
        <f t="shared" si="1"/>
        <v>0</v>
      </c>
      <c r="AQ51" s="107"/>
      <c r="AR51" s="107"/>
      <c r="AS51" s="107"/>
      <c r="AT51" s="107"/>
      <c r="AU51" s="107"/>
      <c r="AV51" s="107"/>
      <c r="AW51" s="107"/>
      <c r="AX51" s="106">
        <f>0.0001*AC51</f>
        <v>0.0009000000000000001</v>
      </c>
      <c r="AY51" s="107"/>
      <c r="AZ51" s="107"/>
      <c r="BA51" s="107"/>
      <c r="BB51" s="107"/>
      <c r="BC51" s="107"/>
      <c r="BD51" s="107"/>
      <c r="BE51" s="107"/>
      <c r="IR51" s="36">
        <f>AH51*0.559259259259259</f>
        <v>0</v>
      </c>
      <c r="IS51" s="36">
        <f>AH51*(1-0.559259259259259)</f>
        <v>0</v>
      </c>
    </row>
    <row r="52" spans="1:253" ht="12.75">
      <c r="A52" s="104" t="s">
        <v>43</v>
      </c>
      <c r="B52" s="105"/>
      <c r="C52" s="104" t="s">
        <v>233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4" t="s">
        <v>292</v>
      </c>
      <c r="AB52" s="105"/>
      <c r="AC52" s="106">
        <f>'Stavební rozpočet'!F68</f>
        <v>100</v>
      </c>
      <c r="AD52" s="107"/>
      <c r="AE52" s="107"/>
      <c r="AF52" s="107"/>
      <c r="AG52" s="107"/>
      <c r="AH52" s="106">
        <f>'Stavební rozpočet'!G68</f>
        <v>0</v>
      </c>
      <c r="AI52" s="107"/>
      <c r="AJ52" s="107"/>
      <c r="AK52" s="107"/>
      <c r="AL52" s="107"/>
      <c r="AM52" s="107"/>
      <c r="AN52" s="107"/>
      <c r="AO52" s="107"/>
      <c r="AP52" s="106">
        <f t="shared" si="1"/>
        <v>0</v>
      </c>
      <c r="AQ52" s="107"/>
      <c r="AR52" s="107"/>
      <c r="AS52" s="107"/>
      <c r="AT52" s="107"/>
      <c r="AU52" s="107"/>
      <c r="AV52" s="107"/>
      <c r="AW52" s="107"/>
      <c r="AX52" s="106">
        <f>0.00037*AC52</f>
        <v>0.037</v>
      </c>
      <c r="AY52" s="107"/>
      <c r="AZ52" s="107"/>
      <c r="BA52" s="107"/>
      <c r="BB52" s="107"/>
      <c r="BC52" s="107"/>
      <c r="BD52" s="107"/>
      <c r="BE52" s="107"/>
      <c r="IR52" s="36">
        <f>AH52*0.880594686510351</f>
        <v>0</v>
      </c>
      <c r="IS52" s="36">
        <f>AH52*(1-0.880594686510351)</f>
        <v>0</v>
      </c>
    </row>
    <row r="53" spans="1:253" ht="12.75">
      <c r="A53" s="104" t="s">
        <v>44</v>
      </c>
      <c r="B53" s="105"/>
      <c r="C53" s="104" t="s">
        <v>234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4" t="s">
        <v>296</v>
      </c>
      <c r="AB53" s="105"/>
      <c r="AC53" s="106">
        <f>'Stavební rozpočet'!F69</f>
        <v>18</v>
      </c>
      <c r="AD53" s="107"/>
      <c r="AE53" s="107"/>
      <c r="AF53" s="107"/>
      <c r="AG53" s="107"/>
      <c r="AH53" s="106">
        <f>'Stavební rozpočet'!G69</f>
        <v>0</v>
      </c>
      <c r="AI53" s="107"/>
      <c r="AJ53" s="107"/>
      <c r="AK53" s="107"/>
      <c r="AL53" s="107"/>
      <c r="AM53" s="107"/>
      <c r="AN53" s="107"/>
      <c r="AO53" s="107"/>
      <c r="AP53" s="106">
        <f t="shared" si="1"/>
        <v>0</v>
      </c>
      <c r="AQ53" s="107"/>
      <c r="AR53" s="107"/>
      <c r="AS53" s="107"/>
      <c r="AT53" s="107"/>
      <c r="AU53" s="107"/>
      <c r="AV53" s="107"/>
      <c r="AW53" s="107"/>
      <c r="AX53" s="106">
        <f>0*AC53</f>
        <v>0</v>
      </c>
      <c r="AY53" s="107"/>
      <c r="AZ53" s="107"/>
      <c r="BA53" s="107"/>
      <c r="BB53" s="107"/>
      <c r="BC53" s="107"/>
      <c r="BD53" s="107"/>
      <c r="BE53" s="107"/>
      <c r="IR53" s="36">
        <f>AH53*1</f>
        <v>0</v>
      </c>
      <c r="IS53" s="36">
        <f>AH53*(1-1)</f>
        <v>0</v>
      </c>
    </row>
    <row r="54" spans="1:253" ht="12.75">
      <c r="A54" s="104" t="s">
        <v>45</v>
      </c>
      <c r="B54" s="105"/>
      <c r="C54" s="104" t="s">
        <v>235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4" t="s">
        <v>292</v>
      </c>
      <c r="AB54" s="105"/>
      <c r="AC54" s="106">
        <f>'Stavební rozpočet'!F70</f>
        <v>50</v>
      </c>
      <c r="AD54" s="107"/>
      <c r="AE54" s="107"/>
      <c r="AF54" s="107"/>
      <c r="AG54" s="107"/>
      <c r="AH54" s="106">
        <f>'Stavební rozpočet'!G70</f>
        <v>0</v>
      </c>
      <c r="AI54" s="107"/>
      <c r="AJ54" s="107"/>
      <c r="AK54" s="107"/>
      <c r="AL54" s="107"/>
      <c r="AM54" s="107"/>
      <c r="AN54" s="107"/>
      <c r="AO54" s="107"/>
      <c r="AP54" s="106">
        <f t="shared" si="1"/>
        <v>0</v>
      </c>
      <c r="AQ54" s="107"/>
      <c r="AR54" s="107"/>
      <c r="AS54" s="107"/>
      <c r="AT54" s="107"/>
      <c r="AU54" s="107"/>
      <c r="AV54" s="107"/>
      <c r="AW54" s="107"/>
      <c r="AX54" s="106">
        <f>0.00214*AC54</f>
        <v>0.107</v>
      </c>
      <c r="AY54" s="107"/>
      <c r="AZ54" s="107"/>
      <c r="BA54" s="107"/>
      <c r="BB54" s="107"/>
      <c r="BC54" s="107"/>
      <c r="BD54" s="107"/>
      <c r="BE54" s="107"/>
      <c r="IR54" s="36">
        <f>AH54*0.796237037037037</f>
        <v>0</v>
      </c>
      <c r="IS54" s="36">
        <f>AH54*(1-0.796237037037037)</f>
        <v>0</v>
      </c>
    </row>
    <row r="55" spans="1:253" ht="12.75">
      <c r="A55" s="104" t="s">
        <v>46</v>
      </c>
      <c r="B55" s="105"/>
      <c r="C55" s="104" t="s">
        <v>237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4" t="s">
        <v>292</v>
      </c>
      <c r="AB55" s="105"/>
      <c r="AC55" s="106">
        <f>'Stavební rozpočet'!F72</f>
        <v>50</v>
      </c>
      <c r="AD55" s="107"/>
      <c r="AE55" s="107"/>
      <c r="AF55" s="107"/>
      <c r="AG55" s="107"/>
      <c r="AH55" s="106">
        <f>'Stavební rozpočet'!G72</f>
        <v>0</v>
      </c>
      <c r="AI55" s="107"/>
      <c r="AJ55" s="107"/>
      <c r="AK55" s="107"/>
      <c r="AL55" s="107"/>
      <c r="AM55" s="107"/>
      <c r="AN55" s="107"/>
      <c r="AO55" s="107"/>
      <c r="AP55" s="106">
        <f t="shared" si="1"/>
        <v>0</v>
      </c>
      <c r="AQ55" s="107"/>
      <c r="AR55" s="107"/>
      <c r="AS55" s="107"/>
      <c r="AT55" s="107"/>
      <c r="AU55" s="107"/>
      <c r="AV55" s="107"/>
      <c r="AW55" s="107"/>
      <c r="AX55" s="106">
        <f>0.00214*AC55</f>
        <v>0.107</v>
      </c>
      <c r="AY55" s="107"/>
      <c r="AZ55" s="107"/>
      <c r="BA55" s="107"/>
      <c r="BB55" s="107"/>
      <c r="BC55" s="107"/>
      <c r="BD55" s="107"/>
      <c r="BE55" s="107"/>
      <c r="IR55" s="36">
        <f>AH55*0.796237037037037</f>
        <v>0</v>
      </c>
      <c r="IS55" s="36">
        <f>AH55*(1-0.796237037037037)</f>
        <v>0</v>
      </c>
    </row>
    <row r="56" spans="1:253" ht="12.75">
      <c r="A56" s="104" t="s">
        <v>47</v>
      </c>
      <c r="B56" s="105"/>
      <c r="C56" s="104" t="s">
        <v>238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4" t="s">
        <v>292</v>
      </c>
      <c r="AB56" s="105"/>
      <c r="AC56" s="106">
        <f>'Stavební rozpočet'!F74</f>
        <v>27</v>
      </c>
      <c r="AD56" s="107"/>
      <c r="AE56" s="107"/>
      <c r="AF56" s="107"/>
      <c r="AG56" s="107"/>
      <c r="AH56" s="106">
        <f>'Stavební rozpočet'!G74</f>
        <v>0</v>
      </c>
      <c r="AI56" s="107"/>
      <c r="AJ56" s="107"/>
      <c r="AK56" s="107"/>
      <c r="AL56" s="107"/>
      <c r="AM56" s="107"/>
      <c r="AN56" s="107"/>
      <c r="AO56" s="107"/>
      <c r="AP56" s="106">
        <f t="shared" si="1"/>
        <v>0</v>
      </c>
      <c r="AQ56" s="107"/>
      <c r="AR56" s="107"/>
      <c r="AS56" s="107"/>
      <c r="AT56" s="107"/>
      <c r="AU56" s="107"/>
      <c r="AV56" s="107"/>
      <c r="AW56" s="107"/>
      <c r="AX56" s="106">
        <f>0.00039*AC56</f>
        <v>0.01053</v>
      </c>
      <c r="AY56" s="107"/>
      <c r="AZ56" s="107"/>
      <c r="BA56" s="107"/>
      <c r="BB56" s="107"/>
      <c r="BC56" s="107"/>
      <c r="BD56" s="107"/>
      <c r="BE56" s="107"/>
      <c r="IR56" s="36">
        <f>AH56*0.677626050420168</f>
        <v>0</v>
      </c>
      <c r="IS56" s="36">
        <f>AH56*(1-0.677626050420168)</f>
        <v>0</v>
      </c>
    </row>
    <row r="57" spans="1:253" ht="12.75">
      <c r="A57" s="104" t="s">
        <v>48</v>
      </c>
      <c r="B57" s="105"/>
      <c r="C57" s="104" t="s">
        <v>239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4" t="s">
        <v>292</v>
      </c>
      <c r="AB57" s="105"/>
      <c r="AC57" s="106">
        <f>'Stavební rozpočet'!F75</f>
        <v>9</v>
      </c>
      <c r="AD57" s="107"/>
      <c r="AE57" s="107"/>
      <c r="AF57" s="107"/>
      <c r="AG57" s="107"/>
      <c r="AH57" s="106">
        <f>'Stavební rozpočet'!G75</f>
        <v>0</v>
      </c>
      <c r="AI57" s="107"/>
      <c r="AJ57" s="107"/>
      <c r="AK57" s="107"/>
      <c r="AL57" s="107"/>
      <c r="AM57" s="107"/>
      <c r="AN57" s="107"/>
      <c r="AO57" s="107"/>
      <c r="AP57" s="106">
        <f t="shared" si="1"/>
        <v>0</v>
      </c>
      <c r="AQ57" s="107"/>
      <c r="AR57" s="107"/>
      <c r="AS57" s="107"/>
      <c r="AT57" s="107"/>
      <c r="AU57" s="107"/>
      <c r="AV57" s="107"/>
      <c r="AW57" s="107"/>
      <c r="AX57" s="106">
        <f>0.00014*AC57</f>
        <v>0.0012599999999999998</v>
      </c>
      <c r="AY57" s="107"/>
      <c r="AZ57" s="107"/>
      <c r="BA57" s="107"/>
      <c r="BB57" s="107"/>
      <c r="BC57" s="107"/>
      <c r="BD57" s="107"/>
      <c r="BE57" s="107"/>
      <c r="IR57" s="36">
        <f>AH57*0.644256559766764</f>
        <v>0</v>
      </c>
      <c r="IS57" s="36">
        <f>AH57*(1-0.644256559766764)</f>
        <v>0</v>
      </c>
    </row>
    <row r="58" spans="1:253" ht="12.75">
      <c r="A58" s="104" t="s">
        <v>49</v>
      </c>
      <c r="B58" s="105"/>
      <c r="C58" s="104" t="s">
        <v>240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4" t="s">
        <v>292</v>
      </c>
      <c r="AB58" s="105"/>
      <c r="AC58" s="106">
        <f>'Stavební rozpočet'!F76</f>
        <v>4</v>
      </c>
      <c r="AD58" s="107"/>
      <c r="AE58" s="107"/>
      <c r="AF58" s="107"/>
      <c r="AG58" s="107"/>
      <c r="AH58" s="106">
        <f>'Stavební rozpočet'!G76</f>
        <v>0</v>
      </c>
      <c r="AI58" s="107"/>
      <c r="AJ58" s="107"/>
      <c r="AK58" s="107"/>
      <c r="AL58" s="107"/>
      <c r="AM58" s="107"/>
      <c r="AN58" s="107"/>
      <c r="AO58" s="107"/>
      <c r="AP58" s="106">
        <f t="shared" si="1"/>
        <v>0</v>
      </c>
      <c r="AQ58" s="107"/>
      <c r="AR58" s="107"/>
      <c r="AS58" s="107"/>
      <c r="AT58" s="107"/>
      <c r="AU58" s="107"/>
      <c r="AV58" s="107"/>
      <c r="AW58" s="107"/>
      <c r="AX58" s="106">
        <f>0.0002*AC58</f>
        <v>0.0008</v>
      </c>
      <c r="AY58" s="107"/>
      <c r="AZ58" s="107"/>
      <c r="BA58" s="107"/>
      <c r="BB58" s="107"/>
      <c r="BC58" s="107"/>
      <c r="BD58" s="107"/>
      <c r="BE58" s="107"/>
      <c r="IR58" s="36">
        <f>AH58*0.663575227462529</f>
        <v>0</v>
      </c>
      <c r="IS58" s="36">
        <f>AH58*(1-0.663575227462529)</f>
        <v>0</v>
      </c>
    </row>
    <row r="59" spans="1:253" ht="12.75">
      <c r="A59" s="104" t="s">
        <v>50</v>
      </c>
      <c r="B59" s="105"/>
      <c r="C59" s="104" t="s">
        <v>241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4" t="s">
        <v>292</v>
      </c>
      <c r="AB59" s="105"/>
      <c r="AC59" s="106">
        <f>'Stavební rozpočet'!F77</f>
        <v>8</v>
      </c>
      <c r="AD59" s="107"/>
      <c r="AE59" s="107"/>
      <c r="AF59" s="107"/>
      <c r="AG59" s="107"/>
      <c r="AH59" s="106">
        <f>'Stavební rozpočet'!G77</f>
        <v>0</v>
      </c>
      <c r="AI59" s="107"/>
      <c r="AJ59" s="107"/>
      <c r="AK59" s="107"/>
      <c r="AL59" s="107"/>
      <c r="AM59" s="107"/>
      <c r="AN59" s="107"/>
      <c r="AO59" s="107"/>
      <c r="AP59" s="106">
        <f t="shared" si="1"/>
        <v>0</v>
      </c>
      <c r="AQ59" s="107"/>
      <c r="AR59" s="107"/>
      <c r="AS59" s="107"/>
      <c r="AT59" s="107"/>
      <c r="AU59" s="107"/>
      <c r="AV59" s="107"/>
      <c r="AW59" s="107"/>
      <c r="AX59" s="106">
        <f>0.00032*AC59</f>
        <v>0.00256</v>
      </c>
      <c r="AY59" s="107"/>
      <c r="AZ59" s="107"/>
      <c r="BA59" s="107"/>
      <c r="BB59" s="107"/>
      <c r="BC59" s="107"/>
      <c r="BD59" s="107"/>
      <c r="BE59" s="107"/>
      <c r="IR59" s="36">
        <f>AH59*0.752418879056047</f>
        <v>0</v>
      </c>
      <c r="IS59" s="36">
        <f>AH59*(1-0.752418879056047)</f>
        <v>0</v>
      </c>
    </row>
    <row r="60" spans="1:253" ht="12.75">
      <c r="A60" s="104" t="s">
        <v>51</v>
      </c>
      <c r="B60" s="105"/>
      <c r="C60" s="104" t="s">
        <v>242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4" t="s">
        <v>292</v>
      </c>
      <c r="AB60" s="105"/>
      <c r="AC60" s="106">
        <f>'Stavební rozpočet'!F78</f>
        <v>8</v>
      </c>
      <c r="AD60" s="107"/>
      <c r="AE60" s="107"/>
      <c r="AF60" s="107"/>
      <c r="AG60" s="107"/>
      <c r="AH60" s="106">
        <f>'Stavební rozpočet'!G78</f>
        <v>0</v>
      </c>
      <c r="AI60" s="107"/>
      <c r="AJ60" s="107"/>
      <c r="AK60" s="107"/>
      <c r="AL60" s="107"/>
      <c r="AM60" s="107"/>
      <c r="AN60" s="107"/>
      <c r="AO60" s="107"/>
      <c r="AP60" s="106">
        <f t="shared" si="1"/>
        <v>0</v>
      </c>
      <c r="AQ60" s="107"/>
      <c r="AR60" s="107"/>
      <c r="AS60" s="107"/>
      <c r="AT60" s="107"/>
      <c r="AU60" s="107"/>
      <c r="AV60" s="107"/>
      <c r="AW60" s="107"/>
      <c r="AX60" s="106">
        <f>0.00052*AC60</f>
        <v>0.00416</v>
      </c>
      <c r="AY60" s="107"/>
      <c r="AZ60" s="107"/>
      <c r="BA60" s="107"/>
      <c r="BB60" s="107"/>
      <c r="BC60" s="107"/>
      <c r="BD60" s="107"/>
      <c r="BE60" s="107"/>
      <c r="IR60" s="36">
        <f>AH60*0.797437934054296</f>
        <v>0</v>
      </c>
      <c r="IS60" s="36">
        <f>AH60*(1-0.797437934054296)</f>
        <v>0</v>
      </c>
    </row>
    <row r="61" spans="1:253" ht="12.75">
      <c r="A61" s="104" t="s">
        <v>52</v>
      </c>
      <c r="B61" s="105"/>
      <c r="C61" s="104" t="s">
        <v>243</v>
      </c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4" t="s">
        <v>292</v>
      </c>
      <c r="AB61" s="105"/>
      <c r="AC61" s="106">
        <f>'Stavební rozpočet'!F79</f>
        <v>9</v>
      </c>
      <c r="AD61" s="107"/>
      <c r="AE61" s="107"/>
      <c r="AF61" s="107"/>
      <c r="AG61" s="107"/>
      <c r="AH61" s="106">
        <f>'Stavební rozpočet'!G79</f>
        <v>0</v>
      </c>
      <c r="AI61" s="107"/>
      <c r="AJ61" s="107"/>
      <c r="AK61" s="107"/>
      <c r="AL61" s="107"/>
      <c r="AM61" s="107"/>
      <c r="AN61" s="107"/>
      <c r="AO61" s="107"/>
      <c r="AP61" s="106">
        <f t="shared" si="1"/>
        <v>0</v>
      </c>
      <c r="AQ61" s="107"/>
      <c r="AR61" s="107"/>
      <c r="AS61" s="107"/>
      <c r="AT61" s="107"/>
      <c r="AU61" s="107"/>
      <c r="AV61" s="107"/>
      <c r="AW61" s="107"/>
      <c r="AX61" s="106">
        <f>0.00026*AC61</f>
        <v>0.0023399999999999996</v>
      </c>
      <c r="AY61" s="107"/>
      <c r="AZ61" s="107"/>
      <c r="BA61" s="107"/>
      <c r="BB61" s="107"/>
      <c r="BC61" s="107"/>
      <c r="BD61" s="107"/>
      <c r="BE61" s="107"/>
      <c r="IR61" s="36">
        <f>AH61*0.922379134860051</f>
        <v>0</v>
      </c>
      <c r="IS61" s="36">
        <f>AH61*(1-0.922379134860051)</f>
        <v>0</v>
      </c>
    </row>
    <row r="62" spans="1:253" ht="12.75">
      <c r="A62" s="104" t="s">
        <v>53</v>
      </c>
      <c r="B62" s="105"/>
      <c r="C62" s="104" t="s">
        <v>245</v>
      </c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4" t="s">
        <v>294</v>
      </c>
      <c r="AB62" s="105"/>
      <c r="AC62" s="106">
        <f>'Stavební rozpočet'!F81</f>
        <v>1.3929</v>
      </c>
      <c r="AD62" s="107"/>
      <c r="AE62" s="107"/>
      <c r="AF62" s="107"/>
      <c r="AG62" s="107"/>
      <c r="AH62" s="106">
        <f>'Stavební rozpočet'!G81</f>
        <v>0</v>
      </c>
      <c r="AI62" s="107"/>
      <c r="AJ62" s="107"/>
      <c r="AK62" s="107"/>
      <c r="AL62" s="107"/>
      <c r="AM62" s="107"/>
      <c r="AN62" s="107"/>
      <c r="AO62" s="107"/>
      <c r="AP62" s="106">
        <f t="shared" si="1"/>
        <v>0</v>
      </c>
      <c r="AQ62" s="107"/>
      <c r="AR62" s="107"/>
      <c r="AS62" s="107"/>
      <c r="AT62" s="107"/>
      <c r="AU62" s="107"/>
      <c r="AV62" s="107"/>
      <c r="AW62" s="107"/>
      <c r="AX62" s="106">
        <f>0*AC62</f>
        <v>0</v>
      </c>
      <c r="AY62" s="107"/>
      <c r="AZ62" s="107"/>
      <c r="BA62" s="107"/>
      <c r="BB62" s="107"/>
      <c r="BC62" s="107"/>
      <c r="BD62" s="107"/>
      <c r="BE62" s="107"/>
      <c r="IR62" s="36">
        <f>AH62*0</f>
        <v>0</v>
      </c>
      <c r="IS62" s="36">
        <f>AH62*(1-0)</f>
        <v>0</v>
      </c>
    </row>
    <row r="63" spans="1:253" ht="12.75">
      <c r="A63" s="104" t="s">
        <v>54</v>
      </c>
      <c r="B63" s="105"/>
      <c r="C63" s="104" t="s">
        <v>246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4" t="s">
        <v>293</v>
      </c>
      <c r="AB63" s="105"/>
      <c r="AC63" s="106">
        <f>'Stavební rozpočet'!F82</f>
        <v>1278</v>
      </c>
      <c r="AD63" s="107"/>
      <c r="AE63" s="107"/>
      <c r="AF63" s="107"/>
      <c r="AG63" s="107"/>
      <c r="AH63" s="106">
        <f>'Stavební rozpočet'!G82</f>
        <v>0</v>
      </c>
      <c r="AI63" s="107"/>
      <c r="AJ63" s="107"/>
      <c r="AK63" s="107"/>
      <c r="AL63" s="107"/>
      <c r="AM63" s="107"/>
      <c r="AN63" s="107"/>
      <c r="AO63" s="107"/>
      <c r="AP63" s="106">
        <f t="shared" si="1"/>
        <v>0</v>
      </c>
      <c r="AQ63" s="107"/>
      <c r="AR63" s="107"/>
      <c r="AS63" s="107"/>
      <c r="AT63" s="107"/>
      <c r="AU63" s="107"/>
      <c r="AV63" s="107"/>
      <c r="AW63" s="107"/>
      <c r="AX63" s="106">
        <f>0.00001*AC63</f>
        <v>0.012780000000000001</v>
      </c>
      <c r="AY63" s="107"/>
      <c r="AZ63" s="107"/>
      <c r="BA63" s="107"/>
      <c r="BB63" s="107"/>
      <c r="BC63" s="107"/>
      <c r="BD63" s="107"/>
      <c r="BE63" s="107"/>
      <c r="IR63" s="36">
        <f>AH63*0.0594262295081967</f>
        <v>0</v>
      </c>
      <c r="IS63" s="36">
        <f>AH63*(1-0.0594262295081967)</f>
        <v>0</v>
      </c>
    </row>
    <row r="64" spans="1:253" ht="12.75">
      <c r="A64" s="104" t="s">
        <v>55</v>
      </c>
      <c r="B64" s="105"/>
      <c r="C64" s="104" t="s">
        <v>247</v>
      </c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4" t="s">
        <v>293</v>
      </c>
      <c r="AB64" s="105"/>
      <c r="AC64" s="106">
        <f>'Stavební rozpočet'!F83</f>
        <v>1278</v>
      </c>
      <c r="AD64" s="107"/>
      <c r="AE64" s="107"/>
      <c r="AF64" s="107"/>
      <c r="AG64" s="107"/>
      <c r="AH64" s="106">
        <f>'Stavební rozpočet'!G83</f>
        <v>0</v>
      </c>
      <c r="AI64" s="107"/>
      <c r="AJ64" s="107"/>
      <c r="AK64" s="107"/>
      <c r="AL64" s="107"/>
      <c r="AM64" s="107"/>
      <c r="AN64" s="107"/>
      <c r="AO64" s="107"/>
      <c r="AP64" s="106">
        <f t="shared" si="1"/>
        <v>0</v>
      </c>
      <c r="AQ64" s="107"/>
      <c r="AR64" s="107"/>
      <c r="AS64" s="107"/>
      <c r="AT64" s="107"/>
      <c r="AU64" s="107"/>
      <c r="AV64" s="107"/>
      <c r="AW64" s="107"/>
      <c r="AX64" s="106">
        <f>0*AC64</f>
        <v>0</v>
      </c>
      <c r="AY64" s="107"/>
      <c r="AZ64" s="107"/>
      <c r="BA64" s="107"/>
      <c r="BB64" s="107"/>
      <c r="BC64" s="107"/>
      <c r="BD64" s="107"/>
      <c r="BE64" s="107"/>
      <c r="IR64" s="36">
        <f>AH64*0.021370207416719</f>
        <v>0</v>
      </c>
      <c r="IS64" s="36">
        <f>AH64*(1-0.021370207416719)</f>
        <v>0</v>
      </c>
    </row>
    <row r="65" spans="1:57" ht="12.75">
      <c r="A65" s="108" t="s">
        <v>6</v>
      </c>
      <c r="B65" s="109"/>
      <c r="C65" s="108" t="s">
        <v>248</v>
      </c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8" t="s">
        <v>6</v>
      </c>
      <c r="AB65" s="109"/>
      <c r="AC65" s="110" t="s">
        <v>6</v>
      </c>
      <c r="AD65" s="111"/>
      <c r="AE65" s="111"/>
      <c r="AF65" s="111"/>
      <c r="AG65" s="111"/>
      <c r="AH65" s="110" t="s">
        <v>6</v>
      </c>
      <c r="AI65" s="111"/>
      <c r="AJ65" s="111"/>
      <c r="AK65" s="111"/>
      <c r="AL65" s="111"/>
      <c r="AM65" s="111"/>
      <c r="AN65" s="111"/>
      <c r="AO65" s="111"/>
      <c r="AP65" s="112">
        <f>SUM(AP66:AP68)</f>
        <v>0</v>
      </c>
      <c r="AQ65" s="111"/>
      <c r="AR65" s="111"/>
      <c r="AS65" s="111"/>
      <c r="AT65" s="111"/>
      <c r="AU65" s="111"/>
      <c r="AV65" s="111"/>
      <c r="AW65" s="111"/>
      <c r="AX65" s="112">
        <f>SUM(AX66:AX68)</f>
        <v>2.083</v>
      </c>
      <c r="AY65" s="111"/>
      <c r="AZ65" s="111"/>
      <c r="BA65" s="111"/>
      <c r="BB65" s="111"/>
      <c r="BC65" s="111"/>
      <c r="BD65" s="111"/>
      <c r="BE65" s="111"/>
    </row>
    <row r="66" spans="1:253" ht="12.75">
      <c r="A66" s="104" t="s">
        <v>56</v>
      </c>
      <c r="B66" s="105"/>
      <c r="C66" s="104" t="s">
        <v>249</v>
      </c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4" t="s">
        <v>296</v>
      </c>
      <c r="AB66" s="105"/>
      <c r="AC66" s="106">
        <f>'Stavební rozpočet'!F85</f>
        <v>128</v>
      </c>
      <c r="AD66" s="107"/>
      <c r="AE66" s="107"/>
      <c r="AF66" s="107"/>
      <c r="AG66" s="107"/>
      <c r="AH66" s="106">
        <f>'Stavební rozpočet'!G85</f>
        <v>0</v>
      </c>
      <c r="AI66" s="107"/>
      <c r="AJ66" s="107"/>
      <c r="AK66" s="107"/>
      <c r="AL66" s="107"/>
      <c r="AM66" s="107"/>
      <c r="AN66" s="107"/>
      <c r="AO66" s="107"/>
      <c r="AP66" s="106">
        <f>IR66*AC66+IS66*AC66</f>
        <v>0</v>
      </c>
      <c r="AQ66" s="107"/>
      <c r="AR66" s="107"/>
      <c r="AS66" s="107"/>
      <c r="AT66" s="107"/>
      <c r="AU66" s="107"/>
      <c r="AV66" s="107"/>
      <c r="AW66" s="107"/>
      <c r="AX66" s="106">
        <f>0.01*AC66</f>
        <v>1.28</v>
      </c>
      <c r="AY66" s="107"/>
      <c r="AZ66" s="107"/>
      <c r="BA66" s="107"/>
      <c r="BB66" s="107"/>
      <c r="BC66" s="107"/>
      <c r="BD66" s="107"/>
      <c r="BE66" s="107"/>
      <c r="IR66" s="36">
        <f>AH66*0.761904761904762</f>
        <v>0</v>
      </c>
      <c r="IS66" s="36">
        <f>AH66*(1-0.761904761904762)</f>
        <v>0</v>
      </c>
    </row>
    <row r="67" spans="1:253" ht="12.75">
      <c r="A67" s="104" t="s">
        <v>57</v>
      </c>
      <c r="B67" s="105"/>
      <c r="C67" s="104" t="s">
        <v>250</v>
      </c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4" t="s">
        <v>296</v>
      </c>
      <c r="AB67" s="105"/>
      <c r="AC67" s="106">
        <f>'Stavební rozpočet'!F86</f>
        <v>80</v>
      </c>
      <c r="AD67" s="107"/>
      <c r="AE67" s="107"/>
      <c r="AF67" s="107"/>
      <c r="AG67" s="107"/>
      <c r="AH67" s="106">
        <f>'Stavební rozpočet'!G86</f>
        <v>0</v>
      </c>
      <c r="AI67" s="107"/>
      <c r="AJ67" s="107"/>
      <c r="AK67" s="107"/>
      <c r="AL67" s="107"/>
      <c r="AM67" s="107"/>
      <c r="AN67" s="107"/>
      <c r="AO67" s="107"/>
      <c r="AP67" s="106">
        <f>IR67*AC67+IS67*AC67</f>
        <v>0</v>
      </c>
      <c r="AQ67" s="107"/>
      <c r="AR67" s="107"/>
      <c r="AS67" s="107"/>
      <c r="AT67" s="107"/>
      <c r="AU67" s="107"/>
      <c r="AV67" s="107"/>
      <c r="AW67" s="107"/>
      <c r="AX67" s="106">
        <f>0.01*AC67</f>
        <v>0.8</v>
      </c>
      <c r="AY67" s="107"/>
      <c r="AZ67" s="107"/>
      <c r="BA67" s="107"/>
      <c r="BB67" s="107"/>
      <c r="BC67" s="107"/>
      <c r="BD67" s="107"/>
      <c r="BE67" s="107"/>
      <c r="IR67" s="36">
        <f>AH67*0.736842105263158</f>
        <v>0</v>
      </c>
      <c r="IS67" s="36">
        <f>AH67*(1-0.736842105263158)</f>
        <v>0</v>
      </c>
    </row>
    <row r="68" spans="1:253" ht="12.75">
      <c r="A68" s="104" t="s">
        <v>58</v>
      </c>
      <c r="B68" s="105"/>
      <c r="C68" s="104" t="s">
        <v>251</v>
      </c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4" t="s">
        <v>296</v>
      </c>
      <c r="AB68" s="105"/>
      <c r="AC68" s="106">
        <f>'Stavební rozpočet'!F87</f>
        <v>1</v>
      </c>
      <c r="AD68" s="107"/>
      <c r="AE68" s="107"/>
      <c r="AF68" s="107"/>
      <c r="AG68" s="107"/>
      <c r="AH68" s="106">
        <f>'Stavební rozpočet'!G87</f>
        <v>0</v>
      </c>
      <c r="AI68" s="107"/>
      <c r="AJ68" s="107"/>
      <c r="AK68" s="107"/>
      <c r="AL68" s="107"/>
      <c r="AM68" s="107"/>
      <c r="AN68" s="107"/>
      <c r="AO68" s="107"/>
      <c r="AP68" s="106">
        <f>IR68*AC68+IS68*AC68</f>
        <v>0</v>
      </c>
      <c r="AQ68" s="107"/>
      <c r="AR68" s="107"/>
      <c r="AS68" s="107"/>
      <c r="AT68" s="107"/>
      <c r="AU68" s="107"/>
      <c r="AV68" s="107"/>
      <c r="AW68" s="107"/>
      <c r="AX68" s="106">
        <f>0.003*AC68</f>
        <v>0.003</v>
      </c>
      <c r="AY68" s="107"/>
      <c r="AZ68" s="107"/>
      <c r="BA68" s="107"/>
      <c r="BB68" s="107"/>
      <c r="BC68" s="107"/>
      <c r="BD68" s="107"/>
      <c r="BE68" s="107"/>
      <c r="IR68" s="36">
        <f>AH68*0.979381443298969</f>
        <v>0</v>
      </c>
      <c r="IS68" s="36">
        <f>AH68*(1-0.979381443298969)</f>
        <v>0</v>
      </c>
    </row>
    <row r="69" spans="1:57" ht="12.75">
      <c r="A69" s="108" t="s">
        <v>6</v>
      </c>
      <c r="B69" s="109"/>
      <c r="C69" s="108" t="s">
        <v>252</v>
      </c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8" t="s">
        <v>6</v>
      </c>
      <c r="AB69" s="109"/>
      <c r="AC69" s="110" t="s">
        <v>6</v>
      </c>
      <c r="AD69" s="111"/>
      <c r="AE69" s="111"/>
      <c r="AF69" s="111"/>
      <c r="AG69" s="111"/>
      <c r="AH69" s="110" t="s">
        <v>6</v>
      </c>
      <c r="AI69" s="111"/>
      <c r="AJ69" s="111"/>
      <c r="AK69" s="111"/>
      <c r="AL69" s="111"/>
      <c r="AM69" s="111"/>
      <c r="AN69" s="111"/>
      <c r="AO69" s="111"/>
      <c r="AP69" s="112">
        <f>SUM(AP70:AP79)</f>
        <v>0</v>
      </c>
      <c r="AQ69" s="111"/>
      <c r="AR69" s="111"/>
      <c r="AS69" s="111"/>
      <c r="AT69" s="111"/>
      <c r="AU69" s="111"/>
      <c r="AV69" s="111"/>
      <c r="AW69" s="111"/>
      <c r="AX69" s="112">
        <f>SUM(AX70:AX79)</f>
        <v>1.02482</v>
      </c>
      <c r="AY69" s="111"/>
      <c r="AZ69" s="111"/>
      <c r="BA69" s="111"/>
      <c r="BB69" s="111"/>
      <c r="BC69" s="111"/>
      <c r="BD69" s="111"/>
      <c r="BE69" s="111"/>
    </row>
    <row r="70" spans="1:253" ht="12.75">
      <c r="A70" s="104" t="s">
        <v>59</v>
      </c>
      <c r="B70" s="105"/>
      <c r="C70" s="104" t="s">
        <v>253</v>
      </c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4" t="s">
        <v>292</v>
      </c>
      <c r="AB70" s="105"/>
      <c r="AC70" s="106">
        <f>'Stavební rozpočet'!F89</f>
        <v>9</v>
      </c>
      <c r="AD70" s="107"/>
      <c r="AE70" s="107"/>
      <c r="AF70" s="107"/>
      <c r="AG70" s="107"/>
      <c r="AH70" s="106">
        <f>'Stavební rozpočet'!G89</f>
        <v>0</v>
      </c>
      <c r="AI70" s="107"/>
      <c r="AJ70" s="107"/>
      <c r="AK70" s="107"/>
      <c r="AL70" s="107"/>
      <c r="AM70" s="107"/>
      <c r="AN70" s="107"/>
      <c r="AO70" s="107"/>
      <c r="AP70" s="106">
        <f aca="true" t="shared" si="2" ref="AP70:AP79">IR70*AC70+IS70*AC70</f>
        <v>0</v>
      </c>
      <c r="AQ70" s="107"/>
      <c r="AR70" s="107"/>
      <c r="AS70" s="107"/>
      <c r="AT70" s="107"/>
      <c r="AU70" s="107"/>
      <c r="AV70" s="107"/>
      <c r="AW70" s="107"/>
      <c r="AX70" s="106">
        <f>0.00003*AC70</f>
        <v>0.00027</v>
      </c>
      <c r="AY70" s="107"/>
      <c r="AZ70" s="107"/>
      <c r="BA70" s="107"/>
      <c r="BB70" s="107"/>
      <c r="BC70" s="107"/>
      <c r="BD70" s="107"/>
      <c r="BE70" s="107"/>
      <c r="IR70" s="36">
        <f>AH70*0.0121513944223108</f>
        <v>0</v>
      </c>
      <c r="IS70" s="36">
        <f>AH70*(1-0.0121513944223108)</f>
        <v>0</v>
      </c>
    </row>
    <row r="71" spans="1:253" ht="12.75">
      <c r="A71" s="104" t="s">
        <v>60</v>
      </c>
      <c r="B71" s="105"/>
      <c r="C71" s="104" t="s">
        <v>254</v>
      </c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4" t="s">
        <v>292</v>
      </c>
      <c r="AB71" s="105"/>
      <c r="AC71" s="106">
        <f>'Stavební rozpočet'!F90</f>
        <v>14</v>
      </c>
      <c r="AD71" s="107"/>
      <c r="AE71" s="107"/>
      <c r="AF71" s="107"/>
      <c r="AG71" s="107"/>
      <c r="AH71" s="106">
        <f>'Stavební rozpočet'!G90</f>
        <v>0</v>
      </c>
      <c r="AI71" s="107"/>
      <c r="AJ71" s="107"/>
      <c r="AK71" s="107"/>
      <c r="AL71" s="107"/>
      <c r="AM71" s="107"/>
      <c r="AN71" s="107"/>
      <c r="AO71" s="107"/>
      <c r="AP71" s="106">
        <f t="shared" si="2"/>
        <v>0</v>
      </c>
      <c r="AQ71" s="107"/>
      <c r="AR71" s="107"/>
      <c r="AS71" s="107"/>
      <c r="AT71" s="107"/>
      <c r="AU71" s="107"/>
      <c r="AV71" s="107"/>
      <c r="AW71" s="107"/>
      <c r="AX71" s="106">
        <f>0*AC71</f>
        <v>0</v>
      </c>
      <c r="AY71" s="107"/>
      <c r="AZ71" s="107"/>
      <c r="BA71" s="107"/>
      <c r="BB71" s="107"/>
      <c r="BC71" s="107"/>
      <c r="BD71" s="107"/>
      <c r="BE71" s="107"/>
      <c r="IR71" s="36">
        <f>AH71*0</f>
        <v>0</v>
      </c>
      <c r="IS71" s="36">
        <f>AH71*(1-0)</f>
        <v>0</v>
      </c>
    </row>
    <row r="72" spans="1:253" ht="12.75">
      <c r="A72" s="104" t="s">
        <v>61</v>
      </c>
      <c r="B72" s="105"/>
      <c r="C72" s="104" t="s">
        <v>255</v>
      </c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4" t="s">
        <v>292</v>
      </c>
      <c r="AB72" s="105"/>
      <c r="AC72" s="106">
        <f>'Stavební rozpočet'!F91</f>
        <v>14</v>
      </c>
      <c r="AD72" s="107"/>
      <c r="AE72" s="107"/>
      <c r="AF72" s="107"/>
      <c r="AG72" s="107"/>
      <c r="AH72" s="106">
        <f>'Stavební rozpočet'!G91</f>
        <v>0</v>
      </c>
      <c r="AI72" s="107"/>
      <c r="AJ72" s="107"/>
      <c r="AK72" s="107"/>
      <c r="AL72" s="107"/>
      <c r="AM72" s="107"/>
      <c r="AN72" s="107"/>
      <c r="AO72" s="107"/>
      <c r="AP72" s="106">
        <f t="shared" si="2"/>
        <v>0</v>
      </c>
      <c r="AQ72" s="107"/>
      <c r="AR72" s="107"/>
      <c r="AS72" s="107"/>
      <c r="AT72" s="107"/>
      <c r="AU72" s="107"/>
      <c r="AV72" s="107"/>
      <c r="AW72" s="107"/>
      <c r="AX72" s="106">
        <f>0.00002*AC72</f>
        <v>0.00028000000000000003</v>
      </c>
      <c r="AY72" s="107"/>
      <c r="AZ72" s="107"/>
      <c r="BA72" s="107"/>
      <c r="BB72" s="107"/>
      <c r="BC72" s="107"/>
      <c r="BD72" s="107"/>
      <c r="BE72" s="107"/>
      <c r="IR72" s="36">
        <f>AH72*0.048</f>
        <v>0</v>
      </c>
      <c r="IS72" s="36">
        <f>AH72*(1-0.048)</f>
        <v>0</v>
      </c>
    </row>
    <row r="73" spans="1:253" ht="12.75">
      <c r="A73" s="104" t="s">
        <v>62</v>
      </c>
      <c r="B73" s="105"/>
      <c r="C73" s="104" t="s">
        <v>256</v>
      </c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4" t="s">
        <v>295</v>
      </c>
      <c r="AB73" s="105"/>
      <c r="AC73" s="106">
        <f>'Stavební rozpočet'!F92</f>
        <v>5</v>
      </c>
      <c r="AD73" s="107"/>
      <c r="AE73" s="107"/>
      <c r="AF73" s="107"/>
      <c r="AG73" s="107"/>
      <c r="AH73" s="106">
        <f>'Stavební rozpočet'!G92</f>
        <v>0</v>
      </c>
      <c r="AI73" s="107"/>
      <c r="AJ73" s="107"/>
      <c r="AK73" s="107"/>
      <c r="AL73" s="107"/>
      <c r="AM73" s="107"/>
      <c r="AN73" s="107"/>
      <c r="AO73" s="107"/>
      <c r="AP73" s="106">
        <f t="shared" si="2"/>
        <v>0</v>
      </c>
      <c r="AQ73" s="107"/>
      <c r="AR73" s="107"/>
      <c r="AS73" s="107"/>
      <c r="AT73" s="107"/>
      <c r="AU73" s="107"/>
      <c r="AV73" s="107"/>
      <c r="AW73" s="107"/>
      <c r="AX73" s="106">
        <f>0.0329*AC73</f>
        <v>0.16449999999999998</v>
      </c>
      <c r="AY73" s="107"/>
      <c r="AZ73" s="107"/>
      <c r="BA73" s="107"/>
      <c r="BB73" s="107"/>
      <c r="BC73" s="107"/>
      <c r="BD73" s="107"/>
      <c r="BE73" s="107"/>
      <c r="IR73" s="36">
        <f>AH73*0</f>
        <v>0</v>
      </c>
      <c r="IS73" s="36">
        <f>AH73*(1-0)</f>
        <v>0</v>
      </c>
    </row>
    <row r="74" spans="1:253" ht="12.75">
      <c r="A74" s="104" t="s">
        <v>63</v>
      </c>
      <c r="B74" s="105"/>
      <c r="C74" s="104" t="s">
        <v>257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4" t="s">
        <v>295</v>
      </c>
      <c r="AB74" s="105"/>
      <c r="AC74" s="106">
        <f>'Stavební rozpočet'!F93</f>
        <v>5</v>
      </c>
      <c r="AD74" s="107"/>
      <c r="AE74" s="107"/>
      <c r="AF74" s="107"/>
      <c r="AG74" s="107"/>
      <c r="AH74" s="106">
        <f>'Stavební rozpočet'!G93</f>
        <v>0</v>
      </c>
      <c r="AI74" s="107"/>
      <c r="AJ74" s="107"/>
      <c r="AK74" s="107"/>
      <c r="AL74" s="107"/>
      <c r="AM74" s="107"/>
      <c r="AN74" s="107"/>
      <c r="AO74" s="107"/>
      <c r="AP74" s="106">
        <f t="shared" si="2"/>
        <v>0</v>
      </c>
      <c r="AQ74" s="107"/>
      <c r="AR74" s="107"/>
      <c r="AS74" s="107"/>
      <c r="AT74" s="107"/>
      <c r="AU74" s="107"/>
      <c r="AV74" s="107"/>
      <c r="AW74" s="107"/>
      <c r="AX74" s="106">
        <f>0.00049*AC74</f>
        <v>0.00245</v>
      </c>
      <c r="AY74" s="107"/>
      <c r="AZ74" s="107"/>
      <c r="BA74" s="107"/>
      <c r="BB74" s="107"/>
      <c r="BC74" s="107"/>
      <c r="BD74" s="107"/>
      <c r="BE74" s="107"/>
      <c r="IR74" s="36">
        <f>AH74*0.223597667638484</f>
        <v>0</v>
      </c>
      <c r="IS74" s="36">
        <f>AH74*(1-0.223597667638484)</f>
        <v>0</v>
      </c>
    </row>
    <row r="75" spans="1:253" ht="12.75">
      <c r="A75" s="104" t="s">
        <v>64</v>
      </c>
      <c r="B75" s="105"/>
      <c r="C75" s="104" t="s">
        <v>258</v>
      </c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4" t="s">
        <v>292</v>
      </c>
      <c r="AB75" s="105"/>
      <c r="AC75" s="106">
        <f>'Stavební rozpočet'!F94</f>
        <v>48</v>
      </c>
      <c r="AD75" s="107"/>
      <c r="AE75" s="107"/>
      <c r="AF75" s="107"/>
      <c r="AG75" s="107"/>
      <c r="AH75" s="106">
        <f>'Stavební rozpočet'!G94</f>
        <v>0</v>
      </c>
      <c r="AI75" s="107"/>
      <c r="AJ75" s="107"/>
      <c r="AK75" s="107"/>
      <c r="AL75" s="107"/>
      <c r="AM75" s="107"/>
      <c r="AN75" s="107"/>
      <c r="AO75" s="107"/>
      <c r="AP75" s="106">
        <f t="shared" si="2"/>
        <v>0</v>
      </c>
      <c r="AQ75" s="107"/>
      <c r="AR75" s="107"/>
      <c r="AS75" s="107"/>
      <c r="AT75" s="107"/>
      <c r="AU75" s="107"/>
      <c r="AV75" s="107"/>
      <c r="AW75" s="107"/>
      <c r="AX75" s="106">
        <f>0.0008*AC75</f>
        <v>0.038400000000000004</v>
      </c>
      <c r="AY75" s="107"/>
      <c r="AZ75" s="107"/>
      <c r="BA75" s="107"/>
      <c r="BB75" s="107"/>
      <c r="BC75" s="107"/>
      <c r="BD75" s="107"/>
      <c r="BE75" s="107"/>
      <c r="IR75" s="36">
        <f>AH75*0.482759924385633</f>
        <v>0</v>
      </c>
      <c r="IS75" s="36">
        <f>AH75*(1-0.482759924385633)</f>
        <v>0</v>
      </c>
    </row>
    <row r="76" spans="1:253" ht="12.75">
      <c r="A76" s="104" t="s">
        <v>65</v>
      </c>
      <c r="B76" s="105"/>
      <c r="C76" s="104" t="s">
        <v>259</v>
      </c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4" t="s">
        <v>292</v>
      </c>
      <c r="AB76" s="105"/>
      <c r="AC76" s="106">
        <f>'Stavební rozpočet'!F95</f>
        <v>17</v>
      </c>
      <c r="AD76" s="107"/>
      <c r="AE76" s="107"/>
      <c r="AF76" s="107"/>
      <c r="AG76" s="107"/>
      <c r="AH76" s="106">
        <f>'Stavební rozpočet'!G95</f>
        <v>0</v>
      </c>
      <c r="AI76" s="107"/>
      <c r="AJ76" s="107"/>
      <c r="AK76" s="107"/>
      <c r="AL76" s="107"/>
      <c r="AM76" s="107"/>
      <c r="AN76" s="107"/>
      <c r="AO76" s="107"/>
      <c r="AP76" s="106">
        <f t="shared" si="2"/>
        <v>0</v>
      </c>
      <c r="AQ76" s="107"/>
      <c r="AR76" s="107"/>
      <c r="AS76" s="107"/>
      <c r="AT76" s="107"/>
      <c r="AU76" s="107"/>
      <c r="AV76" s="107"/>
      <c r="AW76" s="107"/>
      <c r="AX76" s="106">
        <f>0.0007*AC76</f>
        <v>0.011899999999999999</v>
      </c>
      <c r="AY76" s="107"/>
      <c r="AZ76" s="107"/>
      <c r="BA76" s="107"/>
      <c r="BB76" s="107"/>
      <c r="BC76" s="107"/>
      <c r="BD76" s="107"/>
      <c r="BE76" s="107"/>
      <c r="IR76" s="36">
        <f>AH76*0.458178217821782</f>
        <v>0</v>
      </c>
      <c r="IS76" s="36">
        <f>AH76*(1-0.458178217821782)</f>
        <v>0</v>
      </c>
    </row>
    <row r="77" spans="1:253" ht="12.75">
      <c r="A77" s="104" t="s">
        <v>66</v>
      </c>
      <c r="B77" s="105"/>
      <c r="C77" s="104" t="s">
        <v>260</v>
      </c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4" t="s">
        <v>295</v>
      </c>
      <c r="AB77" s="105"/>
      <c r="AC77" s="106">
        <f>'Stavební rozpočet'!F96</f>
        <v>25</v>
      </c>
      <c r="AD77" s="107"/>
      <c r="AE77" s="107"/>
      <c r="AF77" s="107"/>
      <c r="AG77" s="107"/>
      <c r="AH77" s="106">
        <f>'Stavební rozpočet'!G96</f>
        <v>0</v>
      </c>
      <c r="AI77" s="107"/>
      <c r="AJ77" s="107"/>
      <c r="AK77" s="107"/>
      <c r="AL77" s="107"/>
      <c r="AM77" s="107"/>
      <c r="AN77" s="107"/>
      <c r="AO77" s="107"/>
      <c r="AP77" s="106">
        <f t="shared" si="2"/>
        <v>0</v>
      </c>
      <c r="AQ77" s="107"/>
      <c r="AR77" s="107"/>
      <c r="AS77" s="107"/>
      <c r="AT77" s="107"/>
      <c r="AU77" s="107"/>
      <c r="AV77" s="107"/>
      <c r="AW77" s="107"/>
      <c r="AX77" s="106">
        <f>0.01933*AC77</f>
        <v>0.48325</v>
      </c>
      <c r="AY77" s="107"/>
      <c r="AZ77" s="107"/>
      <c r="BA77" s="107"/>
      <c r="BB77" s="107"/>
      <c r="BC77" s="107"/>
      <c r="BD77" s="107"/>
      <c r="BE77" s="107"/>
      <c r="IR77" s="36">
        <f>AH77*0</f>
        <v>0</v>
      </c>
      <c r="IS77" s="36">
        <f>AH77*(1-0)</f>
        <v>0</v>
      </c>
    </row>
    <row r="78" spans="1:253" ht="12.75">
      <c r="A78" s="104" t="s">
        <v>67</v>
      </c>
      <c r="B78" s="105"/>
      <c r="C78" s="104" t="s">
        <v>261</v>
      </c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4" t="s">
        <v>295</v>
      </c>
      <c r="AB78" s="105"/>
      <c r="AC78" s="106">
        <f>'Stavební rozpočet'!F97</f>
        <v>25</v>
      </c>
      <c r="AD78" s="107"/>
      <c r="AE78" s="107"/>
      <c r="AF78" s="107"/>
      <c r="AG78" s="107"/>
      <c r="AH78" s="106">
        <f>'Stavební rozpočet'!G97</f>
        <v>0</v>
      </c>
      <c r="AI78" s="107"/>
      <c r="AJ78" s="107"/>
      <c r="AK78" s="107"/>
      <c r="AL78" s="107"/>
      <c r="AM78" s="107"/>
      <c r="AN78" s="107"/>
      <c r="AO78" s="107"/>
      <c r="AP78" s="106">
        <f t="shared" si="2"/>
        <v>0</v>
      </c>
      <c r="AQ78" s="107"/>
      <c r="AR78" s="107"/>
      <c r="AS78" s="107"/>
      <c r="AT78" s="107"/>
      <c r="AU78" s="107"/>
      <c r="AV78" s="107"/>
      <c r="AW78" s="107"/>
      <c r="AX78" s="106">
        <f>0.00186*AC78</f>
        <v>0.0465</v>
      </c>
      <c r="AY78" s="107"/>
      <c r="AZ78" s="107"/>
      <c r="BA78" s="107"/>
      <c r="BB78" s="107"/>
      <c r="BC78" s="107"/>
      <c r="BD78" s="107"/>
      <c r="BE78" s="107"/>
      <c r="IR78" s="36">
        <f>AH78*0.435657158548725</f>
        <v>0</v>
      </c>
      <c r="IS78" s="36">
        <f>AH78*(1-0.435657158548725)</f>
        <v>0</v>
      </c>
    </row>
    <row r="79" spans="1:253" ht="12.75">
      <c r="A79" s="104" t="s">
        <v>68</v>
      </c>
      <c r="B79" s="105"/>
      <c r="C79" s="104" t="s">
        <v>262</v>
      </c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4" t="s">
        <v>292</v>
      </c>
      <c r="AB79" s="105"/>
      <c r="AC79" s="106">
        <f>'Stavební rozpočet'!F98</f>
        <v>17</v>
      </c>
      <c r="AD79" s="107"/>
      <c r="AE79" s="107"/>
      <c r="AF79" s="107"/>
      <c r="AG79" s="107"/>
      <c r="AH79" s="106">
        <f>'Stavební rozpočet'!G98</f>
        <v>0</v>
      </c>
      <c r="AI79" s="107"/>
      <c r="AJ79" s="107"/>
      <c r="AK79" s="107"/>
      <c r="AL79" s="107"/>
      <c r="AM79" s="107"/>
      <c r="AN79" s="107"/>
      <c r="AO79" s="107"/>
      <c r="AP79" s="106">
        <f t="shared" si="2"/>
        <v>0</v>
      </c>
      <c r="AQ79" s="107"/>
      <c r="AR79" s="107"/>
      <c r="AS79" s="107"/>
      <c r="AT79" s="107"/>
      <c r="AU79" s="107"/>
      <c r="AV79" s="107"/>
      <c r="AW79" s="107"/>
      <c r="AX79" s="106">
        <f>0.01631*AC79</f>
        <v>0.27727</v>
      </c>
      <c r="AY79" s="107"/>
      <c r="AZ79" s="107"/>
      <c r="BA79" s="107"/>
      <c r="BB79" s="107"/>
      <c r="BC79" s="107"/>
      <c r="BD79" s="107"/>
      <c r="BE79" s="107"/>
      <c r="IR79" s="36">
        <f>AH79*0.952787436679503</f>
        <v>0</v>
      </c>
      <c r="IS79" s="36">
        <f>AH79*(1-0.952787436679503)</f>
        <v>0</v>
      </c>
    </row>
    <row r="80" spans="1:57" ht="12.75">
      <c r="A80" s="108" t="s">
        <v>6</v>
      </c>
      <c r="B80" s="109"/>
      <c r="C80" s="108" t="s">
        <v>263</v>
      </c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8" t="s">
        <v>6</v>
      </c>
      <c r="AB80" s="109"/>
      <c r="AC80" s="110" t="s">
        <v>6</v>
      </c>
      <c r="AD80" s="111"/>
      <c r="AE80" s="111"/>
      <c r="AF80" s="111"/>
      <c r="AG80" s="111"/>
      <c r="AH80" s="110" t="s">
        <v>6</v>
      </c>
      <c r="AI80" s="111"/>
      <c r="AJ80" s="111"/>
      <c r="AK80" s="111"/>
      <c r="AL80" s="111"/>
      <c r="AM80" s="111"/>
      <c r="AN80" s="111"/>
      <c r="AO80" s="111"/>
      <c r="AP80" s="112">
        <f>SUM(AP81:AP81)</f>
        <v>0</v>
      </c>
      <c r="AQ80" s="111"/>
      <c r="AR80" s="111"/>
      <c r="AS80" s="111"/>
      <c r="AT80" s="111"/>
      <c r="AU80" s="111"/>
      <c r="AV80" s="111"/>
      <c r="AW80" s="111"/>
      <c r="AX80" s="112">
        <f>SUM(AX81:AX81)</f>
        <v>0</v>
      </c>
      <c r="AY80" s="111"/>
      <c r="AZ80" s="111"/>
      <c r="BA80" s="111"/>
      <c r="BB80" s="111"/>
      <c r="BC80" s="111"/>
      <c r="BD80" s="111"/>
      <c r="BE80" s="111"/>
    </row>
    <row r="81" spans="1:253" ht="12.75">
      <c r="A81" s="104" t="s">
        <v>69</v>
      </c>
      <c r="B81" s="105"/>
      <c r="C81" s="104" t="s">
        <v>264</v>
      </c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4" t="s">
        <v>297</v>
      </c>
      <c r="AB81" s="105"/>
      <c r="AC81" s="106">
        <f>'Stavební rozpočet'!F100</f>
        <v>8</v>
      </c>
      <c r="AD81" s="107"/>
      <c r="AE81" s="107"/>
      <c r="AF81" s="107"/>
      <c r="AG81" s="107"/>
      <c r="AH81" s="106">
        <f>'Stavební rozpočet'!G100</f>
        <v>0</v>
      </c>
      <c r="AI81" s="107"/>
      <c r="AJ81" s="107"/>
      <c r="AK81" s="107"/>
      <c r="AL81" s="107"/>
      <c r="AM81" s="107"/>
      <c r="AN81" s="107"/>
      <c r="AO81" s="107"/>
      <c r="AP81" s="106">
        <f>IR81*AC81+IS81*AC81</f>
        <v>0</v>
      </c>
      <c r="AQ81" s="107"/>
      <c r="AR81" s="107"/>
      <c r="AS81" s="107"/>
      <c r="AT81" s="107"/>
      <c r="AU81" s="107"/>
      <c r="AV81" s="107"/>
      <c r="AW81" s="107"/>
      <c r="AX81" s="106">
        <f>0*AC81</f>
        <v>0</v>
      </c>
      <c r="AY81" s="107"/>
      <c r="AZ81" s="107"/>
      <c r="BA81" s="107"/>
      <c r="BB81" s="107"/>
      <c r="BC81" s="107"/>
      <c r="BD81" s="107"/>
      <c r="BE81" s="107"/>
      <c r="IR81" s="36">
        <f>AH81*0</f>
        <v>0</v>
      </c>
      <c r="IS81" s="36">
        <f>AH81*(1-0)</f>
        <v>0</v>
      </c>
    </row>
    <row r="82" spans="1:57" ht="12.75">
      <c r="A82" s="108" t="s">
        <v>6</v>
      </c>
      <c r="B82" s="109"/>
      <c r="C82" s="108" t="s">
        <v>266</v>
      </c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8" t="s">
        <v>6</v>
      </c>
      <c r="AB82" s="109"/>
      <c r="AC82" s="110" t="s">
        <v>6</v>
      </c>
      <c r="AD82" s="111"/>
      <c r="AE82" s="111"/>
      <c r="AF82" s="111"/>
      <c r="AG82" s="111"/>
      <c r="AH82" s="110" t="s">
        <v>6</v>
      </c>
      <c r="AI82" s="111"/>
      <c r="AJ82" s="111"/>
      <c r="AK82" s="111"/>
      <c r="AL82" s="111"/>
      <c r="AM82" s="111"/>
      <c r="AN82" s="111"/>
      <c r="AO82" s="111"/>
      <c r="AP82" s="112">
        <f>SUM(AP83:AP83)</f>
        <v>0</v>
      </c>
      <c r="AQ82" s="111"/>
      <c r="AR82" s="111"/>
      <c r="AS82" s="111"/>
      <c r="AT82" s="111"/>
      <c r="AU82" s="111"/>
      <c r="AV82" s="111"/>
      <c r="AW82" s="111"/>
      <c r="AX82" s="112">
        <f>SUM(AX83:AX83)</f>
        <v>0.04108</v>
      </c>
      <c r="AY82" s="111"/>
      <c r="AZ82" s="111"/>
      <c r="BA82" s="111"/>
      <c r="BB82" s="111"/>
      <c r="BC82" s="111"/>
      <c r="BD82" s="111"/>
      <c r="BE82" s="111"/>
    </row>
    <row r="83" spans="1:253" ht="12.75">
      <c r="A83" s="104" t="s">
        <v>70</v>
      </c>
      <c r="B83" s="105"/>
      <c r="C83" s="104" t="s">
        <v>267</v>
      </c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4" t="s">
        <v>291</v>
      </c>
      <c r="AB83" s="105"/>
      <c r="AC83" s="106">
        <f>'Stavební rozpočet'!F103</f>
        <v>26</v>
      </c>
      <c r="AD83" s="107"/>
      <c r="AE83" s="107"/>
      <c r="AF83" s="107"/>
      <c r="AG83" s="107"/>
      <c r="AH83" s="106">
        <f>'Stavební rozpočet'!G103</f>
        <v>0</v>
      </c>
      <c r="AI83" s="107"/>
      <c r="AJ83" s="107"/>
      <c r="AK83" s="107"/>
      <c r="AL83" s="107"/>
      <c r="AM83" s="107"/>
      <c r="AN83" s="107"/>
      <c r="AO83" s="107"/>
      <c r="AP83" s="106">
        <f>IR83*AC83+IS83*AC83</f>
        <v>0</v>
      </c>
      <c r="AQ83" s="107"/>
      <c r="AR83" s="107"/>
      <c r="AS83" s="107"/>
      <c r="AT83" s="107"/>
      <c r="AU83" s="107"/>
      <c r="AV83" s="107"/>
      <c r="AW83" s="107"/>
      <c r="AX83" s="106">
        <f>0.00158*AC83</f>
        <v>0.04108</v>
      </c>
      <c r="AY83" s="107"/>
      <c r="AZ83" s="107"/>
      <c r="BA83" s="107"/>
      <c r="BB83" s="107"/>
      <c r="BC83" s="107"/>
      <c r="BD83" s="107"/>
      <c r="BE83" s="107"/>
      <c r="IR83" s="36">
        <f>AH83*0.412818181818182</f>
        <v>0</v>
      </c>
      <c r="IS83" s="36">
        <f>AH83*(1-0.412818181818182)</f>
        <v>0</v>
      </c>
    </row>
    <row r="84" spans="1:57" ht="12.75">
      <c r="A84" s="108" t="s">
        <v>6</v>
      </c>
      <c r="B84" s="109"/>
      <c r="C84" s="108" t="s">
        <v>268</v>
      </c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8" t="s">
        <v>6</v>
      </c>
      <c r="AB84" s="109"/>
      <c r="AC84" s="110" t="s">
        <v>6</v>
      </c>
      <c r="AD84" s="111"/>
      <c r="AE84" s="111"/>
      <c r="AF84" s="111"/>
      <c r="AG84" s="111"/>
      <c r="AH84" s="110" t="s">
        <v>6</v>
      </c>
      <c r="AI84" s="111"/>
      <c r="AJ84" s="111"/>
      <c r="AK84" s="111"/>
      <c r="AL84" s="111"/>
      <c r="AM84" s="111"/>
      <c r="AN84" s="111"/>
      <c r="AO84" s="111"/>
      <c r="AP84" s="112">
        <f>SUM(AP85:AP85)</f>
        <v>0</v>
      </c>
      <c r="AQ84" s="111"/>
      <c r="AR84" s="111"/>
      <c r="AS84" s="111"/>
      <c r="AT84" s="111"/>
      <c r="AU84" s="111"/>
      <c r="AV84" s="111"/>
      <c r="AW84" s="111"/>
      <c r="AX84" s="112">
        <f>SUM(AX85:AX85)</f>
        <v>0.9921599999999999</v>
      </c>
      <c r="AY84" s="111"/>
      <c r="AZ84" s="111"/>
      <c r="BA84" s="111"/>
      <c r="BB84" s="111"/>
      <c r="BC84" s="111"/>
      <c r="BD84" s="111"/>
      <c r="BE84" s="111"/>
    </row>
    <row r="85" spans="1:253" ht="12.75">
      <c r="A85" s="104" t="s">
        <v>71</v>
      </c>
      <c r="B85" s="105"/>
      <c r="C85" s="104" t="s">
        <v>269</v>
      </c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4" t="s">
        <v>292</v>
      </c>
      <c r="AB85" s="105"/>
      <c r="AC85" s="106">
        <f>'Stavební rozpočet'!F105</f>
        <v>208</v>
      </c>
      <c r="AD85" s="107"/>
      <c r="AE85" s="107"/>
      <c r="AF85" s="107"/>
      <c r="AG85" s="107"/>
      <c r="AH85" s="106">
        <f>'Stavební rozpočet'!G105</f>
        <v>0</v>
      </c>
      <c r="AI85" s="107"/>
      <c r="AJ85" s="107"/>
      <c r="AK85" s="107"/>
      <c r="AL85" s="107"/>
      <c r="AM85" s="107"/>
      <c r="AN85" s="107"/>
      <c r="AO85" s="107"/>
      <c r="AP85" s="106">
        <f>IR85*AC85+IS85*AC85</f>
        <v>0</v>
      </c>
      <c r="AQ85" s="107"/>
      <c r="AR85" s="107"/>
      <c r="AS85" s="107"/>
      <c r="AT85" s="107"/>
      <c r="AU85" s="107"/>
      <c r="AV85" s="107"/>
      <c r="AW85" s="107"/>
      <c r="AX85" s="106">
        <f>0.00477*AC85</f>
        <v>0.9921599999999999</v>
      </c>
      <c r="AY85" s="107"/>
      <c r="AZ85" s="107"/>
      <c r="BA85" s="107"/>
      <c r="BB85" s="107"/>
      <c r="BC85" s="107"/>
      <c r="BD85" s="107"/>
      <c r="BE85" s="107"/>
      <c r="IR85" s="36">
        <f>AH85*0.0495846645367412</f>
        <v>0</v>
      </c>
      <c r="IS85" s="36">
        <f>AH85*(1-0.0495846645367412)</f>
        <v>0</v>
      </c>
    </row>
    <row r="86" spans="1:57" ht="12.75">
      <c r="A86" s="108" t="s">
        <v>6</v>
      </c>
      <c r="B86" s="109"/>
      <c r="C86" s="108" t="s">
        <v>270</v>
      </c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8" t="s">
        <v>6</v>
      </c>
      <c r="AB86" s="109"/>
      <c r="AC86" s="110" t="s">
        <v>6</v>
      </c>
      <c r="AD86" s="111"/>
      <c r="AE86" s="111"/>
      <c r="AF86" s="111"/>
      <c r="AG86" s="111"/>
      <c r="AH86" s="110" t="s">
        <v>6</v>
      </c>
      <c r="AI86" s="111"/>
      <c r="AJ86" s="111"/>
      <c r="AK86" s="111"/>
      <c r="AL86" s="111"/>
      <c r="AM86" s="111"/>
      <c r="AN86" s="111"/>
      <c r="AO86" s="111"/>
      <c r="AP86" s="112">
        <f>SUM(AP87:AP91)</f>
        <v>0</v>
      </c>
      <c r="AQ86" s="111"/>
      <c r="AR86" s="111"/>
      <c r="AS86" s="111"/>
      <c r="AT86" s="111"/>
      <c r="AU86" s="111"/>
      <c r="AV86" s="111"/>
      <c r="AW86" s="111"/>
      <c r="AX86" s="112">
        <f>SUM(AX87:AX91)</f>
        <v>19.48431</v>
      </c>
      <c r="AY86" s="111"/>
      <c r="AZ86" s="111"/>
      <c r="BA86" s="111"/>
      <c r="BB86" s="111"/>
      <c r="BC86" s="111"/>
      <c r="BD86" s="111"/>
      <c r="BE86" s="111"/>
    </row>
    <row r="87" spans="1:253" ht="12.75">
      <c r="A87" s="104" t="s">
        <v>72</v>
      </c>
      <c r="B87" s="105"/>
      <c r="C87" s="104" t="s">
        <v>271</v>
      </c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4" t="s">
        <v>293</v>
      </c>
      <c r="AB87" s="105"/>
      <c r="AC87" s="106">
        <f>'Stavební rozpočet'!F107</f>
        <v>13</v>
      </c>
      <c r="AD87" s="107"/>
      <c r="AE87" s="107"/>
      <c r="AF87" s="107"/>
      <c r="AG87" s="107"/>
      <c r="AH87" s="106">
        <f>'Stavební rozpočet'!G107</f>
        <v>0</v>
      </c>
      <c r="AI87" s="107"/>
      <c r="AJ87" s="107"/>
      <c r="AK87" s="107"/>
      <c r="AL87" s="107"/>
      <c r="AM87" s="107"/>
      <c r="AN87" s="107"/>
      <c r="AO87" s="107"/>
      <c r="AP87" s="106">
        <f>IR87*AC87+IS87*AC87</f>
        <v>0</v>
      </c>
      <c r="AQ87" s="107"/>
      <c r="AR87" s="107"/>
      <c r="AS87" s="107"/>
      <c r="AT87" s="107"/>
      <c r="AU87" s="107"/>
      <c r="AV87" s="107"/>
      <c r="AW87" s="107"/>
      <c r="AX87" s="106">
        <f>0.00263*AC87</f>
        <v>0.03419</v>
      </c>
      <c r="AY87" s="107"/>
      <c r="AZ87" s="107"/>
      <c r="BA87" s="107"/>
      <c r="BB87" s="107"/>
      <c r="BC87" s="107"/>
      <c r="BD87" s="107"/>
      <c r="BE87" s="107"/>
      <c r="IR87" s="36">
        <f>AH87*0.43018539976825</f>
        <v>0</v>
      </c>
      <c r="IS87" s="36">
        <f>AH87*(1-0.43018539976825)</f>
        <v>0</v>
      </c>
    </row>
    <row r="88" spans="1:253" ht="12.75">
      <c r="A88" s="104" t="s">
        <v>73</v>
      </c>
      <c r="B88" s="105"/>
      <c r="C88" s="104" t="s">
        <v>273</v>
      </c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4" t="s">
        <v>293</v>
      </c>
      <c r="AB88" s="105"/>
      <c r="AC88" s="106">
        <f>'Stavební rozpočet'!F109</f>
        <v>275</v>
      </c>
      <c r="AD88" s="107"/>
      <c r="AE88" s="107"/>
      <c r="AF88" s="107"/>
      <c r="AG88" s="107"/>
      <c r="AH88" s="106">
        <f>'Stavební rozpočet'!G109</f>
        <v>0</v>
      </c>
      <c r="AI88" s="107"/>
      <c r="AJ88" s="107"/>
      <c r="AK88" s="107"/>
      <c r="AL88" s="107"/>
      <c r="AM88" s="107"/>
      <c r="AN88" s="107"/>
      <c r="AO88" s="107"/>
      <c r="AP88" s="106">
        <f>IR88*AC88+IS88*AC88</f>
        <v>0</v>
      </c>
      <c r="AQ88" s="107"/>
      <c r="AR88" s="107"/>
      <c r="AS88" s="107"/>
      <c r="AT88" s="107"/>
      <c r="AU88" s="107"/>
      <c r="AV88" s="107"/>
      <c r="AW88" s="107"/>
      <c r="AX88" s="106">
        <f>0.05449*AC88</f>
        <v>14.984749999999998</v>
      </c>
      <c r="AY88" s="107"/>
      <c r="AZ88" s="107"/>
      <c r="BA88" s="107"/>
      <c r="BB88" s="107"/>
      <c r="BC88" s="107"/>
      <c r="BD88" s="107"/>
      <c r="BE88" s="107"/>
      <c r="IR88" s="36">
        <f>AH88*0.0614173228346457</f>
        <v>0</v>
      </c>
      <c r="IS88" s="36">
        <f>AH88*(1-0.0614173228346457)</f>
        <v>0</v>
      </c>
    </row>
    <row r="89" spans="1:253" ht="12.75">
      <c r="A89" s="104" t="s">
        <v>74</v>
      </c>
      <c r="B89" s="105"/>
      <c r="C89" s="104" t="s">
        <v>274</v>
      </c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4" t="s">
        <v>292</v>
      </c>
      <c r="AB89" s="105"/>
      <c r="AC89" s="106">
        <f>'Stavební rozpočet'!F110</f>
        <v>11</v>
      </c>
      <c r="AD89" s="107"/>
      <c r="AE89" s="107"/>
      <c r="AF89" s="107"/>
      <c r="AG89" s="107"/>
      <c r="AH89" s="106">
        <f>'Stavební rozpočet'!G110</f>
        <v>0</v>
      </c>
      <c r="AI89" s="107"/>
      <c r="AJ89" s="107"/>
      <c r="AK89" s="107"/>
      <c r="AL89" s="107"/>
      <c r="AM89" s="107"/>
      <c r="AN89" s="107"/>
      <c r="AO89" s="107"/>
      <c r="AP89" s="106">
        <f>IR89*AC89+IS89*AC89</f>
        <v>0</v>
      </c>
      <c r="AQ89" s="107"/>
      <c r="AR89" s="107"/>
      <c r="AS89" s="107"/>
      <c r="AT89" s="107"/>
      <c r="AU89" s="107"/>
      <c r="AV89" s="107"/>
      <c r="AW89" s="107"/>
      <c r="AX89" s="106">
        <f>0.02267*AC89</f>
        <v>0.24936999999999998</v>
      </c>
      <c r="AY89" s="107"/>
      <c r="AZ89" s="107"/>
      <c r="BA89" s="107"/>
      <c r="BB89" s="107"/>
      <c r="BC89" s="107"/>
      <c r="BD89" s="107"/>
      <c r="BE89" s="107"/>
      <c r="IR89" s="36">
        <f>AH89*0.0266218487394958</f>
        <v>0</v>
      </c>
      <c r="IS89" s="36">
        <f>AH89*(1-0.0266218487394958)</f>
        <v>0</v>
      </c>
    </row>
    <row r="90" spans="1:253" ht="12.75">
      <c r="A90" s="104" t="s">
        <v>75</v>
      </c>
      <c r="B90" s="105"/>
      <c r="C90" s="104" t="s">
        <v>275</v>
      </c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4" t="s">
        <v>291</v>
      </c>
      <c r="AB90" s="105"/>
      <c r="AC90" s="106">
        <f>'Stavební rozpočet'!F111</f>
        <v>62</v>
      </c>
      <c r="AD90" s="107"/>
      <c r="AE90" s="107"/>
      <c r="AF90" s="107"/>
      <c r="AG90" s="107"/>
      <c r="AH90" s="106">
        <f>'Stavební rozpočet'!G111</f>
        <v>0</v>
      </c>
      <c r="AI90" s="107"/>
      <c r="AJ90" s="107"/>
      <c r="AK90" s="107"/>
      <c r="AL90" s="107"/>
      <c r="AM90" s="107"/>
      <c r="AN90" s="107"/>
      <c r="AO90" s="107"/>
      <c r="AP90" s="106">
        <f>IR90*AC90+IS90*AC90</f>
        <v>0</v>
      </c>
      <c r="AQ90" s="107"/>
      <c r="AR90" s="107"/>
      <c r="AS90" s="107"/>
      <c r="AT90" s="107"/>
      <c r="AU90" s="107"/>
      <c r="AV90" s="107"/>
      <c r="AW90" s="107"/>
      <c r="AX90" s="106">
        <f>0.068*AC90</f>
        <v>4.216</v>
      </c>
      <c r="AY90" s="107"/>
      <c r="AZ90" s="107"/>
      <c r="BA90" s="107"/>
      <c r="BB90" s="107"/>
      <c r="BC90" s="107"/>
      <c r="BD90" s="107"/>
      <c r="BE90" s="107"/>
      <c r="IR90" s="36">
        <f>AH90*0</f>
        <v>0</v>
      </c>
      <c r="IS90" s="36">
        <f>AH90*(1-0)</f>
        <v>0</v>
      </c>
    </row>
    <row r="91" spans="1:253" ht="12.75">
      <c r="A91" s="104" t="s">
        <v>76</v>
      </c>
      <c r="B91" s="105"/>
      <c r="C91" s="104" t="s">
        <v>276</v>
      </c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4" t="s">
        <v>294</v>
      </c>
      <c r="AB91" s="105"/>
      <c r="AC91" s="106">
        <f>'Stavební rozpočet'!F112</f>
        <v>46.8861</v>
      </c>
      <c r="AD91" s="107"/>
      <c r="AE91" s="107"/>
      <c r="AF91" s="107"/>
      <c r="AG91" s="107"/>
      <c r="AH91" s="106">
        <f>'Stavební rozpočet'!G112</f>
        <v>0</v>
      </c>
      <c r="AI91" s="107"/>
      <c r="AJ91" s="107"/>
      <c r="AK91" s="107"/>
      <c r="AL91" s="107"/>
      <c r="AM91" s="107"/>
      <c r="AN91" s="107"/>
      <c r="AO91" s="107"/>
      <c r="AP91" s="106">
        <f>IR91*AC91+IS91*AC91</f>
        <v>0</v>
      </c>
      <c r="AQ91" s="107"/>
      <c r="AR91" s="107"/>
      <c r="AS91" s="107"/>
      <c r="AT91" s="107"/>
      <c r="AU91" s="107"/>
      <c r="AV91" s="107"/>
      <c r="AW91" s="107"/>
      <c r="AX91" s="106">
        <f>0*AC91</f>
        <v>0</v>
      </c>
      <c r="AY91" s="107"/>
      <c r="AZ91" s="107"/>
      <c r="BA91" s="107"/>
      <c r="BB91" s="107"/>
      <c r="BC91" s="107"/>
      <c r="BD91" s="107"/>
      <c r="BE91" s="107"/>
      <c r="IR91" s="36">
        <f>AH91*0</f>
        <v>0</v>
      </c>
      <c r="IS91" s="36">
        <f>AH91*(1-0)</f>
        <v>0</v>
      </c>
    </row>
    <row r="92" spans="1:57" ht="12.75">
      <c r="A92" s="108" t="s">
        <v>6</v>
      </c>
      <c r="B92" s="109"/>
      <c r="C92" s="108" t="s">
        <v>193</v>
      </c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8" t="s">
        <v>6</v>
      </c>
      <c r="AB92" s="109"/>
      <c r="AC92" s="110" t="s">
        <v>6</v>
      </c>
      <c r="AD92" s="111"/>
      <c r="AE92" s="111"/>
      <c r="AF92" s="111"/>
      <c r="AG92" s="111"/>
      <c r="AH92" s="110" t="s">
        <v>6</v>
      </c>
      <c r="AI92" s="111"/>
      <c r="AJ92" s="111"/>
      <c r="AK92" s="111"/>
      <c r="AL92" s="111"/>
      <c r="AM92" s="111"/>
      <c r="AN92" s="111"/>
      <c r="AO92" s="111"/>
      <c r="AP92" s="112">
        <f>SUM(AP93:AP93)</f>
        <v>0</v>
      </c>
      <c r="AQ92" s="111"/>
      <c r="AR92" s="111"/>
      <c r="AS92" s="111"/>
      <c r="AT92" s="111"/>
      <c r="AU92" s="111"/>
      <c r="AV92" s="111"/>
      <c r="AW92" s="111"/>
      <c r="AX92" s="112">
        <f>SUM(AX93:AX93)</f>
        <v>0</v>
      </c>
      <c r="AY92" s="111"/>
      <c r="AZ92" s="111"/>
      <c r="BA92" s="111"/>
      <c r="BB92" s="111"/>
      <c r="BC92" s="111"/>
      <c r="BD92" s="111"/>
      <c r="BE92" s="111"/>
    </row>
    <row r="93" spans="1:253" ht="12.75">
      <c r="A93" s="104" t="s">
        <v>77</v>
      </c>
      <c r="B93" s="105"/>
      <c r="C93" s="104" t="s">
        <v>278</v>
      </c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4" t="s">
        <v>294</v>
      </c>
      <c r="AB93" s="105"/>
      <c r="AC93" s="106">
        <f>'Stavební rozpočet'!F115</f>
        <v>6.2829</v>
      </c>
      <c r="AD93" s="107"/>
      <c r="AE93" s="107"/>
      <c r="AF93" s="107"/>
      <c r="AG93" s="107"/>
      <c r="AH93" s="106">
        <f>'Stavební rozpočet'!G115</f>
        <v>0</v>
      </c>
      <c r="AI93" s="107"/>
      <c r="AJ93" s="107"/>
      <c r="AK93" s="107"/>
      <c r="AL93" s="107"/>
      <c r="AM93" s="107"/>
      <c r="AN93" s="107"/>
      <c r="AO93" s="107"/>
      <c r="AP93" s="106">
        <f>IR93*AC93+IS93*AC93</f>
        <v>0</v>
      </c>
      <c r="AQ93" s="107"/>
      <c r="AR93" s="107"/>
      <c r="AS93" s="107"/>
      <c r="AT93" s="107"/>
      <c r="AU93" s="107"/>
      <c r="AV93" s="107"/>
      <c r="AW93" s="107"/>
      <c r="AX93" s="106">
        <f>0*AC93</f>
        <v>0</v>
      </c>
      <c r="AY93" s="107"/>
      <c r="AZ93" s="107"/>
      <c r="BA93" s="107"/>
      <c r="BB93" s="107"/>
      <c r="BC93" s="107"/>
      <c r="BD93" s="107"/>
      <c r="BE93" s="107"/>
      <c r="IR93" s="36">
        <f>AH93*0</f>
        <v>0</v>
      </c>
      <c r="IS93" s="36">
        <f>AH93*(1-0)</f>
        <v>0</v>
      </c>
    </row>
    <row r="94" spans="1:57" ht="12.75">
      <c r="A94" s="108" t="s">
        <v>6</v>
      </c>
      <c r="B94" s="109"/>
      <c r="C94" s="108" t="s">
        <v>212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8" t="s">
        <v>6</v>
      </c>
      <c r="AB94" s="109"/>
      <c r="AC94" s="110" t="s">
        <v>6</v>
      </c>
      <c r="AD94" s="111"/>
      <c r="AE94" s="111"/>
      <c r="AF94" s="111"/>
      <c r="AG94" s="111"/>
      <c r="AH94" s="110" t="s">
        <v>6</v>
      </c>
      <c r="AI94" s="111"/>
      <c r="AJ94" s="111"/>
      <c r="AK94" s="111"/>
      <c r="AL94" s="111"/>
      <c r="AM94" s="111"/>
      <c r="AN94" s="111"/>
      <c r="AO94" s="111"/>
      <c r="AP94" s="112">
        <f>SUM(AP95:AP95)</f>
        <v>0</v>
      </c>
      <c r="AQ94" s="111"/>
      <c r="AR94" s="111"/>
      <c r="AS94" s="111"/>
      <c r="AT94" s="111"/>
      <c r="AU94" s="111"/>
      <c r="AV94" s="111"/>
      <c r="AW94" s="111"/>
      <c r="AX94" s="112">
        <f>SUM(AX95:AX95)</f>
        <v>0</v>
      </c>
      <c r="AY94" s="111"/>
      <c r="AZ94" s="111"/>
      <c r="BA94" s="111"/>
      <c r="BB94" s="111"/>
      <c r="BC94" s="111"/>
      <c r="BD94" s="111"/>
      <c r="BE94" s="111"/>
    </row>
    <row r="95" spans="1:253" ht="12.75">
      <c r="A95" s="104" t="s">
        <v>78</v>
      </c>
      <c r="B95" s="105"/>
      <c r="C95" s="104" t="s">
        <v>279</v>
      </c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4" t="s">
        <v>294</v>
      </c>
      <c r="AB95" s="105"/>
      <c r="AC95" s="106">
        <f>'Stavební rozpočet'!F117</f>
        <v>8.1964</v>
      </c>
      <c r="AD95" s="107"/>
      <c r="AE95" s="107"/>
      <c r="AF95" s="107"/>
      <c r="AG95" s="107"/>
      <c r="AH95" s="106">
        <f>'Stavební rozpočet'!G117</f>
        <v>0</v>
      </c>
      <c r="AI95" s="107"/>
      <c r="AJ95" s="107"/>
      <c r="AK95" s="107"/>
      <c r="AL95" s="107"/>
      <c r="AM95" s="107"/>
      <c r="AN95" s="107"/>
      <c r="AO95" s="107"/>
      <c r="AP95" s="106">
        <f>IR95*AC95+IS95*AC95</f>
        <v>0</v>
      </c>
      <c r="AQ95" s="107"/>
      <c r="AR95" s="107"/>
      <c r="AS95" s="107"/>
      <c r="AT95" s="107"/>
      <c r="AU95" s="107"/>
      <c r="AV95" s="107"/>
      <c r="AW95" s="107"/>
      <c r="AX95" s="106">
        <f>0*AC95</f>
        <v>0</v>
      </c>
      <c r="AY95" s="107"/>
      <c r="AZ95" s="107"/>
      <c r="BA95" s="107"/>
      <c r="BB95" s="107"/>
      <c r="BC95" s="107"/>
      <c r="BD95" s="107"/>
      <c r="BE95" s="107"/>
      <c r="IR95" s="36">
        <f>AH95*0</f>
        <v>0</v>
      </c>
      <c r="IS95" s="36">
        <f>AH95*(1-0)</f>
        <v>0</v>
      </c>
    </row>
    <row r="96" spans="1:57" ht="12.75">
      <c r="A96" s="108" t="s">
        <v>6</v>
      </c>
      <c r="B96" s="109"/>
      <c r="C96" s="108" t="s">
        <v>248</v>
      </c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8" t="s">
        <v>6</v>
      </c>
      <c r="AB96" s="109"/>
      <c r="AC96" s="110" t="s">
        <v>6</v>
      </c>
      <c r="AD96" s="111"/>
      <c r="AE96" s="111"/>
      <c r="AF96" s="111"/>
      <c r="AG96" s="111"/>
      <c r="AH96" s="110" t="s">
        <v>6</v>
      </c>
      <c r="AI96" s="111"/>
      <c r="AJ96" s="111"/>
      <c r="AK96" s="111"/>
      <c r="AL96" s="111"/>
      <c r="AM96" s="111"/>
      <c r="AN96" s="111"/>
      <c r="AO96" s="111"/>
      <c r="AP96" s="112">
        <f>SUM(AP97:AP97)</f>
        <v>0</v>
      </c>
      <c r="AQ96" s="111"/>
      <c r="AR96" s="111"/>
      <c r="AS96" s="111"/>
      <c r="AT96" s="111"/>
      <c r="AU96" s="111"/>
      <c r="AV96" s="111"/>
      <c r="AW96" s="111"/>
      <c r="AX96" s="112">
        <f>SUM(AX97:AX97)</f>
        <v>0</v>
      </c>
      <c r="AY96" s="111"/>
      <c r="AZ96" s="111"/>
      <c r="BA96" s="111"/>
      <c r="BB96" s="111"/>
      <c r="BC96" s="111"/>
      <c r="BD96" s="111"/>
      <c r="BE96" s="111"/>
    </row>
    <row r="97" spans="1:253" ht="12.75">
      <c r="A97" s="104" t="s">
        <v>79</v>
      </c>
      <c r="B97" s="105"/>
      <c r="C97" s="104" t="s">
        <v>280</v>
      </c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4" t="s">
        <v>294</v>
      </c>
      <c r="AB97" s="105"/>
      <c r="AC97" s="106">
        <f>'Stavební rozpočet'!F119</f>
        <v>2.083</v>
      </c>
      <c r="AD97" s="107"/>
      <c r="AE97" s="107"/>
      <c r="AF97" s="107"/>
      <c r="AG97" s="107"/>
      <c r="AH97" s="106">
        <f>'Stavební rozpočet'!G119</f>
        <v>0</v>
      </c>
      <c r="AI97" s="107"/>
      <c r="AJ97" s="107"/>
      <c r="AK97" s="107"/>
      <c r="AL97" s="107"/>
      <c r="AM97" s="107"/>
      <c r="AN97" s="107"/>
      <c r="AO97" s="107"/>
      <c r="AP97" s="106">
        <f>IR97*AC97+IS97*AC97</f>
        <v>0</v>
      </c>
      <c r="AQ97" s="107"/>
      <c r="AR97" s="107"/>
      <c r="AS97" s="107"/>
      <c r="AT97" s="107"/>
      <c r="AU97" s="107"/>
      <c r="AV97" s="107"/>
      <c r="AW97" s="107"/>
      <c r="AX97" s="106">
        <f>0*AC97</f>
        <v>0</v>
      </c>
      <c r="AY97" s="107"/>
      <c r="AZ97" s="107"/>
      <c r="BA97" s="107"/>
      <c r="BB97" s="107"/>
      <c r="BC97" s="107"/>
      <c r="BD97" s="107"/>
      <c r="BE97" s="107"/>
      <c r="IR97" s="36">
        <f>AH97*0</f>
        <v>0</v>
      </c>
      <c r="IS97" s="36">
        <f>AH97*(1-0)</f>
        <v>0</v>
      </c>
    </row>
    <row r="98" spans="1:57" ht="12.75">
      <c r="A98" s="108" t="s">
        <v>6</v>
      </c>
      <c r="B98" s="109"/>
      <c r="C98" s="108" t="s">
        <v>281</v>
      </c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8" t="s">
        <v>6</v>
      </c>
      <c r="AB98" s="109"/>
      <c r="AC98" s="110" t="s">
        <v>6</v>
      </c>
      <c r="AD98" s="111"/>
      <c r="AE98" s="111"/>
      <c r="AF98" s="111"/>
      <c r="AG98" s="111"/>
      <c r="AH98" s="110" t="s">
        <v>6</v>
      </c>
      <c r="AI98" s="111"/>
      <c r="AJ98" s="111"/>
      <c r="AK98" s="111"/>
      <c r="AL98" s="111"/>
      <c r="AM98" s="111"/>
      <c r="AN98" s="111"/>
      <c r="AO98" s="111"/>
      <c r="AP98" s="112">
        <f>SUM(AP99:AP99)</f>
        <v>0</v>
      </c>
      <c r="AQ98" s="111"/>
      <c r="AR98" s="111"/>
      <c r="AS98" s="111"/>
      <c r="AT98" s="111"/>
      <c r="AU98" s="111"/>
      <c r="AV98" s="111"/>
      <c r="AW98" s="111"/>
      <c r="AX98" s="112">
        <f>SUM(AX99:AX99)</f>
        <v>0</v>
      </c>
      <c r="AY98" s="111"/>
      <c r="AZ98" s="111"/>
      <c r="BA98" s="111"/>
      <c r="BB98" s="111"/>
      <c r="BC98" s="111"/>
      <c r="BD98" s="111"/>
      <c r="BE98" s="111"/>
    </row>
    <row r="99" spans="1:253" ht="12.75">
      <c r="A99" s="104" t="s">
        <v>80</v>
      </c>
      <c r="B99" s="105"/>
      <c r="C99" s="104" t="s">
        <v>282</v>
      </c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4" t="s">
        <v>294</v>
      </c>
      <c r="AB99" s="105"/>
      <c r="AC99" s="106">
        <f>'Stavební rozpočet'!F121</f>
        <v>19.4999</v>
      </c>
      <c r="AD99" s="107"/>
      <c r="AE99" s="107"/>
      <c r="AF99" s="107"/>
      <c r="AG99" s="107"/>
      <c r="AH99" s="106">
        <f>'Stavební rozpočet'!G121</f>
        <v>0</v>
      </c>
      <c r="AI99" s="107"/>
      <c r="AJ99" s="107"/>
      <c r="AK99" s="107"/>
      <c r="AL99" s="107"/>
      <c r="AM99" s="107"/>
      <c r="AN99" s="107"/>
      <c r="AO99" s="107"/>
      <c r="AP99" s="106">
        <f>IR99*AC99+IS99*AC99</f>
        <v>0</v>
      </c>
      <c r="AQ99" s="107"/>
      <c r="AR99" s="107"/>
      <c r="AS99" s="107"/>
      <c r="AT99" s="107"/>
      <c r="AU99" s="107"/>
      <c r="AV99" s="107"/>
      <c r="AW99" s="107"/>
      <c r="AX99" s="106">
        <f>0*AC99</f>
        <v>0</v>
      </c>
      <c r="AY99" s="107"/>
      <c r="AZ99" s="107"/>
      <c r="BA99" s="107"/>
      <c r="BB99" s="107"/>
      <c r="BC99" s="107"/>
      <c r="BD99" s="107"/>
      <c r="BE99" s="107"/>
      <c r="IR99" s="36">
        <f>AH99*0</f>
        <v>0</v>
      </c>
      <c r="IS99" s="36">
        <f>AH99*(1-0)</f>
        <v>0</v>
      </c>
    </row>
    <row r="100" spans="1:57" ht="12.75">
      <c r="A100" s="108" t="s">
        <v>6</v>
      </c>
      <c r="B100" s="109"/>
      <c r="C100" s="108" t="s">
        <v>283</v>
      </c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8" t="s">
        <v>6</v>
      </c>
      <c r="AB100" s="109"/>
      <c r="AC100" s="110" t="s">
        <v>6</v>
      </c>
      <c r="AD100" s="111"/>
      <c r="AE100" s="111"/>
      <c r="AF100" s="111"/>
      <c r="AG100" s="111"/>
      <c r="AH100" s="110" t="s">
        <v>6</v>
      </c>
      <c r="AI100" s="111"/>
      <c r="AJ100" s="111"/>
      <c r="AK100" s="111"/>
      <c r="AL100" s="111"/>
      <c r="AM100" s="111"/>
      <c r="AN100" s="111"/>
      <c r="AO100" s="111"/>
      <c r="AP100" s="113">
        <f>SUM(AP101:AP102)</f>
        <v>0</v>
      </c>
      <c r="AQ100" s="114"/>
      <c r="AR100" s="114"/>
      <c r="AS100" s="114"/>
      <c r="AT100" s="114"/>
      <c r="AU100" s="114"/>
      <c r="AV100" s="114"/>
      <c r="AW100" s="114"/>
      <c r="AX100" s="113">
        <f>SUM(AX101:AX102)</f>
        <v>0</v>
      </c>
      <c r="AY100" s="114"/>
      <c r="AZ100" s="114"/>
      <c r="BA100" s="114"/>
      <c r="BB100" s="114"/>
      <c r="BC100" s="114"/>
      <c r="BD100" s="114"/>
      <c r="BE100" s="114"/>
    </row>
    <row r="101" spans="1:253" ht="12.75">
      <c r="A101" s="104" t="s">
        <v>81</v>
      </c>
      <c r="B101" s="105"/>
      <c r="C101" s="104" t="s">
        <v>284</v>
      </c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4" t="s">
        <v>294</v>
      </c>
      <c r="AB101" s="105"/>
      <c r="AC101" s="106">
        <f>'Stavební rozpočet'!F123</f>
        <v>46.8861</v>
      </c>
      <c r="AD101" s="107"/>
      <c r="AE101" s="107"/>
      <c r="AF101" s="107"/>
      <c r="AG101" s="107"/>
      <c r="AH101" s="106">
        <f>'Stavební rozpočet'!G123</f>
        <v>0</v>
      </c>
      <c r="AI101" s="107"/>
      <c r="AJ101" s="107"/>
      <c r="AK101" s="107"/>
      <c r="AL101" s="107"/>
      <c r="AM101" s="107"/>
      <c r="AN101" s="107"/>
      <c r="AO101" s="107"/>
      <c r="AP101" s="106">
        <f>IR101*AC101+IS101*AC101</f>
        <v>0</v>
      </c>
      <c r="AQ101" s="107"/>
      <c r="AR101" s="107"/>
      <c r="AS101" s="107"/>
      <c r="AT101" s="107"/>
      <c r="AU101" s="107"/>
      <c r="AV101" s="107"/>
      <c r="AW101" s="107"/>
      <c r="AX101" s="106">
        <f>0*AC101</f>
        <v>0</v>
      </c>
      <c r="AY101" s="107"/>
      <c r="AZ101" s="107"/>
      <c r="BA101" s="107"/>
      <c r="BB101" s="107"/>
      <c r="BC101" s="107"/>
      <c r="BD101" s="107"/>
      <c r="BE101" s="107"/>
      <c r="IR101" s="36">
        <f>AH101*0.824484697064335</f>
        <v>0</v>
      </c>
      <c r="IS101" s="36">
        <f>AH101*(1-0.824484697064335)</f>
        <v>0</v>
      </c>
    </row>
    <row r="102" spans="1:253" ht="12.75">
      <c r="A102" s="104" t="s">
        <v>82</v>
      </c>
      <c r="B102" s="105"/>
      <c r="C102" s="104" t="s">
        <v>285</v>
      </c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4" t="s">
        <v>294</v>
      </c>
      <c r="AB102" s="105"/>
      <c r="AC102" s="106">
        <f>'Stavební rozpočet'!F124</f>
        <v>46.8861</v>
      </c>
      <c r="AD102" s="107"/>
      <c r="AE102" s="107"/>
      <c r="AF102" s="107"/>
      <c r="AG102" s="107"/>
      <c r="AH102" s="106">
        <f>'Stavební rozpočet'!G124</f>
        <v>0</v>
      </c>
      <c r="AI102" s="107"/>
      <c r="AJ102" s="107"/>
      <c r="AK102" s="107"/>
      <c r="AL102" s="107"/>
      <c r="AM102" s="107"/>
      <c r="AN102" s="107"/>
      <c r="AO102" s="107"/>
      <c r="AP102" s="106">
        <f>IR102*AC102+IS102*AC102</f>
        <v>0</v>
      </c>
      <c r="AQ102" s="107"/>
      <c r="AR102" s="107"/>
      <c r="AS102" s="107"/>
      <c r="AT102" s="107"/>
      <c r="AU102" s="107"/>
      <c r="AV102" s="107"/>
      <c r="AW102" s="107"/>
      <c r="AX102" s="106">
        <f>0*AC102</f>
        <v>0</v>
      </c>
      <c r="AY102" s="107"/>
      <c r="AZ102" s="107"/>
      <c r="BA102" s="107"/>
      <c r="BB102" s="107"/>
      <c r="BC102" s="107"/>
      <c r="BD102" s="107"/>
      <c r="BE102" s="107"/>
      <c r="IR102" s="36">
        <f>AH102*0</f>
        <v>0</v>
      </c>
      <c r="IS102" s="36">
        <f>AH102*(1-0)</f>
        <v>0</v>
      </c>
    </row>
    <row r="104" spans="34:49" ht="12.75">
      <c r="AH104" s="115" t="s">
        <v>303</v>
      </c>
      <c r="AI104" s="71"/>
      <c r="AJ104" s="71"/>
      <c r="AK104" s="71"/>
      <c r="AL104" s="71"/>
      <c r="AM104" s="71"/>
      <c r="AN104" s="71"/>
      <c r="AO104" s="71"/>
      <c r="AP104" s="116">
        <f>AP11+AP14+AP17+AP20+AP35+AP65+AP69+AP80+AP82+AP84+AP86+AP92+AP94+AP96+AP98+AP100</f>
        <v>0</v>
      </c>
      <c r="AQ104" s="117"/>
      <c r="AR104" s="117"/>
      <c r="AS104" s="117"/>
      <c r="AT104" s="117"/>
      <c r="AU104" s="117"/>
      <c r="AV104" s="117"/>
      <c r="AW104" s="117"/>
    </row>
  </sheetData>
  <sheetProtection/>
  <mergeCells count="678">
    <mergeCell ref="AX102:BE102"/>
    <mergeCell ref="AH104:AO104"/>
    <mergeCell ref="AP104:AW104"/>
    <mergeCell ref="A102:B102"/>
    <mergeCell ref="C102:Z102"/>
    <mergeCell ref="AA102:AB102"/>
    <mergeCell ref="AC102:AG102"/>
    <mergeCell ref="AH102:AO102"/>
    <mergeCell ref="AP102:AW102"/>
    <mergeCell ref="AX100:BE100"/>
    <mergeCell ref="A101:B101"/>
    <mergeCell ref="C101:Z101"/>
    <mergeCell ref="AA101:AB101"/>
    <mergeCell ref="AC101:AG101"/>
    <mergeCell ref="AH101:AO101"/>
    <mergeCell ref="AP101:AW101"/>
    <mergeCell ref="AX101:BE101"/>
    <mergeCell ref="A100:B100"/>
    <mergeCell ref="C100:Z100"/>
    <mergeCell ref="AA100:AB100"/>
    <mergeCell ref="AC100:AG100"/>
    <mergeCell ref="AH100:AO100"/>
    <mergeCell ref="AP100:AW100"/>
    <mergeCell ref="AX98:BE98"/>
    <mergeCell ref="A99:B99"/>
    <mergeCell ref="C99:Z99"/>
    <mergeCell ref="AA99:AB99"/>
    <mergeCell ref="AC99:AG99"/>
    <mergeCell ref="AH99:AO99"/>
    <mergeCell ref="AP99:AW99"/>
    <mergeCell ref="AX99:BE99"/>
    <mergeCell ref="A98:B98"/>
    <mergeCell ref="C98:Z98"/>
    <mergeCell ref="AA98:AB98"/>
    <mergeCell ref="AC98:AG98"/>
    <mergeCell ref="AH98:AO98"/>
    <mergeCell ref="AP98:AW98"/>
    <mergeCell ref="AX96:BE96"/>
    <mergeCell ref="A97:B97"/>
    <mergeCell ref="C97:Z97"/>
    <mergeCell ref="AA97:AB97"/>
    <mergeCell ref="AC97:AG97"/>
    <mergeCell ref="AH97:AO97"/>
    <mergeCell ref="AP97:AW97"/>
    <mergeCell ref="AX97:BE97"/>
    <mergeCell ref="A96:B96"/>
    <mergeCell ref="C96:Z96"/>
    <mergeCell ref="AA96:AB96"/>
    <mergeCell ref="AC96:AG96"/>
    <mergeCell ref="AH96:AO96"/>
    <mergeCell ref="AP96:AW96"/>
    <mergeCell ref="AX94:BE94"/>
    <mergeCell ref="A95:B95"/>
    <mergeCell ref="C95:Z95"/>
    <mergeCell ref="AA95:AB95"/>
    <mergeCell ref="AC95:AG95"/>
    <mergeCell ref="AH95:AO95"/>
    <mergeCell ref="AP95:AW95"/>
    <mergeCell ref="AX95:BE95"/>
    <mergeCell ref="A94:B94"/>
    <mergeCell ref="C94:Z94"/>
    <mergeCell ref="AA94:AB94"/>
    <mergeCell ref="AC94:AG94"/>
    <mergeCell ref="AH94:AO94"/>
    <mergeCell ref="AP94:AW94"/>
    <mergeCell ref="AX92:BE92"/>
    <mergeCell ref="A93:B93"/>
    <mergeCell ref="C93:Z93"/>
    <mergeCell ref="AA93:AB93"/>
    <mergeCell ref="AC93:AG93"/>
    <mergeCell ref="AH93:AO93"/>
    <mergeCell ref="AP93:AW93"/>
    <mergeCell ref="AX93:BE93"/>
    <mergeCell ref="A92:B92"/>
    <mergeCell ref="C92:Z92"/>
    <mergeCell ref="AA92:AB92"/>
    <mergeCell ref="AC92:AG92"/>
    <mergeCell ref="AH92:AO92"/>
    <mergeCell ref="AP92:AW92"/>
    <mergeCell ref="AX90:BE90"/>
    <mergeCell ref="A91:B91"/>
    <mergeCell ref="C91:Z91"/>
    <mergeCell ref="AA91:AB91"/>
    <mergeCell ref="AC91:AG91"/>
    <mergeCell ref="AH91:AO91"/>
    <mergeCell ref="AP91:AW91"/>
    <mergeCell ref="AX91:BE91"/>
    <mergeCell ref="A90:B90"/>
    <mergeCell ref="C90:Z90"/>
    <mergeCell ref="AA90:AB90"/>
    <mergeCell ref="AC90:AG90"/>
    <mergeCell ref="AH90:AO90"/>
    <mergeCell ref="AP90:AW90"/>
    <mergeCell ref="AX88:BE88"/>
    <mergeCell ref="A89:B89"/>
    <mergeCell ref="C89:Z89"/>
    <mergeCell ref="AA89:AB89"/>
    <mergeCell ref="AC89:AG89"/>
    <mergeCell ref="AH89:AO89"/>
    <mergeCell ref="AP89:AW89"/>
    <mergeCell ref="AX89:BE89"/>
    <mergeCell ref="A88:B88"/>
    <mergeCell ref="C88:Z88"/>
    <mergeCell ref="AA88:AB88"/>
    <mergeCell ref="AC88:AG88"/>
    <mergeCell ref="AH88:AO88"/>
    <mergeCell ref="AP88:AW88"/>
    <mergeCell ref="AX86:BE86"/>
    <mergeCell ref="A87:B87"/>
    <mergeCell ref="C87:Z87"/>
    <mergeCell ref="AA87:AB87"/>
    <mergeCell ref="AC87:AG87"/>
    <mergeCell ref="AH87:AO87"/>
    <mergeCell ref="AP87:AW87"/>
    <mergeCell ref="AX87:BE87"/>
    <mergeCell ref="A86:B86"/>
    <mergeCell ref="C86:Z86"/>
    <mergeCell ref="AA86:AB86"/>
    <mergeCell ref="AC86:AG86"/>
    <mergeCell ref="AH86:AO86"/>
    <mergeCell ref="AP86:AW86"/>
    <mergeCell ref="AX84:BE84"/>
    <mergeCell ref="A85:B85"/>
    <mergeCell ref="C85:Z85"/>
    <mergeCell ref="AA85:AB85"/>
    <mergeCell ref="AC85:AG85"/>
    <mergeCell ref="AH85:AO85"/>
    <mergeCell ref="AP85:AW85"/>
    <mergeCell ref="AX85:BE85"/>
    <mergeCell ref="A84:B84"/>
    <mergeCell ref="C84:Z84"/>
    <mergeCell ref="AA84:AB84"/>
    <mergeCell ref="AC84:AG84"/>
    <mergeCell ref="AH84:AO84"/>
    <mergeCell ref="AP84:AW84"/>
    <mergeCell ref="AX82:BE82"/>
    <mergeCell ref="A83:B83"/>
    <mergeCell ref="C83:Z83"/>
    <mergeCell ref="AA83:AB83"/>
    <mergeCell ref="AC83:AG83"/>
    <mergeCell ref="AH83:AO83"/>
    <mergeCell ref="AP83:AW83"/>
    <mergeCell ref="AX83:BE83"/>
    <mergeCell ref="A82:B82"/>
    <mergeCell ref="C82:Z82"/>
    <mergeCell ref="AA82:AB82"/>
    <mergeCell ref="AC82:AG82"/>
    <mergeCell ref="AH82:AO82"/>
    <mergeCell ref="AP82:AW82"/>
    <mergeCell ref="AX80:BE80"/>
    <mergeCell ref="A81:B81"/>
    <mergeCell ref="C81:Z81"/>
    <mergeCell ref="AA81:AB81"/>
    <mergeCell ref="AC81:AG81"/>
    <mergeCell ref="AH81:AO81"/>
    <mergeCell ref="AP81:AW81"/>
    <mergeCell ref="AX81:BE81"/>
    <mergeCell ref="A80:B80"/>
    <mergeCell ref="C80:Z80"/>
    <mergeCell ref="AA80:AB80"/>
    <mergeCell ref="AC80:AG80"/>
    <mergeCell ref="AH80:AO80"/>
    <mergeCell ref="AP80:AW80"/>
    <mergeCell ref="AX78:BE78"/>
    <mergeCell ref="A79:B79"/>
    <mergeCell ref="C79:Z79"/>
    <mergeCell ref="AA79:AB79"/>
    <mergeCell ref="AC79:AG79"/>
    <mergeCell ref="AH79:AO79"/>
    <mergeCell ref="AP79:AW79"/>
    <mergeCell ref="AX79:BE79"/>
    <mergeCell ref="A78:B78"/>
    <mergeCell ref="C78:Z78"/>
    <mergeCell ref="AA78:AB78"/>
    <mergeCell ref="AC78:AG78"/>
    <mergeCell ref="AH78:AO78"/>
    <mergeCell ref="AP78:AW78"/>
    <mergeCell ref="AX76:BE76"/>
    <mergeCell ref="A77:B77"/>
    <mergeCell ref="C77:Z77"/>
    <mergeCell ref="AA77:AB77"/>
    <mergeCell ref="AC77:AG77"/>
    <mergeCell ref="AH77:AO77"/>
    <mergeCell ref="AP77:AW77"/>
    <mergeCell ref="AX77:BE77"/>
    <mergeCell ref="A76:B76"/>
    <mergeCell ref="C76:Z76"/>
    <mergeCell ref="AA76:AB76"/>
    <mergeCell ref="AC76:AG76"/>
    <mergeCell ref="AH76:AO76"/>
    <mergeCell ref="AP76:AW76"/>
    <mergeCell ref="AX74:BE74"/>
    <mergeCell ref="A75:B75"/>
    <mergeCell ref="C75:Z75"/>
    <mergeCell ref="AA75:AB75"/>
    <mergeCell ref="AC75:AG75"/>
    <mergeCell ref="AH75:AO75"/>
    <mergeCell ref="AP75:AW75"/>
    <mergeCell ref="AX75:BE75"/>
    <mergeCell ref="A74:B74"/>
    <mergeCell ref="C74:Z74"/>
    <mergeCell ref="AA74:AB74"/>
    <mergeCell ref="AC74:AG74"/>
    <mergeCell ref="AH74:AO74"/>
    <mergeCell ref="AP74:AW74"/>
    <mergeCell ref="AX72:BE72"/>
    <mergeCell ref="A73:B73"/>
    <mergeCell ref="C73:Z73"/>
    <mergeCell ref="AA73:AB73"/>
    <mergeCell ref="AC73:AG73"/>
    <mergeCell ref="AH73:AO73"/>
    <mergeCell ref="AP73:AW73"/>
    <mergeCell ref="AX73:BE73"/>
    <mergeCell ref="A72:B72"/>
    <mergeCell ref="C72:Z72"/>
    <mergeCell ref="AA72:AB72"/>
    <mergeCell ref="AC72:AG72"/>
    <mergeCell ref="AH72:AO72"/>
    <mergeCell ref="AP72:AW72"/>
    <mergeCell ref="AX70:BE70"/>
    <mergeCell ref="A71:B71"/>
    <mergeCell ref="C71:Z71"/>
    <mergeCell ref="AA71:AB71"/>
    <mergeCell ref="AC71:AG71"/>
    <mergeCell ref="AH71:AO71"/>
    <mergeCell ref="AP71:AW71"/>
    <mergeCell ref="AX71:BE71"/>
    <mergeCell ref="A70:B70"/>
    <mergeCell ref="C70:Z70"/>
    <mergeCell ref="AA70:AB70"/>
    <mergeCell ref="AC70:AG70"/>
    <mergeCell ref="AH70:AO70"/>
    <mergeCell ref="AP70:AW70"/>
    <mergeCell ref="AX68:BE68"/>
    <mergeCell ref="A69:B69"/>
    <mergeCell ref="C69:Z69"/>
    <mergeCell ref="AA69:AB69"/>
    <mergeCell ref="AC69:AG69"/>
    <mergeCell ref="AH69:AO69"/>
    <mergeCell ref="AP69:AW69"/>
    <mergeCell ref="AX69:BE69"/>
    <mergeCell ref="A68:B68"/>
    <mergeCell ref="C68:Z68"/>
    <mergeCell ref="AA68:AB68"/>
    <mergeCell ref="AC68:AG68"/>
    <mergeCell ref="AH68:AO68"/>
    <mergeCell ref="AP68:AW68"/>
    <mergeCell ref="AX66:BE66"/>
    <mergeCell ref="A67:B67"/>
    <mergeCell ref="C67:Z67"/>
    <mergeCell ref="AA67:AB67"/>
    <mergeCell ref="AC67:AG67"/>
    <mergeCell ref="AH67:AO67"/>
    <mergeCell ref="AP67:AW67"/>
    <mergeCell ref="AX67:BE67"/>
    <mergeCell ref="A66:B66"/>
    <mergeCell ref="C66:Z66"/>
    <mergeCell ref="AA66:AB66"/>
    <mergeCell ref="AC66:AG66"/>
    <mergeCell ref="AH66:AO66"/>
    <mergeCell ref="AP66:AW66"/>
    <mergeCell ref="AX64:BE64"/>
    <mergeCell ref="A65:B65"/>
    <mergeCell ref="C65:Z65"/>
    <mergeCell ref="AA65:AB65"/>
    <mergeCell ref="AC65:AG65"/>
    <mergeCell ref="AH65:AO65"/>
    <mergeCell ref="AP65:AW65"/>
    <mergeCell ref="AX65:BE65"/>
    <mergeCell ref="A64:B64"/>
    <mergeCell ref="C64:Z64"/>
    <mergeCell ref="AA64:AB64"/>
    <mergeCell ref="AC64:AG64"/>
    <mergeCell ref="AH64:AO64"/>
    <mergeCell ref="AP64:AW64"/>
    <mergeCell ref="AX62:BE62"/>
    <mergeCell ref="A63:B63"/>
    <mergeCell ref="C63:Z63"/>
    <mergeCell ref="AA63:AB63"/>
    <mergeCell ref="AC63:AG63"/>
    <mergeCell ref="AH63:AO63"/>
    <mergeCell ref="AP63:AW63"/>
    <mergeCell ref="AX63:BE63"/>
    <mergeCell ref="A62:B62"/>
    <mergeCell ref="C62:Z62"/>
    <mergeCell ref="AA62:AB62"/>
    <mergeCell ref="AC62:AG62"/>
    <mergeCell ref="AH62:AO62"/>
    <mergeCell ref="AP62:AW62"/>
    <mergeCell ref="AX60:BE60"/>
    <mergeCell ref="A61:B61"/>
    <mergeCell ref="C61:Z61"/>
    <mergeCell ref="AA61:AB61"/>
    <mergeCell ref="AC61:AG61"/>
    <mergeCell ref="AH61:AO61"/>
    <mergeCell ref="AP61:AW61"/>
    <mergeCell ref="AX61:BE61"/>
    <mergeCell ref="A60:B60"/>
    <mergeCell ref="C60:Z60"/>
    <mergeCell ref="AA60:AB60"/>
    <mergeCell ref="AC60:AG60"/>
    <mergeCell ref="AH60:AO60"/>
    <mergeCell ref="AP60:AW60"/>
    <mergeCell ref="AX58:BE58"/>
    <mergeCell ref="A59:B59"/>
    <mergeCell ref="C59:Z59"/>
    <mergeCell ref="AA59:AB59"/>
    <mergeCell ref="AC59:AG59"/>
    <mergeCell ref="AH59:AO59"/>
    <mergeCell ref="AP59:AW59"/>
    <mergeCell ref="AX59:BE59"/>
    <mergeCell ref="A58:B58"/>
    <mergeCell ref="C58:Z58"/>
    <mergeCell ref="AA58:AB58"/>
    <mergeCell ref="AC58:AG58"/>
    <mergeCell ref="AH58:AO58"/>
    <mergeCell ref="AP58:AW58"/>
    <mergeCell ref="AX56:BE56"/>
    <mergeCell ref="A57:B57"/>
    <mergeCell ref="C57:Z57"/>
    <mergeCell ref="AA57:AB57"/>
    <mergeCell ref="AC57:AG57"/>
    <mergeCell ref="AH57:AO57"/>
    <mergeCell ref="AP57:AW57"/>
    <mergeCell ref="AX57:BE57"/>
    <mergeCell ref="A56:B56"/>
    <mergeCell ref="C56:Z56"/>
    <mergeCell ref="AA56:AB56"/>
    <mergeCell ref="AC56:AG56"/>
    <mergeCell ref="AH56:AO56"/>
    <mergeCell ref="AP56:AW56"/>
    <mergeCell ref="AX54:BE54"/>
    <mergeCell ref="A55:B55"/>
    <mergeCell ref="C55:Z55"/>
    <mergeCell ref="AA55:AB55"/>
    <mergeCell ref="AC55:AG55"/>
    <mergeCell ref="AH55:AO55"/>
    <mergeCell ref="AP55:AW55"/>
    <mergeCell ref="AX55:BE55"/>
    <mergeCell ref="A54:B54"/>
    <mergeCell ref="C54:Z54"/>
    <mergeCell ref="AA54:AB54"/>
    <mergeCell ref="AC54:AG54"/>
    <mergeCell ref="AH54:AO54"/>
    <mergeCell ref="AP54:AW54"/>
    <mergeCell ref="AX52:BE52"/>
    <mergeCell ref="A53:B53"/>
    <mergeCell ref="C53:Z53"/>
    <mergeCell ref="AA53:AB53"/>
    <mergeCell ref="AC53:AG53"/>
    <mergeCell ref="AH53:AO53"/>
    <mergeCell ref="AP53:AW53"/>
    <mergeCell ref="AX53:BE53"/>
    <mergeCell ref="A52:B52"/>
    <mergeCell ref="C52:Z52"/>
    <mergeCell ref="AA52:AB52"/>
    <mergeCell ref="AC52:AG52"/>
    <mergeCell ref="AH52:AO52"/>
    <mergeCell ref="AP52:AW52"/>
    <mergeCell ref="AX50:BE50"/>
    <mergeCell ref="A51:B51"/>
    <mergeCell ref="C51:Z51"/>
    <mergeCell ref="AA51:AB51"/>
    <mergeCell ref="AC51:AG51"/>
    <mergeCell ref="AH51:AO51"/>
    <mergeCell ref="AP51:AW51"/>
    <mergeCell ref="AX51:BE51"/>
    <mergeCell ref="A50:B50"/>
    <mergeCell ref="C50:Z50"/>
    <mergeCell ref="AA50:AB50"/>
    <mergeCell ref="AC50:AG50"/>
    <mergeCell ref="AH50:AO50"/>
    <mergeCell ref="AP50:AW50"/>
    <mergeCell ref="AX48:BE48"/>
    <mergeCell ref="A49:B49"/>
    <mergeCell ref="C49:Z49"/>
    <mergeCell ref="AA49:AB49"/>
    <mergeCell ref="AC49:AG49"/>
    <mergeCell ref="AH49:AO49"/>
    <mergeCell ref="AP49:AW49"/>
    <mergeCell ref="AX49:BE49"/>
    <mergeCell ref="A48:B48"/>
    <mergeCell ref="C48:Z48"/>
    <mergeCell ref="AA48:AB48"/>
    <mergeCell ref="AC48:AG48"/>
    <mergeCell ref="AH48:AO48"/>
    <mergeCell ref="AP48:AW48"/>
    <mergeCell ref="AX46:BE46"/>
    <mergeCell ref="A47:B47"/>
    <mergeCell ref="C47:Z47"/>
    <mergeCell ref="AA47:AB47"/>
    <mergeCell ref="AC47:AG47"/>
    <mergeCell ref="AH47:AO47"/>
    <mergeCell ref="AP47:AW47"/>
    <mergeCell ref="AX47:BE47"/>
    <mergeCell ref="A46:B46"/>
    <mergeCell ref="C46:Z46"/>
    <mergeCell ref="AA46:AB46"/>
    <mergeCell ref="AC46:AG46"/>
    <mergeCell ref="AH46:AO46"/>
    <mergeCell ref="AP46:AW46"/>
    <mergeCell ref="AX44:BE44"/>
    <mergeCell ref="A45:B45"/>
    <mergeCell ref="C45:Z45"/>
    <mergeCell ref="AA45:AB45"/>
    <mergeCell ref="AC45:AG45"/>
    <mergeCell ref="AH45:AO45"/>
    <mergeCell ref="AP45:AW45"/>
    <mergeCell ref="AX45:BE45"/>
    <mergeCell ref="A44:B44"/>
    <mergeCell ref="C44:Z44"/>
    <mergeCell ref="AA44:AB44"/>
    <mergeCell ref="AC44:AG44"/>
    <mergeCell ref="AH44:AO44"/>
    <mergeCell ref="AP44:AW44"/>
    <mergeCell ref="AX42:BE42"/>
    <mergeCell ref="A43:B43"/>
    <mergeCell ref="C43:Z43"/>
    <mergeCell ref="AA43:AB43"/>
    <mergeCell ref="AC43:AG43"/>
    <mergeCell ref="AH43:AO43"/>
    <mergeCell ref="AP43:AW43"/>
    <mergeCell ref="AX43:BE43"/>
    <mergeCell ref="A42:B42"/>
    <mergeCell ref="C42:Z42"/>
    <mergeCell ref="AA42:AB42"/>
    <mergeCell ref="AC42:AG42"/>
    <mergeCell ref="AH42:AO42"/>
    <mergeCell ref="AP42:AW42"/>
    <mergeCell ref="AX40:BE40"/>
    <mergeCell ref="A41:B41"/>
    <mergeCell ref="C41:Z41"/>
    <mergeCell ref="AA41:AB41"/>
    <mergeCell ref="AC41:AG41"/>
    <mergeCell ref="AH41:AO41"/>
    <mergeCell ref="AP41:AW41"/>
    <mergeCell ref="AX41:BE41"/>
    <mergeCell ref="A40:B40"/>
    <mergeCell ref="C40:Z40"/>
    <mergeCell ref="AA40:AB40"/>
    <mergeCell ref="AC40:AG40"/>
    <mergeCell ref="AH40:AO40"/>
    <mergeCell ref="AP40:AW40"/>
    <mergeCell ref="AX38:BE38"/>
    <mergeCell ref="A39:B39"/>
    <mergeCell ref="C39:Z39"/>
    <mergeCell ref="AA39:AB39"/>
    <mergeCell ref="AC39:AG39"/>
    <mergeCell ref="AH39:AO39"/>
    <mergeCell ref="AP39:AW39"/>
    <mergeCell ref="AX39:BE39"/>
    <mergeCell ref="A38:B38"/>
    <mergeCell ref="C38:Z38"/>
    <mergeCell ref="AA38:AB38"/>
    <mergeCell ref="AC38:AG38"/>
    <mergeCell ref="AH38:AO38"/>
    <mergeCell ref="AP38:AW38"/>
    <mergeCell ref="AX36:BE36"/>
    <mergeCell ref="A37:B37"/>
    <mergeCell ref="C37:Z37"/>
    <mergeCell ref="AA37:AB37"/>
    <mergeCell ref="AC37:AG37"/>
    <mergeCell ref="AH37:AO37"/>
    <mergeCell ref="AP37:AW37"/>
    <mergeCell ref="AX37:BE37"/>
    <mergeCell ref="A36:B36"/>
    <mergeCell ref="C36:Z36"/>
    <mergeCell ref="AA36:AB36"/>
    <mergeCell ref="AC36:AG36"/>
    <mergeCell ref="AH36:AO36"/>
    <mergeCell ref="AP36:AW36"/>
    <mergeCell ref="AX34:BE34"/>
    <mergeCell ref="A35:B35"/>
    <mergeCell ref="C35:Z35"/>
    <mergeCell ref="AA35:AB35"/>
    <mergeCell ref="AC35:AG35"/>
    <mergeCell ref="AH35:AO35"/>
    <mergeCell ref="AP35:AW35"/>
    <mergeCell ref="AX35:BE35"/>
    <mergeCell ref="A34:B34"/>
    <mergeCell ref="C34:Z34"/>
    <mergeCell ref="AA34:AB34"/>
    <mergeCell ref="AC34:AG34"/>
    <mergeCell ref="AH34:AO34"/>
    <mergeCell ref="AP34:AW34"/>
    <mergeCell ref="AX32:BE32"/>
    <mergeCell ref="A33:B33"/>
    <mergeCell ref="C33:Z33"/>
    <mergeCell ref="AA33:AB33"/>
    <mergeCell ref="AC33:AG33"/>
    <mergeCell ref="AH33:AO33"/>
    <mergeCell ref="AP33:AW33"/>
    <mergeCell ref="AX33:BE33"/>
    <mergeCell ref="A32:B32"/>
    <mergeCell ref="C32:Z32"/>
    <mergeCell ref="AA32:AB32"/>
    <mergeCell ref="AC32:AG32"/>
    <mergeCell ref="AH32:AO32"/>
    <mergeCell ref="AP32:AW32"/>
    <mergeCell ref="AX30:BE30"/>
    <mergeCell ref="A31:B31"/>
    <mergeCell ref="C31:Z31"/>
    <mergeCell ref="AA31:AB31"/>
    <mergeCell ref="AC31:AG31"/>
    <mergeCell ref="AH31:AO31"/>
    <mergeCell ref="AP31:AW31"/>
    <mergeCell ref="AX31:BE31"/>
    <mergeCell ref="A30:B30"/>
    <mergeCell ref="C30:Z30"/>
    <mergeCell ref="AA30:AB30"/>
    <mergeCell ref="AC30:AG30"/>
    <mergeCell ref="AH30:AO30"/>
    <mergeCell ref="AP30:AW30"/>
    <mergeCell ref="AX28:BE28"/>
    <mergeCell ref="A29:B29"/>
    <mergeCell ref="C29:Z29"/>
    <mergeCell ref="AA29:AB29"/>
    <mergeCell ref="AC29:AG29"/>
    <mergeCell ref="AH29:AO29"/>
    <mergeCell ref="AP29:AW29"/>
    <mergeCell ref="AX29:BE29"/>
    <mergeCell ref="A28:B28"/>
    <mergeCell ref="C28:Z28"/>
    <mergeCell ref="AA28:AB28"/>
    <mergeCell ref="AC28:AG28"/>
    <mergeCell ref="AH28:AO28"/>
    <mergeCell ref="AP28:AW28"/>
    <mergeCell ref="AX26:BE26"/>
    <mergeCell ref="A27:B27"/>
    <mergeCell ref="C27:Z27"/>
    <mergeCell ref="AA27:AB27"/>
    <mergeCell ref="AC27:AG27"/>
    <mergeCell ref="AH27:AO27"/>
    <mergeCell ref="AP27:AW27"/>
    <mergeCell ref="AX27:BE27"/>
    <mergeCell ref="A26:B26"/>
    <mergeCell ref="C26:Z26"/>
    <mergeCell ref="AA26:AB26"/>
    <mergeCell ref="AC26:AG26"/>
    <mergeCell ref="AH26:AO26"/>
    <mergeCell ref="AP26:AW26"/>
    <mergeCell ref="AX24:BE24"/>
    <mergeCell ref="A25:B25"/>
    <mergeCell ref="C25:Z25"/>
    <mergeCell ref="AA25:AB25"/>
    <mergeCell ref="AC25:AG25"/>
    <mergeCell ref="AH25:AO25"/>
    <mergeCell ref="AP25:AW25"/>
    <mergeCell ref="AX25:BE25"/>
    <mergeCell ref="A24:B24"/>
    <mergeCell ref="C24:Z24"/>
    <mergeCell ref="AA24:AB24"/>
    <mergeCell ref="AC24:AG24"/>
    <mergeCell ref="AH24:AO24"/>
    <mergeCell ref="AP24:AW24"/>
    <mergeCell ref="AX22:BE22"/>
    <mergeCell ref="A23:B23"/>
    <mergeCell ref="C23:Z23"/>
    <mergeCell ref="AA23:AB23"/>
    <mergeCell ref="AC23:AG23"/>
    <mergeCell ref="AH23:AO23"/>
    <mergeCell ref="AP23:AW23"/>
    <mergeCell ref="AX23:BE23"/>
    <mergeCell ref="A22:B22"/>
    <mergeCell ref="C22:Z22"/>
    <mergeCell ref="AA22:AB22"/>
    <mergeCell ref="AC22:AG22"/>
    <mergeCell ref="AH22:AO22"/>
    <mergeCell ref="AP22:AW22"/>
    <mergeCell ref="AX20:BE20"/>
    <mergeCell ref="A21:B21"/>
    <mergeCell ref="C21:Z21"/>
    <mergeCell ref="AA21:AB21"/>
    <mergeCell ref="AC21:AG21"/>
    <mergeCell ref="AH21:AO21"/>
    <mergeCell ref="AP21:AW21"/>
    <mergeCell ref="AX21:BE21"/>
    <mergeCell ref="A20:B20"/>
    <mergeCell ref="C20:Z20"/>
    <mergeCell ref="AA20:AB20"/>
    <mergeCell ref="AC20:AG20"/>
    <mergeCell ref="AH20:AO20"/>
    <mergeCell ref="AP20:AW20"/>
    <mergeCell ref="AX18:BE18"/>
    <mergeCell ref="A19:B19"/>
    <mergeCell ref="C19:Z19"/>
    <mergeCell ref="AA19:AB19"/>
    <mergeCell ref="AC19:AG19"/>
    <mergeCell ref="AH19:AO19"/>
    <mergeCell ref="AP19:AW19"/>
    <mergeCell ref="AX19:BE19"/>
    <mergeCell ref="A18:B18"/>
    <mergeCell ref="C18:Z18"/>
    <mergeCell ref="AA18:AB18"/>
    <mergeCell ref="AC18:AG18"/>
    <mergeCell ref="AH18:AO18"/>
    <mergeCell ref="AP18:AW18"/>
    <mergeCell ref="AX16:BE16"/>
    <mergeCell ref="A17:B17"/>
    <mergeCell ref="C17:Z17"/>
    <mergeCell ref="AA17:AB17"/>
    <mergeCell ref="AC17:AG17"/>
    <mergeCell ref="AH17:AO17"/>
    <mergeCell ref="AP17:AW17"/>
    <mergeCell ref="AX17:BE17"/>
    <mergeCell ref="A16:B16"/>
    <mergeCell ref="C16:Z16"/>
    <mergeCell ref="AA16:AB16"/>
    <mergeCell ref="AC16:AG16"/>
    <mergeCell ref="AH16:AO16"/>
    <mergeCell ref="AP16:AW16"/>
    <mergeCell ref="AX14:BE14"/>
    <mergeCell ref="A15:B15"/>
    <mergeCell ref="C15:Z15"/>
    <mergeCell ref="AA15:AB15"/>
    <mergeCell ref="AC15:AG15"/>
    <mergeCell ref="AH15:AO15"/>
    <mergeCell ref="AP15:AW15"/>
    <mergeCell ref="AX15:BE15"/>
    <mergeCell ref="A14:B14"/>
    <mergeCell ref="C14:Z14"/>
    <mergeCell ref="AA14:AB14"/>
    <mergeCell ref="AC14:AG14"/>
    <mergeCell ref="AH14:AO14"/>
    <mergeCell ref="AP14:AW14"/>
    <mergeCell ref="AX12:BE12"/>
    <mergeCell ref="A13:B13"/>
    <mergeCell ref="C13:Z13"/>
    <mergeCell ref="AA13:AB13"/>
    <mergeCell ref="AC13:AG13"/>
    <mergeCell ref="AH13:AO13"/>
    <mergeCell ref="AP13:AW13"/>
    <mergeCell ref="AX13:BE13"/>
    <mergeCell ref="A12:B12"/>
    <mergeCell ref="C12:Z12"/>
    <mergeCell ref="AA12:AB12"/>
    <mergeCell ref="AC12:AG12"/>
    <mergeCell ref="AH12:AO12"/>
    <mergeCell ref="AP12:AW12"/>
    <mergeCell ref="AX10:BE10"/>
    <mergeCell ref="A11:B11"/>
    <mergeCell ref="C11:Z11"/>
    <mergeCell ref="AA11:AB11"/>
    <mergeCell ref="AC11:AG11"/>
    <mergeCell ref="AH11:AO11"/>
    <mergeCell ref="AP11:AW11"/>
    <mergeCell ref="AX11:BE11"/>
    <mergeCell ref="A10:B10"/>
    <mergeCell ref="C10:Z10"/>
    <mergeCell ref="AA10:AB10"/>
    <mergeCell ref="AC10:AG10"/>
    <mergeCell ref="AH10:AO10"/>
    <mergeCell ref="AP10:AW10"/>
    <mergeCell ref="A8:E9"/>
    <mergeCell ref="F8:AI9"/>
    <mergeCell ref="AJ8:AP9"/>
    <mergeCell ref="AQ8:AV9"/>
    <mergeCell ref="AW8:BC9"/>
    <mergeCell ref="BD8:BE9"/>
    <mergeCell ref="A6:E7"/>
    <mergeCell ref="F6:AI7"/>
    <mergeCell ref="AJ6:AP7"/>
    <mergeCell ref="AQ6:AV7"/>
    <mergeCell ref="AW6:BC7"/>
    <mergeCell ref="BD6:BE7"/>
    <mergeCell ref="A4:E5"/>
    <mergeCell ref="F4:AI5"/>
    <mergeCell ref="AJ4:AP5"/>
    <mergeCell ref="AQ4:AV5"/>
    <mergeCell ref="AW4:BC5"/>
    <mergeCell ref="BD4:BE5"/>
    <mergeCell ref="A1:BE1"/>
    <mergeCell ref="A2:E3"/>
    <mergeCell ref="F2:AI3"/>
    <mergeCell ref="AJ2:AP3"/>
    <mergeCell ref="AQ2:AV3"/>
    <mergeCell ref="AW2:BC3"/>
    <mergeCell ref="BD2:BE3"/>
  </mergeCells>
  <printOptions/>
  <pageMargins left="0.394" right="0.394" top="0.591" bottom="0.591" header="0.5" footer="0.5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K12" sqref="K12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3"/>
      <c r="B1" s="37"/>
      <c r="C1" s="118" t="s">
        <v>364</v>
      </c>
      <c r="D1" s="119"/>
      <c r="E1" s="119"/>
      <c r="F1" s="119"/>
      <c r="G1" s="119"/>
      <c r="H1" s="119"/>
      <c r="I1" s="119"/>
    </row>
    <row r="2" spans="1:10" ht="12.75">
      <c r="A2" s="66" t="s">
        <v>1</v>
      </c>
      <c r="B2" s="67"/>
      <c r="C2" s="70" t="s">
        <v>174</v>
      </c>
      <c r="D2" s="91"/>
      <c r="E2" s="73" t="s">
        <v>304</v>
      </c>
      <c r="F2" s="73"/>
      <c r="G2" s="67"/>
      <c r="H2" s="73" t="s">
        <v>390</v>
      </c>
      <c r="I2" s="120"/>
      <c r="J2" s="29"/>
    </row>
    <row r="3" spans="1:10" ht="12.75">
      <c r="A3" s="68"/>
      <c r="B3" s="69"/>
      <c r="C3" s="71"/>
      <c r="D3" s="71"/>
      <c r="E3" s="69"/>
      <c r="F3" s="69"/>
      <c r="G3" s="69"/>
      <c r="H3" s="69"/>
      <c r="I3" s="75"/>
      <c r="J3" s="29"/>
    </row>
    <row r="4" spans="1:10" ht="12.75">
      <c r="A4" s="76" t="s">
        <v>2</v>
      </c>
      <c r="B4" s="69"/>
      <c r="C4" s="77" t="s">
        <v>175</v>
      </c>
      <c r="D4" s="69"/>
      <c r="E4" s="77" t="s">
        <v>305</v>
      </c>
      <c r="F4" s="77" t="s">
        <v>309</v>
      </c>
      <c r="G4" s="69"/>
      <c r="H4" s="77" t="s">
        <v>390</v>
      </c>
      <c r="I4" s="121"/>
      <c r="J4" s="29"/>
    </row>
    <row r="5" spans="1:10" ht="12.75">
      <c r="A5" s="68"/>
      <c r="B5" s="69"/>
      <c r="C5" s="69"/>
      <c r="D5" s="69"/>
      <c r="E5" s="69"/>
      <c r="F5" s="69"/>
      <c r="G5" s="69"/>
      <c r="H5" s="69"/>
      <c r="I5" s="75"/>
      <c r="J5" s="29"/>
    </row>
    <row r="6" spans="1:10" ht="12.75">
      <c r="A6" s="76" t="s">
        <v>3</v>
      </c>
      <c r="B6" s="69"/>
      <c r="C6" s="77" t="s">
        <v>176</v>
      </c>
      <c r="D6" s="69"/>
      <c r="E6" s="77" t="s">
        <v>306</v>
      </c>
      <c r="F6" s="77" t="s">
        <v>310</v>
      </c>
      <c r="G6" s="69"/>
      <c r="H6" s="77" t="s">
        <v>390</v>
      </c>
      <c r="I6" s="121"/>
      <c r="J6" s="29"/>
    </row>
    <row r="7" spans="1:10" ht="12.75">
      <c r="A7" s="68"/>
      <c r="B7" s="69"/>
      <c r="C7" s="69"/>
      <c r="D7" s="69"/>
      <c r="E7" s="69"/>
      <c r="F7" s="69"/>
      <c r="G7" s="69"/>
      <c r="H7" s="69"/>
      <c r="I7" s="75"/>
      <c r="J7" s="29"/>
    </row>
    <row r="8" spans="1:10" ht="12.75">
      <c r="A8" s="76" t="s">
        <v>287</v>
      </c>
      <c r="B8" s="69"/>
      <c r="C8" s="78" t="s">
        <v>6</v>
      </c>
      <c r="D8" s="69"/>
      <c r="E8" s="77" t="s">
        <v>288</v>
      </c>
      <c r="F8" s="69"/>
      <c r="G8" s="69"/>
      <c r="H8" s="78" t="s">
        <v>391</v>
      </c>
      <c r="I8" s="121" t="s">
        <v>82</v>
      </c>
      <c r="J8" s="29"/>
    </row>
    <row r="9" spans="1:10" ht="12.75">
      <c r="A9" s="68"/>
      <c r="B9" s="69"/>
      <c r="C9" s="69"/>
      <c r="D9" s="69"/>
      <c r="E9" s="69"/>
      <c r="F9" s="69"/>
      <c r="G9" s="69"/>
      <c r="H9" s="69"/>
      <c r="I9" s="75"/>
      <c r="J9" s="29"/>
    </row>
    <row r="10" spans="1:10" ht="12.75">
      <c r="A10" s="76" t="s">
        <v>4</v>
      </c>
      <c r="B10" s="69"/>
      <c r="C10" s="77">
        <v>8035</v>
      </c>
      <c r="D10" s="69"/>
      <c r="E10" s="77" t="s">
        <v>307</v>
      </c>
      <c r="F10" s="77"/>
      <c r="G10" s="69"/>
      <c r="H10" s="78" t="s">
        <v>392</v>
      </c>
      <c r="I10" s="122">
        <v>43033</v>
      </c>
      <c r="J10" s="29"/>
    </row>
    <row r="11" spans="1:10" ht="12.75">
      <c r="A11" s="92"/>
      <c r="B11" s="93"/>
      <c r="C11" s="93"/>
      <c r="D11" s="93"/>
      <c r="E11" s="93"/>
      <c r="F11" s="93"/>
      <c r="G11" s="93"/>
      <c r="H11" s="93"/>
      <c r="I11" s="94"/>
      <c r="J11" s="29"/>
    </row>
    <row r="12" spans="1:9" ht="23.25" customHeight="1">
      <c r="A12" s="123" t="s">
        <v>349</v>
      </c>
      <c r="B12" s="124"/>
      <c r="C12" s="124"/>
      <c r="D12" s="124"/>
      <c r="E12" s="124"/>
      <c r="F12" s="124"/>
      <c r="G12" s="124"/>
      <c r="H12" s="124"/>
      <c r="I12" s="124"/>
    </row>
    <row r="13" spans="1:10" ht="26.25" customHeight="1">
      <c r="A13" s="38" t="s">
        <v>350</v>
      </c>
      <c r="B13" s="125" t="s">
        <v>362</v>
      </c>
      <c r="C13" s="126"/>
      <c r="D13" s="38" t="s">
        <v>365</v>
      </c>
      <c r="E13" s="125" t="s">
        <v>375</v>
      </c>
      <c r="F13" s="126"/>
      <c r="G13" s="38" t="s">
        <v>376</v>
      </c>
      <c r="H13" s="125" t="s">
        <v>393</v>
      </c>
      <c r="I13" s="126"/>
      <c r="J13" s="29"/>
    </row>
    <row r="14" spans="1:10" ht="15" customHeight="1">
      <c r="A14" s="39" t="s">
        <v>351</v>
      </c>
      <c r="B14" s="43" t="s">
        <v>363</v>
      </c>
      <c r="C14" s="47">
        <f>SUM('Stavební rozpočet'!R12:R124)</f>
        <v>0</v>
      </c>
      <c r="D14" s="127" t="s">
        <v>366</v>
      </c>
      <c r="E14" s="128"/>
      <c r="F14" s="47">
        <f>VORN!I15</f>
        <v>0</v>
      </c>
      <c r="G14" s="127" t="s">
        <v>377</v>
      </c>
      <c r="H14" s="128"/>
      <c r="I14" s="47">
        <f>VORN!I22</f>
        <v>0</v>
      </c>
      <c r="J14" s="29"/>
    </row>
    <row r="15" spans="1:10" ht="15" customHeight="1">
      <c r="A15" s="40"/>
      <c r="B15" s="43" t="s">
        <v>308</v>
      </c>
      <c r="C15" s="47">
        <f>SUM('Stavební rozpočet'!S12:S124)</f>
        <v>0</v>
      </c>
      <c r="D15" s="127" t="s">
        <v>367</v>
      </c>
      <c r="E15" s="128"/>
      <c r="F15" s="47">
        <f>VORN!I16</f>
        <v>0</v>
      </c>
      <c r="G15" s="127" t="s">
        <v>378</v>
      </c>
      <c r="H15" s="128"/>
      <c r="I15" s="47">
        <f>VORN!I23</f>
        <v>0</v>
      </c>
      <c r="J15" s="29"/>
    </row>
    <row r="16" spans="1:10" ht="15" customHeight="1">
      <c r="A16" s="39" t="s">
        <v>352</v>
      </c>
      <c r="B16" s="43" t="s">
        <v>363</v>
      </c>
      <c r="C16" s="47">
        <f>SUM('Stavební rozpočet'!T12:T124)</f>
        <v>0</v>
      </c>
      <c r="D16" s="127" t="s">
        <v>368</v>
      </c>
      <c r="E16" s="128"/>
      <c r="F16" s="47">
        <f>VORN!I17</f>
        <v>0</v>
      </c>
      <c r="G16" s="127" t="s">
        <v>379</v>
      </c>
      <c r="H16" s="128"/>
      <c r="I16" s="47">
        <f>VORN!I24</f>
        <v>0</v>
      </c>
      <c r="J16" s="29"/>
    </row>
    <row r="17" spans="1:10" ht="15" customHeight="1">
      <c r="A17" s="40"/>
      <c r="B17" s="43" t="s">
        <v>308</v>
      </c>
      <c r="C17" s="47">
        <f>SUM('Stavební rozpočet'!U12:U124)</f>
        <v>0</v>
      </c>
      <c r="D17" s="127" t="s">
        <v>369</v>
      </c>
      <c r="E17" s="128"/>
      <c r="F17" s="47">
        <f>VORN!I18</f>
        <v>0</v>
      </c>
      <c r="G17" s="127" t="s">
        <v>380</v>
      </c>
      <c r="H17" s="128"/>
      <c r="I17" s="47">
        <f>VORN!I25</f>
        <v>0</v>
      </c>
      <c r="J17" s="29"/>
    </row>
    <row r="18" spans="1:10" ht="15" customHeight="1">
      <c r="A18" s="39" t="s">
        <v>353</v>
      </c>
      <c r="B18" s="43" t="s">
        <v>363</v>
      </c>
      <c r="C18" s="47">
        <f>SUM('Stavební rozpočet'!V12:V124)</f>
        <v>0</v>
      </c>
      <c r="D18" s="127"/>
      <c r="E18" s="128"/>
      <c r="F18" s="48"/>
      <c r="G18" s="127" t="s">
        <v>381</v>
      </c>
      <c r="H18" s="128"/>
      <c r="I18" s="47">
        <f>VORN!I26</f>
        <v>0</v>
      </c>
      <c r="J18" s="29"/>
    </row>
    <row r="19" spans="1:10" ht="15" customHeight="1">
      <c r="A19" s="40"/>
      <c r="B19" s="43" t="s">
        <v>308</v>
      </c>
      <c r="C19" s="47">
        <f>SUM('Stavební rozpočet'!W12:W124)</f>
        <v>0</v>
      </c>
      <c r="D19" s="127"/>
      <c r="E19" s="128"/>
      <c r="F19" s="48"/>
      <c r="G19" s="127" t="s">
        <v>382</v>
      </c>
      <c r="H19" s="128"/>
      <c r="I19" s="47">
        <f>VORN!I27</f>
        <v>0</v>
      </c>
      <c r="J19" s="29"/>
    </row>
    <row r="20" spans="1:10" ht="15" customHeight="1">
      <c r="A20" s="129" t="s">
        <v>354</v>
      </c>
      <c r="B20" s="130"/>
      <c r="C20" s="47">
        <f>SUM('Stavební rozpočet'!X12:X124)</f>
        <v>0</v>
      </c>
      <c r="D20" s="127"/>
      <c r="E20" s="128"/>
      <c r="F20" s="48"/>
      <c r="G20" s="127"/>
      <c r="H20" s="128"/>
      <c r="I20" s="48"/>
      <c r="J20" s="29"/>
    </row>
    <row r="21" spans="1:10" ht="15" customHeight="1">
      <c r="A21" s="129" t="s">
        <v>355</v>
      </c>
      <c r="B21" s="130"/>
      <c r="C21" s="47">
        <f>SUM('Stavební rozpočet'!P12:P124)</f>
        <v>0</v>
      </c>
      <c r="D21" s="127"/>
      <c r="E21" s="128"/>
      <c r="F21" s="48"/>
      <c r="G21" s="127"/>
      <c r="H21" s="128"/>
      <c r="I21" s="48"/>
      <c r="J21" s="29"/>
    </row>
    <row r="22" spans="1:10" ht="16.5" customHeight="1">
      <c r="A22" s="129" t="s">
        <v>356</v>
      </c>
      <c r="B22" s="130"/>
      <c r="C22" s="47">
        <f>SUM(C14:C21)</f>
        <v>0</v>
      </c>
      <c r="D22" s="129" t="s">
        <v>370</v>
      </c>
      <c r="E22" s="130"/>
      <c r="F22" s="47">
        <f>SUM(F14:F21)</f>
        <v>0</v>
      </c>
      <c r="G22" s="129" t="s">
        <v>383</v>
      </c>
      <c r="H22" s="130"/>
      <c r="I22" s="47">
        <f>SUM(I14:I21)</f>
        <v>0</v>
      </c>
      <c r="J22" s="29"/>
    </row>
    <row r="23" spans="1:10" ht="15" customHeight="1">
      <c r="A23" s="7"/>
      <c r="B23" s="7"/>
      <c r="C23" s="45"/>
      <c r="D23" s="129" t="s">
        <v>371</v>
      </c>
      <c r="E23" s="130"/>
      <c r="F23" s="49">
        <v>0</v>
      </c>
      <c r="G23" s="129" t="s">
        <v>384</v>
      </c>
      <c r="H23" s="130"/>
      <c r="I23" s="47">
        <v>0</v>
      </c>
      <c r="J23" s="29"/>
    </row>
    <row r="24" spans="4:10" ht="15" customHeight="1">
      <c r="D24" s="7"/>
      <c r="E24" s="7"/>
      <c r="F24" s="50"/>
      <c r="G24" s="129" t="s">
        <v>385</v>
      </c>
      <c r="H24" s="130"/>
      <c r="I24" s="47">
        <f>vorn_sum</f>
        <v>0</v>
      </c>
      <c r="J24" s="29"/>
    </row>
    <row r="25" spans="6:10" ht="15" customHeight="1">
      <c r="F25" s="51"/>
      <c r="G25" s="129" t="s">
        <v>386</v>
      </c>
      <c r="H25" s="130"/>
      <c r="I25" s="47">
        <v>0</v>
      </c>
      <c r="J25" s="29"/>
    </row>
    <row r="26" spans="1:9" ht="12.75">
      <c r="A26" s="37"/>
      <c r="B26" s="37"/>
      <c r="C26" s="37"/>
      <c r="G26" s="7"/>
      <c r="H26" s="7"/>
      <c r="I26" s="7"/>
    </row>
    <row r="27" spans="1:9" ht="15" customHeight="1">
      <c r="A27" s="131" t="s">
        <v>357</v>
      </c>
      <c r="B27" s="132"/>
      <c r="C27" s="52">
        <f>SUM('Stavební rozpočet'!Z12:Z124)</f>
        <v>0</v>
      </c>
      <c r="D27" s="46"/>
      <c r="E27" s="37"/>
      <c r="F27" s="37"/>
      <c r="G27" s="37"/>
      <c r="H27" s="37"/>
      <c r="I27" s="37"/>
    </row>
    <row r="28" spans="1:10" ht="15" customHeight="1">
      <c r="A28" s="131" t="s">
        <v>358</v>
      </c>
      <c r="B28" s="132"/>
      <c r="C28" s="52">
        <f>SUM('Stavební rozpočet'!AA12:AA124)</f>
        <v>0</v>
      </c>
      <c r="D28" s="131" t="s">
        <v>372</v>
      </c>
      <c r="E28" s="132"/>
      <c r="F28" s="52">
        <f>ROUND(C28*(15/100),2)</f>
        <v>0</v>
      </c>
      <c r="G28" s="131" t="s">
        <v>387</v>
      </c>
      <c r="H28" s="132"/>
      <c r="I28" s="52">
        <f>SUM(C27:C29)</f>
        <v>0</v>
      </c>
      <c r="J28" s="29"/>
    </row>
    <row r="29" spans="1:10" ht="15" customHeight="1">
      <c r="A29" s="131" t="s">
        <v>359</v>
      </c>
      <c r="B29" s="132"/>
      <c r="C29" s="52">
        <f>SUM('Stavební rozpočet'!AB12:AB124)+(F22+I22+F23+I23+I24+I25)</f>
        <v>0</v>
      </c>
      <c r="D29" s="131" t="s">
        <v>373</v>
      </c>
      <c r="E29" s="132"/>
      <c r="F29" s="52">
        <f>ROUND(C29*(21/100),2)</f>
        <v>0</v>
      </c>
      <c r="G29" s="131" t="s">
        <v>388</v>
      </c>
      <c r="H29" s="132"/>
      <c r="I29" s="52">
        <f>SUM(F28:F29)+I28</f>
        <v>0</v>
      </c>
      <c r="J29" s="29"/>
    </row>
    <row r="30" spans="1:9" ht="12.75">
      <c r="A30" s="41"/>
      <c r="B30" s="41"/>
      <c r="C30" s="41"/>
      <c r="D30" s="41"/>
      <c r="E30" s="41"/>
      <c r="F30" s="41"/>
      <c r="G30" s="41"/>
      <c r="H30" s="41"/>
      <c r="I30" s="41"/>
    </row>
    <row r="31" spans="1:10" ht="14.25" customHeight="1">
      <c r="A31" s="133" t="s">
        <v>360</v>
      </c>
      <c r="B31" s="134"/>
      <c r="C31" s="135"/>
      <c r="D31" s="133" t="s">
        <v>374</v>
      </c>
      <c r="E31" s="134"/>
      <c r="F31" s="135"/>
      <c r="G31" s="133" t="s">
        <v>389</v>
      </c>
      <c r="H31" s="134"/>
      <c r="I31" s="135"/>
      <c r="J31" s="30"/>
    </row>
    <row r="32" spans="1:10" ht="14.25" customHeight="1">
      <c r="A32" s="136"/>
      <c r="B32" s="137"/>
      <c r="C32" s="138"/>
      <c r="D32" s="136"/>
      <c r="E32" s="137"/>
      <c r="F32" s="138"/>
      <c r="G32" s="136"/>
      <c r="H32" s="137"/>
      <c r="I32" s="138"/>
      <c r="J32" s="30"/>
    </row>
    <row r="33" spans="1:10" ht="14.25" customHeight="1">
      <c r="A33" s="136"/>
      <c r="B33" s="137"/>
      <c r="C33" s="138"/>
      <c r="D33" s="136"/>
      <c r="E33" s="137"/>
      <c r="F33" s="138"/>
      <c r="G33" s="136"/>
      <c r="H33" s="137"/>
      <c r="I33" s="138"/>
      <c r="J33" s="30"/>
    </row>
    <row r="34" spans="1:10" ht="14.25" customHeight="1">
      <c r="A34" s="136"/>
      <c r="B34" s="137"/>
      <c r="C34" s="138"/>
      <c r="D34" s="136"/>
      <c r="E34" s="137"/>
      <c r="F34" s="138"/>
      <c r="G34" s="136"/>
      <c r="H34" s="137"/>
      <c r="I34" s="138"/>
      <c r="J34" s="30"/>
    </row>
    <row r="35" spans="1:10" ht="14.25" customHeight="1">
      <c r="A35" s="139" t="s">
        <v>361</v>
      </c>
      <c r="B35" s="140"/>
      <c r="C35" s="141"/>
      <c r="D35" s="139" t="s">
        <v>361</v>
      </c>
      <c r="E35" s="140"/>
      <c r="F35" s="141"/>
      <c r="G35" s="139" t="s">
        <v>361</v>
      </c>
      <c r="H35" s="140"/>
      <c r="I35" s="141"/>
      <c r="J35" s="30"/>
    </row>
    <row r="36" spans="1:9" ht="11.25" customHeight="1">
      <c r="A36" s="42" t="s">
        <v>83</v>
      </c>
      <c r="B36" s="44"/>
      <c r="C36" s="44"/>
      <c r="D36" s="44"/>
      <c r="E36" s="44"/>
      <c r="F36" s="44"/>
      <c r="G36" s="44"/>
      <c r="H36" s="44"/>
      <c r="I36" s="44"/>
    </row>
    <row r="37" spans="1:9" ht="12.75">
      <c r="A37" s="77" t="s">
        <v>84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L14" sqref="L14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63"/>
      <c r="B1" s="37"/>
      <c r="C1" s="118" t="s">
        <v>405</v>
      </c>
      <c r="D1" s="119"/>
      <c r="E1" s="119"/>
      <c r="F1" s="119"/>
      <c r="G1" s="119"/>
      <c r="H1" s="119"/>
      <c r="I1" s="119"/>
    </row>
    <row r="2" spans="1:10" ht="12.75">
      <c r="A2" s="66" t="s">
        <v>1</v>
      </c>
      <c r="B2" s="67"/>
      <c r="C2" s="70" t="s">
        <v>174</v>
      </c>
      <c r="D2" s="91"/>
      <c r="E2" s="73" t="s">
        <v>304</v>
      </c>
      <c r="F2" s="73"/>
      <c r="G2" s="67"/>
      <c r="H2" s="73" t="s">
        <v>390</v>
      </c>
      <c r="I2" s="120"/>
      <c r="J2" s="29"/>
    </row>
    <row r="3" spans="1:10" ht="12.75">
      <c r="A3" s="68"/>
      <c r="B3" s="69"/>
      <c r="C3" s="71"/>
      <c r="D3" s="71"/>
      <c r="E3" s="69"/>
      <c r="F3" s="69"/>
      <c r="G3" s="69"/>
      <c r="H3" s="69"/>
      <c r="I3" s="75"/>
      <c r="J3" s="29"/>
    </row>
    <row r="4" spans="1:10" ht="12.75">
      <c r="A4" s="76" t="s">
        <v>2</v>
      </c>
      <c r="B4" s="69"/>
      <c r="C4" s="77" t="s">
        <v>175</v>
      </c>
      <c r="D4" s="69"/>
      <c r="E4" s="77" t="s">
        <v>305</v>
      </c>
      <c r="F4" s="77" t="s">
        <v>309</v>
      </c>
      <c r="G4" s="69"/>
      <c r="H4" s="77" t="s">
        <v>390</v>
      </c>
      <c r="I4" s="121" t="s">
        <v>394</v>
      </c>
      <c r="J4" s="29"/>
    </row>
    <row r="5" spans="1:10" ht="12.75">
      <c r="A5" s="68"/>
      <c r="B5" s="69"/>
      <c r="C5" s="69"/>
      <c r="D5" s="69"/>
      <c r="E5" s="69"/>
      <c r="F5" s="69"/>
      <c r="G5" s="69"/>
      <c r="H5" s="69"/>
      <c r="I5" s="75"/>
      <c r="J5" s="29"/>
    </row>
    <row r="6" spans="1:10" ht="12.75">
      <c r="A6" s="76" t="s">
        <v>3</v>
      </c>
      <c r="B6" s="69"/>
      <c r="C6" s="77" t="s">
        <v>176</v>
      </c>
      <c r="D6" s="69"/>
      <c r="E6" s="77" t="s">
        <v>306</v>
      </c>
      <c r="F6" s="77" t="s">
        <v>310</v>
      </c>
      <c r="G6" s="69"/>
      <c r="H6" s="77" t="s">
        <v>390</v>
      </c>
      <c r="I6" s="121"/>
      <c r="J6" s="29"/>
    </row>
    <row r="7" spans="1:10" ht="12.75">
      <c r="A7" s="68"/>
      <c r="B7" s="69"/>
      <c r="C7" s="69"/>
      <c r="D7" s="69"/>
      <c r="E7" s="69"/>
      <c r="F7" s="69"/>
      <c r="G7" s="69"/>
      <c r="H7" s="69"/>
      <c r="I7" s="75"/>
      <c r="J7" s="29"/>
    </row>
    <row r="8" spans="1:10" ht="12.75">
      <c r="A8" s="76" t="s">
        <v>287</v>
      </c>
      <c r="B8" s="69"/>
      <c r="C8" s="78" t="s">
        <v>6</v>
      </c>
      <c r="D8" s="69"/>
      <c r="E8" s="77" t="s">
        <v>288</v>
      </c>
      <c r="F8" s="69"/>
      <c r="G8" s="69"/>
      <c r="H8" s="78" t="s">
        <v>391</v>
      </c>
      <c r="I8" s="121" t="s">
        <v>82</v>
      </c>
      <c r="J8" s="29"/>
    </row>
    <row r="9" spans="1:10" ht="12.75">
      <c r="A9" s="68"/>
      <c r="B9" s="69"/>
      <c r="C9" s="69"/>
      <c r="D9" s="69"/>
      <c r="E9" s="69"/>
      <c r="F9" s="69"/>
      <c r="G9" s="69"/>
      <c r="H9" s="69"/>
      <c r="I9" s="75"/>
      <c r="J9" s="29"/>
    </row>
    <row r="10" spans="1:10" ht="12.75">
      <c r="A10" s="76" t="s">
        <v>4</v>
      </c>
      <c r="B10" s="69"/>
      <c r="C10" s="77">
        <v>8035</v>
      </c>
      <c r="D10" s="69"/>
      <c r="E10" s="77" t="s">
        <v>307</v>
      </c>
      <c r="F10" s="77"/>
      <c r="G10" s="69"/>
      <c r="H10" s="78" t="s">
        <v>392</v>
      </c>
      <c r="I10" s="122">
        <v>43033</v>
      </c>
      <c r="J10" s="29"/>
    </row>
    <row r="11" spans="1:10" ht="12.75">
      <c r="A11" s="92"/>
      <c r="B11" s="93"/>
      <c r="C11" s="93"/>
      <c r="D11" s="93"/>
      <c r="E11" s="93"/>
      <c r="F11" s="93"/>
      <c r="G11" s="93"/>
      <c r="H11" s="93"/>
      <c r="I11" s="94"/>
      <c r="J11" s="29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5" customHeight="1">
      <c r="A13" s="142" t="s">
        <v>395</v>
      </c>
      <c r="B13" s="143"/>
      <c r="C13" s="143"/>
      <c r="D13" s="143"/>
      <c r="E13" s="143"/>
      <c r="F13" s="54"/>
      <c r="G13" s="54"/>
      <c r="H13" s="54"/>
      <c r="I13" s="54"/>
    </row>
    <row r="14" spans="1:10" ht="12.75">
      <c r="A14" s="144" t="s">
        <v>396</v>
      </c>
      <c r="B14" s="145"/>
      <c r="C14" s="145"/>
      <c r="D14" s="145"/>
      <c r="E14" s="146"/>
      <c r="F14" s="55" t="s">
        <v>406</v>
      </c>
      <c r="G14" s="55" t="s">
        <v>407</v>
      </c>
      <c r="H14" s="55" t="s">
        <v>408</v>
      </c>
      <c r="I14" s="55" t="s">
        <v>406</v>
      </c>
      <c r="J14" s="30"/>
    </row>
    <row r="15" spans="1:10" ht="12.75">
      <c r="A15" s="147" t="s">
        <v>366</v>
      </c>
      <c r="B15" s="148"/>
      <c r="C15" s="148"/>
      <c r="D15" s="148"/>
      <c r="E15" s="149"/>
      <c r="F15" s="56"/>
      <c r="G15" s="59">
        <v>3</v>
      </c>
      <c r="H15" s="59">
        <f>'Krycí list rozpočtu'!C22</f>
        <v>0</v>
      </c>
      <c r="I15" s="59">
        <f>(G15/100)*H15</f>
        <v>0</v>
      </c>
      <c r="J15" s="29"/>
    </row>
    <row r="16" spans="1:10" ht="12.75">
      <c r="A16" s="147" t="s">
        <v>367</v>
      </c>
      <c r="B16" s="148"/>
      <c r="C16" s="148"/>
      <c r="D16" s="148"/>
      <c r="E16" s="149"/>
      <c r="F16" s="56"/>
      <c r="G16" s="59">
        <v>2</v>
      </c>
      <c r="H16" s="59">
        <f>'Krycí list rozpočtu'!C22</f>
        <v>0</v>
      </c>
      <c r="I16" s="59">
        <f>(G16/100)*H16</f>
        <v>0</v>
      </c>
      <c r="J16" s="29"/>
    </row>
    <row r="17" spans="1:10" ht="12.75">
      <c r="A17" s="147" t="s">
        <v>368</v>
      </c>
      <c r="B17" s="148"/>
      <c r="C17" s="148"/>
      <c r="D17" s="148"/>
      <c r="E17" s="149"/>
      <c r="F17" s="56"/>
      <c r="G17" s="59">
        <v>2</v>
      </c>
      <c r="H17" s="59">
        <f>'Krycí list rozpočtu'!C22</f>
        <v>0</v>
      </c>
      <c r="I17" s="59">
        <f>(G17/100)*H17</f>
        <v>0</v>
      </c>
      <c r="J17" s="29"/>
    </row>
    <row r="18" spans="1:10" ht="12.75">
      <c r="A18" s="150" t="s">
        <v>369</v>
      </c>
      <c r="B18" s="151"/>
      <c r="C18" s="151"/>
      <c r="D18" s="151"/>
      <c r="E18" s="152"/>
      <c r="F18" s="57"/>
      <c r="G18" s="60">
        <v>2</v>
      </c>
      <c r="H18" s="60">
        <f>'Krycí list rozpočtu'!C22</f>
        <v>0</v>
      </c>
      <c r="I18" s="60">
        <f>(G18/100)*H18</f>
        <v>0</v>
      </c>
      <c r="J18" s="29"/>
    </row>
    <row r="19" spans="1:10" ht="12.75">
      <c r="A19" s="153" t="s">
        <v>397</v>
      </c>
      <c r="B19" s="154"/>
      <c r="C19" s="154"/>
      <c r="D19" s="154"/>
      <c r="E19" s="155"/>
      <c r="F19" s="58"/>
      <c r="G19" s="61"/>
      <c r="H19" s="61"/>
      <c r="I19" s="62">
        <f>SUM(I15:I18)</f>
        <v>0</v>
      </c>
      <c r="J19" s="30"/>
    </row>
    <row r="20" spans="1:9" ht="12.75">
      <c r="A20" s="53"/>
      <c r="B20" s="53"/>
      <c r="C20" s="53"/>
      <c r="D20" s="53"/>
      <c r="E20" s="53"/>
      <c r="F20" s="53"/>
      <c r="G20" s="53"/>
      <c r="H20" s="53"/>
      <c r="I20" s="53"/>
    </row>
    <row r="21" spans="1:10" ht="12.75">
      <c r="A21" s="144" t="s">
        <v>393</v>
      </c>
      <c r="B21" s="145"/>
      <c r="C21" s="145"/>
      <c r="D21" s="145"/>
      <c r="E21" s="146"/>
      <c r="F21" s="55" t="s">
        <v>406</v>
      </c>
      <c r="G21" s="55" t="s">
        <v>407</v>
      </c>
      <c r="H21" s="55" t="s">
        <v>408</v>
      </c>
      <c r="I21" s="55" t="s">
        <v>406</v>
      </c>
      <c r="J21" s="30"/>
    </row>
    <row r="22" spans="1:10" ht="12.75">
      <c r="A22" s="147" t="s">
        <v>377</v>
      </c>
      <c r="B22" s="148"/>
      <c r="C22" s="148"/>
      <c r="D22" s="148"/>
      <c r="E22" s="149"/>
      <c r="F22" s="56"/>
      <c r="G22" s="59">
        <v>1</v>
      </c>
      <c r="H22" s="59">
        <f>'Krycí list rozpočtu'!C22</f>
        <v>0</v>
      </c>
      <c r="I22" s="59">
        <f>(G22/100)*H22</f>
        <v>0</v>
      </c>
      <c r="J22" s="29"/>
    </row>
    <row r="23" spans="1:10" ht="12.75">
      <c r="A23" s="147" t="s">
        <v>378</v>
      </c>
      <c r="B23" s="148"/>
      <c r="C23" s="148"/>
      <c r="D23" s="148"/>
      <c r="E23" s="149"/>
      <c r="F23" s="59">
        <v>0</v>
      </c>
      <c r="G23" s="56"/>
      <c r="H23" s="56"/>
      <c r="I23" s="59">
        <f>F23</f>
        <v>0</v>
      </c>
      <c r="J23" s="29"/>
    </row>
    <row r="24" spans="1:10" ht="12.75">
      <c r="A24" s="147" t="s">
        <v>379</v>
      </c>
      <c r="B24" s="148"/>
      <c r="C24" s="148"/>
      <c r="D24" s="148"/>
      <c r="E24" s="149"/>
      <c r="F24" s="59">
        <v>0</v>
      </c>
      <c r="G24" s="56"/>
      <c r="H24" s="56"/>
      <c r="I24" s="59">
        <f>F24</f>
        <v>0</v>
      </c>
      <c r="J24" s="29"/>
    </row>
    <row r="25" spans="1:10" ht="12.75">
      <c r="A25" s="147" t="s">
        <v>380</v>
      </c>
      <c r="B25" s="148"/>
      <c r="C25" s="148"/>
      <c r="D25" s="148"/>
      <c r="E25" s="149"/>
      <c r="F25" s="59">
        <v>0</v>
      </c>
      <c r="G25" s="56"/>
      <c r="H25" s="56"/>
      <c r="I25" s="59">
        <f>F25</f>
        <v>0</v>
      </c>
      <c r="J25" s="29"/>
    </row>
    <row r="26" spans="1:10" ht="12.75">
      <c r="A26" s="147" t="s">
        <v>381</v>
      </c>
      <c r="B26" s="148"/>
      <c r="C26" s="148"/>
      <c r="D26" s="148"/>
      <c r="E26" s="149"/>
      <c r="F26" s="59">
        <v>0</v>
      </c>
      <c r="G26" s="56"/>
      <c r="H26" s="56"/>
      <c r="I26" s="59">
        <f>F26</f>
        <v>0</v>
      </c>
      <c r="J26" s="29"/>
    </row>
    <row r="27" spans="1:10" ht="12.75">
      <c r="A27" s="150" t="s">
        <v>382</v>
      </c>
      <c r="B27" s="151"/>
      <c r="C27" s="151"/>
      <c r="D27" s="151"/>
      <c r="E27" s="152"/>
      <c r="F27" s="60">
        <v>0</v>
      </c>
      <c r="G27" s="57"/>
      <c r="H27" s="57"/>
      <c r="I27" s="60">
        <f>F27</f>
        <v>0</v>
      </c>
      <c r="J27" s="29"/>
    </row>
    <row r="28" spans="1:10" ht="12.75">
      <c r="A28" s="153" t="s">
        <v>398</v>
      </c>
      <c r="B28" s="154"/>
      <c r="C28" s="154"/>
      <c r="D28" s="154"/>
      <c r="E28" s="155"/>
      <c r="F28" s="58"/>
      <c r="G28" s="61"/>
      <c r="H28" s="61"/>
      <c r="I28" s="62">
        <f>SUM(I22:I27)</f>
        <v>0</v>
      </c>
      <c r="J28" s="30"/>
    </row>
    <row r="29" spans="1:9" ht="12.75">
      <c r="A29" s="53"/>
      <c r="B29" s="53"/>
      <c r="C29" s="53"/>
      <c r="D29" s="53"/>
      <c r="E29" s="53"/>
      <c r="F29" s="53"/>
      <c r="G29" s="53"/>
      <c r="H29" s="53"/>
      <c r="I29" s="53"/>
    </row>
    <row r="30" spans="1:10" ht="15" customHeight="1">
      <c r="A30" s="156" t="s">
        <v>399</v>
      </c>
      <c r="B30" s="157"/>
      <c r="C30" s="157"/>
      <c r="D30" s="157"/>
      <c r="E30" s="158"/>
      <c r="F30" s="159">
        <f>I19+I28</f>
        <v>0</v>
      </c>
      <c r="G30" s="160"/>
      <c r="H30" s="160"/>
      <c r="I30" s="161"/>
      <c r="J30" s="30"/>
    </row>
    <row r="31" spans="1:9" ht="12.75">
      <c r="A31" s="44"/>
      <c r="B31" s="44"/>
      <c r="C31" s="44"/>
      <c r="D31" s="44"/>
      <c r="E31" s="44"/>
      <c r="F31" s="44"/>
      <c r="G31" s="44"/>
      <c r="H31" s="44"/>
      <c r="I31" s="44"/>
    </row>
    <row r="34" spans="1:9" ht="15" customHeight="1">
      <c r="A34" s="142" t="s">
        <v>400</v>
      </c>
      <c r="B34" s="143"/>
      <c r="C34" s="143"/>
      <c r="D34" s="143"/>
      <c r="E34" s="143"/>
      <c r="F34" s="54"/>
      <c r="G34" s="54"/>
      <c r="H34" s="54"/>
      <c r="I34" s="54"/>
    </row>
    <row r="35" spans="1:10" ht="12.75">
      <c r="A35" s="144" t="s">
        <v>401</v>
      </c>
      <c r="B35" s="145"/>
      <c r="C35" s="145"/>
      <c r="D35" s="145"/>
      <c r="E35" s="146"/>
      <c r="F35" s="55" t="s">
        <v>406</v>
      </c>
      <c r="G35" s="55" t="s">
        <v>407</v>
      </c>
      <c r="H35" s="55" t="s">
        <v>408</v>
      </c>
      <c r="I35" s="55" t="s">
        <v>406</v>
      </c>
      <c r="J35" s="30"/>
    </row>
    <row r="36" spans="1:10" ht="12.75">
      <c r="A36" s="147" t="s">
        <v>402</v>
      </c>
      <c r="B36" s="148"/>
      <c r="C36" s="148"/>
      <c r="D36" s="148"/>
      <c r="E36" s="149"/>
      <c r="F36" s="56"/>
      <c r="G36" s="59">
        <v>2</v>
      </c>
      <c r="H36" s="59">
        <f>'Krycí list rozpočtu'!C22</f>
        <v>0</v>
      </c>
      <c r="I36" s="59">
        <f>(G36/100)*H36</f>
        <v>0</v>
      </c>
      <c r="J36" s="29"/>
    </row>
    <row r="37" spans="1:10" ht="12.75">
      <c r="A37" s="150" t="s">
        <v>403</v>
      </c>
      <c r="B37" s="151"/>
      <c r="C37" s="151"/>
      <c r="D37" s="151"/>
      <c r="E37" s="152"/>
      <c r="F37" s="57"/>
      <c r="G37" s="60">
        <v>2</v>
      </c>
      <c r="H37" s="60">
        <f>'Krycí list rozpočtu'!C22</f>
        <v>0</v>
      </c>
      <c r="I37" s="60">
        <f>(G37/100)*H37</f>
        <v>0</v>
      </c>
      <c r="J37" s="29"/>
    </row>
    <row r="38" spans="1:10" ht="12.75">
      <c r="A38" s="153" t="s">
        <v>404</v>
      </c>
      <c r="B38" s="154"/>
      <c r="C38" s="154"/>
      <c r="D38" s="154"/>
      <c r="E38" s="155"/>
      <c r="F38" s="58"/>
      <c r="G38" s="61"/>
      <c r="H38" s="61"/>
      <c r="I38" s="62">
        <f>SUM(I36:I37)</f>
        <v>0</v>
      </c>
      <c r="J38" s="30"/>
    </row>
    <row r="39" spans="1:9" ht="12.75">
      <c r="A39" s="44"/>
      <c r="B39" s="44"/>
      <c r="C39" s="44"/>
      <c r="D39" s="44"/>
      <c r="E39" s="44"/>
      <c r="F39" s="44"/>
      <c r="G39" s="44"/>
      <c r="H39" s="44"/>
      <c r="I39" s="44"/>
    </row>
  </sheetData>
  <sheetProtection/>
  <mergeCells count="53">
    <mergeCell ref="A35:E35"/>
    <mergeCell ref="A36:E36"/>
    <mergeCell ref="A37:E37"/>
    <mergeCell ref="A38:E38"/>
    <mergeCell ref="A26:E26"/>
    <mergeCell ref="A27:E27"/>
    <mergeCell ref="A28:E28"/>
    <mergeCell ref="A30:E30"/>
    <mergeCell ref="F30:I30"/>
    <mergeCell ref="A34:E34"/>
    <mergeCell ref="A19:E19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modified xsi:type="dcterms:W3CDTF">2017-11-02T18:21:51Z</dcterms:modified>
  <cp:category/>
  <cp:version/>
  <cp:contentType/>
  <cp:contentStatus/>
</cp:coreProperties>
</file>