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Krycí list rozpočtu" sheetId="3" r:id="rId1"/>
    <sheet name="Stavební rozpočet" sheetId="1" r:id="rId2"/>
  </sheets>
  <calcPr calcId="125725"/>
</workbook>
</file>

<file path=xl/calcChain.xml><?xml version="1.0" encoding="utf-8"?>
<calcChain xmlns="http://schemas.openxmlformats.org/spreadsheetml/2006/main">
  <c r="AE13" i="1"/>
  <c r="H12" s="1"/>
  <c r="J13"/>
  <c r="AA13" s="1"/>
  <c r="AJ12" s="1"/>
  <c r="F22" i="3"/>
  <c r="I22"/>
  <c r="L12" i="1"/>
  <c r="T12"/>
  <c r="V12"/>
  <c r="X12"/>
  <c r="L13"/>
  <c r="O13"/>
  <c r="P12" s="1"/>
  <c r="Z13"/>
  <c r="AI12" s="1"/>
  <c r="AB13"/>
  <c r="AK12" s="1"/>
  <c r="AF13"/>
  <c r="T14"/>
  <c r="V14"/>
  <c r="X14"/>
  <c r="L15"/>
  <c r="L14" s="1"/>
  <c r="O15"/>
  <c r="Z15"/>
  <c r="AB15"/>
  <c r="L16"/>
  <c r="O16"/>
  <c r="Z16"/>
  <c r="AB16"/>
  <c r="L17"/>
  <c r="O17"/>
  <c r="Z17"/>
  <c r="AB17"/>
  <c r="L18"/>
  <c r="O18"/>
  <c r="Z18"/>
  <c r="AB18"/>
  <c r="L19"/>
  <c r="T19"/>
  <c r="V19"/>
  <c r="X19"/>
  <c r="L20"/>
  <c r="O20"/>
  <c r="P19" s="1"/>
  <c r="Z20"/>
  <c r="AI19" s="1"/>
  <c r="AB20"/>
  <c r="AK19" s="1"/>
  <c r="L21"/>
  <c r="T21"/>
  <c r="V21"/>
  <c r="X21"/>
  <c r="L22"/>
  <c r="O22"/>
  <c r="Z22"/>
  <c r="AB22"/>
  <c r="L23"/>
  <c r="O23"/>
  <c r="Z23"/>
  <c r="AB23"/>
  <c r="T24"/>
  <c r="V24"/>
  <c r="X24"/>
  <c r="L25"/>
  <c r="L24" s="1"/>
  <c r="O25"/>
  <c r="P24" s="1"/>
  <c r="Z25"/>
  <c r="AI24" s="1"/>
  <c r="AB25"/>
  <c r="AK24" s="1"/>
  <c r="L26"/>
  <c r="R26"/>
  <c r="V26"/>
  <c r="X26"/>
  <c r="L27"/>
  <c r="O27"/>
  <c r="P26" s="1"/>
  <c r="Z27"/>
  <c r="AI26" s="1"/>
  <c r="AB27"/>
  <c r="AK26" s="1"/>
  <c r="L28"/>
  <c r="R28"/>
  <c r="V28"/>
  <c r="X28"/>
  <c r="L29"/>
  <c r="O29"/>
  <c r="P28" s="1"/>
  <c r="Z29"/>
  <c r="AI28" s="1"/>
  <c r="AB29"/>
  <c r="AK28" s="1"/>
  <c r="L30"/>
  <c r="T30"/>
  <c r="V30"/>
  <c r="X30"/>
  <c r="L31"/>
  <c r="O31"/>
  <c r="P30" s="1"/>
  <c r="Z31"/>
  <c r="AI30" s="1"/>
  <c r="AB31"/>
  <c r="AK30" s="1"/>
  <c r="AK21" l="1"/>
  <c r="AI21"/>
  <c r="P21"/>
  <c r="Z32"/>
  <c r="AB32"/>
  <c r="R12"/>
  <c r="I12"/>
  <c r="C24" i="3"/>
  <c r="C18"/>
  <c r="C26"/>
  <c r="F26" s="1"/>
  <c r="C20"/>
  <c r="P14" i="1"/>
  <c r="C21" i="3" s="1"/>
  <c r="AK14" i="1"/>
  <c r="AI14"/>
  <c r="S12" l="1"/>
  <c r="U12"/>
  <c r="W12"/>
  <c r="J12"/>
  <c r="AF20"/>
  <c r="AF23"/>
  <c r="AE23"/>
  <c r="H23" s="1"/>
  <c r="I23" s="1"/>
  <c r="AA23"/>
  <c r="J23"/>
  <c r="AF25"/>
  <c r="AF29"/>
  <c r="AF31"/>
  <c r="AF22"/>
  <c r="AF27"/>
  <c r="AF18"/>
  <c r="H17"/>
  <c r="AF17"/>
  <c r="J17"/>
  <c r="I17" s="1"/>
  <c r="AE17"/>
  <c r="AF15"/>
  <c r="J25"/>
  <c r="AA25" s="1"/>
  <c r="AJ24" s="1"/>
  <c r="AE25"/>
  <c r="H25" s="1"/>
  <c r="H24" s="1"/>
  <c r="J31"/>
  <c r="I31" s="1"/>
  <c r="I30" s="1"/>
  <c r="AE31"/>
  <c r="H31"/>
  <c r="H30" s="1"/>
  <c r="AE29"/>
  <c r="H29"/>
  <c r="H28" s="1"/>
  <c r="AE22"/>
  <c r="H22"/>
  <c r="H21" s="1"/>
  <c r="J20"/>
  <c r="AA20" s="1"/>
  <c r="AJ19" s="1"/>
  <c r="AE20"/>
  <c r="H20" s="1"/>
  <c r="H19" s="1"/>
  <c r="J29"/>
  <c r="AA29" s="1"/>
  <c r="AJ28" s="1"/>
  <c r="I29"/>
  <c r="I28" s="1"/>
  <c r="J27"/>
  <c r="I27" s="1"/>
  <c r="I26" s="1"/>
  <c r="AE27"/>
  <c r="H27"/>
  <c r="H26" s="1"/>
  <c r="J22"/>
  <c r="AA22" s="1"/>
  <c r="AJ21" s="1"/>
  <c r="J18"/>
  <c r="AE18"/>
  <c r="H18" s="1"/>
  <c r="AF16"/>
  <c r="AE16"/>
  <c r="H16" s="1"/>
  <c r="J16"/>
  <c r="AA16" s="1"/>
  <c r="AE15"/>
  <c r="H15"/>
  <c r="J15"/>
  <c r="I15" s="1"/>
  <c r="AA15"/>
  <c r="J28" l="1"/>
  <c r="T28"/>
  <c r="U28"/>
  <c r="S28"/>
  <c r="W28"/>
  <c r="R19"/>
  <c r="R21"/>
  <c r="R30"/>
  <c r="J30"/>
  <c r="S30"/>
  <c r="W30"/>
  <c r="U30"/>
  <c r="T26"/>
  <c r="C16" i="3" s="1"/>
  <c r="J26" i="1"/>
  <c r="S26"/>
  <c r="W26"/>
  <c r="U26"/>
  <c r="R24"/>
  <c r="H14"/>
  <c r="I18"/>
  <c r="AA31"/>
  <c r="AJ30" s="1"/>
  <c r="AA27"/>
  <c r="AJ26" s="1"/>
  <c r="I25"/>
  <c r="I24" s="1"/>
  <c r="AA18"/>
  <c r="I16"/>
  <c r="I14" s="1"/>
  <c r="AA17"/>
  <c r="AA32" s="1"/>
  <c r="C25" i="3"/>
  <c r="I22" i="1"/>
  <c r="I21" s="1"/>
  <c r="J21" s="1"/>
  <c r="I20"/>
  <c r="I19" s="1"/>
  <c r="S14" l="1"/>
  <c r="W14"/>
  <c r="U14"/>
  <c r="S19"/>
  <c r="U19"/>
  <c r="W19"/>
  <c r="AJ14"/>
  <c r="F25" i="3"/>
  <c r="I25"/>
  <c r="W24" i="1"/>
  <c r="U24"/>
  <c r="S24"/>
  <c r="U21"/>
  <c r="S21"/>
  <c r="W21"/>
  <c r="J14"/>
  <c r="R14"/>
  <c r="C14" i="3" s="1"/>
  <c r="J24" i="1"/>
  <c r="J19"/>
  <c r="I26" i="3" l="1"/>
  <c r="C17"/>
  <c r="C15"/>
  <c r="J32" i="1"/>
  <c r="C19" i="3"/>
  <c r="C22" l="1"/>
</calcChain>
</file>

<file path=xl/sharedStrings.xml><?xml version="1.0" encoding="utf-8"?>
<sst xmlns="http://schemas.openxmlformats.org/spreadsheetml/2006/main" count="206" uniqueCount="142">
  <si>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</si>
  <si>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</si>
  <si>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</si>
  <si>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</si>
  <si>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</si>
  <si>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</si>
  <si>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</si>
  <si>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</si>
  <si>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</si>
  <si>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</si>
  <si>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</si>
  <si>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</si>
  <si>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</si>
  <si>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</si>
  <si>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</si>
  <si>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</si>
  <si>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</si>
  <si>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</si>
  <si>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</si>
  <si>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Poznámka:</t>
  </si>
  <si>
    <t>Objekt</t>
  </si>
  <si>
    <t>Kód</t>
  </si>
  <si>
    <t>13</t>
  </si>
  <si>
    <t>132201401R00</t>
  </si>
  <si>
    <t>27</t>
  </si>
  <si>
    <t>274272120RT2</t>
  </si>
  <si>
    <t>274313611R00</t>
  </si>
  <si>
    <t>274361721R00</t>
  </si>
  <si>
    <t>274313711R00</t>
  </si>
  <si>
    <t>31</t>
  </si>
  <si>
    <t>317100012RA0</t>
  </si>
  <si>
    <t>43</t>
  </si>
  <si>
    <t>434312211R00</t>
  </si>
  <si>
    <t>434312221R00</t>
  </si>
  <si>
    <t>59</t>
  </si>
  <si>
    <t>591100020RAA</t>
  </si>
  <si>
    <t>765</t>
  </si>
  <si>
    <t>765900020RA0</t>
  </si>
  <si>
    <t>771</t>
  </si>
  <si>
    <t>771570014RAI</t>
  </si>
  <si>
    <t>97</t>
  </si>
  <si>
    <t>973011191R00</t>
  </si>
  <si>
    <t>chata terasa</t>
  </si>
  <si>
    <t>Zkrácený popis</t>
  </si>
  <si>
    <t>Rozměry</t>
  </si>
  <si>
    <t>Hloubené vykopávky</t>
  </si>
  <si>
    <t>Hloubený výkop pod základy v hor.3</t>
  </si>
  <si>
    <t>Základy</t>
  </si>
  <si>
    <t>Zdivo základové z bednicích tvárnic, tl. 20 cm</t>
  </si>
  <si>
    <t>Beton základových pasů prostý C 16/20</t>
  </si>
  <si>
    <t>Výztuž základových pasů z oceli 10 425 (BSt 500 S)</t>
  </si>
  <si>
    <t>Beton nedzákladových zdí prostý C 25/30</t>
  </si>
  <si>
    <t>Zdi podpěrné a volné</t>
  </si>
  <si>
    <t>Dodatečná montáž překladu, otvor šířky do 180 cm</t>
  </si>
  <si>
    <t>Schodiště</t>
  </si>
  <si>
    <t>Schody v opěr.zídkách,z betonu prostého tř. C-/7,5</t>
  </si>
  <si>
    <t>Schody v opěr. zídkách demontáž</t>
  </si>
  <si>
    <t>Dlažby a předlažby pozemních komunikací a zpevněných ploch</t>
  </si>
  <si>
    <t>Chodník z dlažby zámkové, podklad štěrkopísek</t>
  </si>
  <si>
    <t>Krytina tvrdá</t>
  </si>
  <si>
    <t>Demontáž krovu včetně betonové krytiny</t>
  </si>
  <si>
    <t>Podlahy z dlaždic</t>
  </si>
  <si>
    <t>Dlažba z dlaždic kemenných, nepravidlných</t>
  </si>
  <si>
    <t>Prorážení otvorů a ostatní bourací práce</t>
  </si>
  <si>
    <t>Vysekání kapes lehký beton  15 x 15 x 10 cm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</si>
  <si>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</si>
  <si>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</si>
  <si>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</si>
  <si>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</si>
  <si>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</si>
  <si>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</si>
  <si>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</si>
  <si>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</si>
  <si>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kus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</si>
  <si>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</si>
  <si>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</si>
  <si>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</si>
  <si>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</si>
  <si>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</si>
  <si>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</si>
  <si>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</si>
  <si>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</si>
  <si>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</si>
  <si>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</si>
  <si>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</si>
  <si>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</si>
  <si>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</si>
  <si>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</si>
  <si>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</si>
  <si>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</si>
  <si>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2013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</si>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</sst>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sz val="24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8" fillId="2" borderId="17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/>
    </xf>
    <xf numFmtId="49" fontId="9" fillId="0" borderId="19" xfId="0" applyNumberFormat="1" applyFont="1" applyFill="1" applyBorder="1" applyAlignment="1" applyProtection="1">
      <alignment horizontal="left"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10" fillId="0" borderId="17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4" fontId="10" fillId="0" borderId="17" xfId="0" applyNumberFormat="1" applyFont="1" applyFill="1" applyBorder="1" applyAlignment="1" applyProtection="1">
      <alignment horizontal="right" vertical="center"/>
    </xf>
    <xf numFmtId="49" fontId="10" fillId="0" borderId="17" xfId="0" applyNumberFormat="1" applyFont="1" applyFill="1" applyBorder="1" applyAlignment="1" applyProtection="1">
      <alignment horizontal="right" vertical="center"/>
    </xf>
    <xf numFmtId="4" fontId="9" fillId="2" borderId="23" xfId="0" applyNumberFormat="1" applyFont="1" applyFill="1" applyBorder="1" applyAlignment="1" applyProtection="1">
      <alignment horizontal="right" vertical="center"/>
    </xf>
    <xf numFmtId="49" fontId="10" fillId="0" borderId="38" xfId="0" applyNumberFormat="1" applyFont="1" applyFill="1" applyBorder="1" applyAlignment="1" applyProtection="1">
      <alignment horizontal="left" vertical="center"/>
    </xf>
    <xf numFmtId="0" fontId="10" fillId="0" borderId="28" xfId="0" applyNumberFormat="1" applyFont="1" applyFill="1" applyBorder="1" applyAlignment="1" applyProtection="1">
      <alignment horizontal="left" vertical="center"/>
    </xf>
    <xf numFmtId="0" fontId="10" fillId="0" borderId="39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0" fillId="0" borderId="16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37" xfId="0" applyNumberFormat="1" applyFont="1" applyFill="1" applyBorder="1" applyAlignment="1" applyProtection="1">
      <alignment horizontal="left" vertical="center"/>
    </xf>
    <xf numFmtId="49" fontId="10" fillId="0" borderId="35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0" fillId="0" borderId="36" xfId="0" applyNumberFormat="1" applyFont="1" applyFill="1" applyBorder="1" applyAlignment="1" applyProtection="1">
      <alignment horizontal="left" vertical="center"/>
    </xf>
    <xf numFmtId="49" fontId="9" fillId="2" borderId="34" xfId="0" applyNumberFormat="1" applyFont="1" applyFill="1" applyBorder="1" applyAlignment="1" applyProtection="1">
      <alignment horizontal="left" vertical="center"/>
    </xf>
    <xf numFmtId="0" fontId="9" fillId="2" borderId="20" xfId="0" applyNumberFormat="1" applyFont="1" applyFill="1" applyBorder="1" applyAlignment="1" applyProtection="1">
      <alignment horizontal="left" vertical="center"/>
    </xf>
    <xf numFmtId="49" fontId="9" fillId="0" borderId="34" xfId="0" applyNumberFormat="1" applyFont="1" applyFill="1" applyBorder="1" applyAlignment="1" applyProtection="1">
      <alignment horizontal="left" vertical="center"/>
    </xf>
    <xf numFmtId="0" fontId="9" fillId="0" borderId="23" xfId="0" applyNumberFormat="1" applyFont="1" applyFill="1" applyBorder="1" applyAlignment="1" applyProtection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0" fontId="10" fillId="0" borderId="23" xfId="0" applyNumberFormat="1" applyFont="1" applyFill="1" applyBorder="1" applyAlignment="1" applyProtection="1">
      <alignment horizontal="left" vertical="center"/>
    </xf>
    <xf numFmtId="49" fontId="7" fillId="0" borderId="20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49" fontId="11" fillId="0" borderId="34" xfId="0" applyNumberFormat="1" applyFont="1" applyFill="1" applyBorder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26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C22" sqref="C22"/>
    </sheetView>
  </sheetViews>
  <sheetFormatPr defaultColWidth="11.5703125" defaultRowHeight="12.7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28.7" customHeight="1">
      <c r="A1" s="79" t="s">
        <v>102</v>
      </c>
      <c r="B1" s="80"/>
      <c r="C1" s="80"/>
      <c r="D1" s="80"/>
      <c r="E1" s="80"/>
      <c r="F1" s="80"/>
      <c r="G1" s="80"/>
      <c r="H1" s="80"/>
      <c r="I1" s="80"/>
    </row>
    <row r="2" spans="1:10">
      <c r="A2" s="81" t="s">
        <v>1</v>
      </c>
      <c r="B2" s="82"/>
      <c r="C2" s="83" t="s">
        <v>42</v>
      </c>
      <c r="D2" s="84"/>
      <c r="E2" s="86" t="s">
        <v>81</v>
      </c>
      <c r="F2" s="86"/>
      <c r="G2" s="82"/>
      <c r="H2" s="86" t="s">
        <v>138</v>
      </c>
      <c r="I2" s="87"/>
      <c r="J2" s="28"/>
    </row>
    <row r="3" spans="1:10">
      <c r="A3" s="75"/>
      <c r="B3" s="52"/>
      <c r="C3" s="85"/>
      <c r="D3" s="85"/>
      <c r="E3" s="52"/>
      <c r="F3" s="52"/>
      <c r="G3" s="52"/>
      <c r="H3" s="52"/>
      <c r="I3" s="78"/>
      <c r="J3" s="28"/>
    </row>
    <row r="4" spans="1:10">
      <c r="A4" s="69" t="s">
        <v>2</v>
      </c>
      <c r="B4" s="52"/>
      <c r="C4" s="51"/>
      <c r="D4" s="52"/>
      <c r="E4" s="51" t="s">
        <v>82</v>
      </c>
      <c r="F4" s="51"/>
      <c r="G4" s="52"/>
      <c r="H4" s="51" t="s">
        <v>138</v>
      </c>
      <c r="I4" s="77"/>
      <c r="J4" s="28"/>
    </row>
    <row r="5" spans="1:10">
      <c r="A5" s="75"/>
      <c r="B5" s="52"/>
      <c r="C5" s="52"/>
      <c r="D5" s="52"/>
      <c r="E5" s="52"/>
      <c r="F5" s="52"/>
      <c r="G5" s="52"/>
      <c r="H5" s="52"/>
      <c r="I5" s="78"/>
      <c r="J5" s="28"/>
    </row>
    <row r="6" spans="1:10">
      <c r="A6" s="69" t="s">
        <v>3</v>
      </c>
      <c r="B6" s="52"/>
      <c r="C6" s="51"/>
      <c r="D6" s="52"/>
      <c r="E6" s="51" t="s">
        <v>83</v>
      </c>
      <c r="F6" s="51"/>
      <c r="G6" s="52"/>
      <c r="H6" s="51" t="s">
        <v>138</v>
      </c>
      <c r="I6" s="77"/>
      <c r="J6" s="28"/>
    </row>
    <row r="7" spans="1:10">
      <c r="A7" s="75"/>
      <c r="B7" s="52"/>
      <c r="C7" s="52"/>
      <c r="D7" s="52"/>
      <c r="E7" s="52"/>
      <c r="F7" s="52"/>
      <c r="G7" s="52"/>
      <c r="H7" s="52"/>
      <c r="I7" s="78"/>
      <c r="J7" s="28"/>
    </row>
    <row r="8" spans="1:10">
      <c r="A8" s="69" t="s">
        <v>66</v>
      </c>
      <c r="B8" s="52"/>
      <c r="C8" s="76">
        <v>42383</v>
      </c>
      <c r="D8" s="52"/>
      <c r="E8" s="51" t="s">
        <v>67</v>
      </c>
      <c r="F8" s="52"/>
      <c r="G8" s="52"/>
      <c r="H8" s="72" t="s">
        <v>139</v>
      </c>
      <c r="I8" s="77" t="s">
        <v>18</v>
      </c>
      <c r="J8" s="28"/>
    </row>
    <row r="9" spans="1:10">
      <c r="A9" s="75"/>
      <c r="B9" s="52"/>
      <c r="C9" s="52"/>
      <c r="D9" s="52"/>
      <c r="E9" s="52"/>
      <c r="F9" s="52"/>
      <c r="G9" s="52"/>
      <c r="H9" s="52"/>
      <c r="I9" s="78"/>
      <c r="J9" s="28"/>
    </row>
    <row r="10" spans="1:10">
      <c r="A10" s="69" t="s">
        <v>4</v>
      </c>
      <c r="B10" s="52"/>
      <c r="C10" s="51"/>
      <c r="D10" s="52"/>
      <c r="E10" s="51" t="s">
        <v>84</v>
      </c>
      <c r="F10" s="51"/>
      <c r="G10" s="52"/>
      <c r="H10" s="72" t="s">
        <v>140</v>
      </c>
      <c r="I10" s="73">
        <v>42383</v>
      </c>
      <c r="J10" s="28"/>
    </row>
    <row r="11" spans="1:10">
      <c r="A11" s="70"/>
      <c r="B11" s="71"/>
      <c r="C11" s="71"/>
      <c r="D11" s="71"/>
      <c r="E11" s="71"/>
      <c r="F11" s="71"/>
      <c r="G11" s="71"/>
      <c r="H11" s="71"/>
      <c r="I11" s="74"/>
      <c r="J11" s="28"/>
    </row>
    <row r="12" spans="1:10" ht="23.45" customHeight="1">
      <c r="A12" s="65" t="s">
        <v>103</v>
      </c>
      <c r="B12" s="66"/>
      <c r="C12" s="66"/>
      <c r="D12" s="66"/>
      <c r="E12" s="66"/>
      <c r="F12" s="66"/>
      <c r="G12" s="66"/>
      <c r="H12" s="66"/>
      <c r="I12" s="66"/>
    </row>
    <row r="13" spans="1:10" ht="26.45" customHeight="1">
      <c r="A13" s="36" t="s">
        <v>104</v>
      </c>
      <c r="B13" s="67" t="s">
        <v>116</v>
      </c>
      <c r="C13" s="68"/>
      <c r="D13" s="36" t="s">
        <v>118</v>
      </c>
      <c r="E13" s="67" t="s">
        <v>126</v>
      </c>
      <c r="F13" s="68"/>
      <c r="G13" s="36" t="s">
        <v>127</v>
      </c>
      <c r="H13" s="67" t="s">
        <v>141</v>
      </c>
      <c r="I13" s="68"/>
      <c r="J13" s="28"/>
    </row>
    <row r="14" spans="1:10" ht="15.2" customHeight="1">
      <c r="A14" s="37" t="s">
        <v>105</v>
      </c>
      <c r="B14" s="42" t="s">
        <v>117</v>
      </c>
      <c r="C14" s="45">
        <f>SUM('Stavební rozpočet'!R12:R31)</f>
        <v>0</v>
      </c>
      <c r="D14" s="63" t="s">
        <v>119</v>
      </c>
      <c r="E14" s="64"/>
      <c r="F14" s="45">
        <v>0</v>
      </c>
      <c r="G14" s="63" t="s">
        <v>128</v>
      </c>
      <c r="H14" s="64"/>
      <c r="I14" s="45">
        <v>0</v>
      </c>
      <c r="J14" s="28"/>
    </row>
    <row r="15" spans="1:10" ht="15.2" customHeight="1">
      <c r="A15" s="38"/>
      <c r="B15" s="42" t="s">
        <v>85</v>
      </c>
      <c r="C15" s="45">
        <f>SUM('Stavební rozpočet'!S12:S31)</f>
        <v>0</v>
      </c>
      <c r="D15" s="63" t="s">
        <v>120</v>
      </c>
      <c r="E15" s="64"/>
      <c r="F15" s="45">
        <v>0</v>
      </c>
      <c r="G15" s="63" t="s">
        <v>129</v>
      </c>
      <c r="H15" s="64"/>
      <c r="I15" s="45">
        <v>0</v>
      </c>
      <c r="J15" s="28"/>
    </row>
    <row r="16" spans="1:10" ht="15.2" customHeight="1">
      <c r="A16" s="37" t="s">
        <v>106</v>
      </c>
      <c r="B16" s="42" t="s">
        <v>117</v>
      </c>
      <c r="C16" s="45">
        <f>SUM('Stavební rozpočet'!T12:T31)</f>
        <v>0</v>
      </c>
      <c r="D16" s="63" t="s">
        <v>121</v>
      </c>
      <c r="E16" s="64"/>
      <c r="F16" s="45">
        <v>0</v>
      </c>
      <c r="G16" s="63" t="s">
        <v>130</v>
      </c>
      <c r="H16" s="64"/>
      <c r="I16" s="45">
        <v>0</v>
      </c>
      <c r="J16" s="28"/>
    </row>
    <row r="17" spans="1:10" ht="15.2" customHeight="1">
      <c r="A17" s="38"/>
      <c r="B17" s="42" t="s">
        <v>85</v>
      </c>
      <c r="C17" s="45">
        <f>SUM('Stavební rozpočet'!U12:U31)</f>
        <v>0</v>
      </c>
      <c r="D17" s="63"/>
      <c r="E17" s="64"/>
      <c r="F17" s="46"/>
      <c r="G17" s="63" t="s">
        <v>131</v>
      </c>
      <c r="H17" s="64"/>
      <c r="I17" s="45">
        <v>0</v>
      </c>
      <c r="J17" s="28"/>
    </row>
    <row r="18" spans="1:10" ht="15.2" customHeight="1">
      <c r="A18" s="37" t="s">
        <v>107</v>
      </c>
      <c r="B18" s="42" t="s">
        <v>117</v>
      </c>
      <c r="C18" s="45">
        <f>SUM('Stavební rozpočet'!V12:V31)</f>
        <v>0</v>
      </c>
      <c r="D18" s="63"/>
      <c r="E18" s="64"/>
      <c r="F18" s="46"/>
      <c r="G18" s="63" t="s">
        <v>132</v>
      </c>
      <c r="H18" s="64"/>
      <c r="I18" s="45">
        <v>0</v>
      </c>
      <c r="J18" s="28"/>
    </row>
    <row r="19" spans="1:10" ht="15.2" customHeight="1">
      <c r="A19" s="38"/>
      <c r="B19" s="42" t="s">
        <v>85</v>
      </c>
      <c r="C19" s="45">
        <f>SUM('Stavební rozpočet'!W12:W31)</f>
        <v>0</v>
      </c>
      <c r="D19" s="63"/>
      <c r="E19" s="64"/>
      <c r="F19" s="46"/>
      <c r="G19" s="63" t="s">
        <v>133</v>
      </c>
      <c r="H19" s="64"/>
      <c r="I19" s="45">
        <v>0</v>
      </c>
      <c r="J19" s="28"/>
    </row>
    <row r="20" spans="1:10" ht="15.2" customHeight="1">
      <c r="A20" s="61" t="s">
        <v>108</v>
      </c>
      <c r="B20" s="62"/>
      <c r="C20" s="45">
        <f>SUM('Stavební rozpočet'!X12:X31)</f>
        <v>0</v>
      </c>
      <c r="D20" s="63"/>
      <c r="E20" s="64"/>
      <c r="F20" s="46"/>
      <c r="G20" s="63"/>
      <c r="H20" s="64"/>
      <c r="I20" s="46"/>
      <c r="J20" s="28"/>
    </row>
    <row r="21" spans="1:10" ht="15.2" customHeight="1">
      <c r="A21" s="61" t="s">
        <v>109</v>
      </c>
      <c r="B21" s="62"/>
      <c r="C21" s="45">
        <f>SUM('Stavební rozpočet'!P12:P31)</f>
        <v>0</v>
      </c>
      <c r="D21" s="63"/>
      <c r="E21" s="64"/>
      <c r="F21" s="46"/>
      <c r="G21" s="63"/>
      <c r="H21" s="64"/>
      <c r="I21" s="46"/>
      <c r="J21" s="28"/>
    </row>
    <row r="22" spans="1:10" ht="16.7" customHeight="1">
      <c r="A22" s="61" t="s">
        <v>110</v>
      </c>
      <c r="B22" s="62"/>
      <c r="C22" s="45">
        <f>SUM(C14:C21)</f>
        <v>0</v>
      </c>
      <c r="D22" s="61" t="s">
        <v>122</v>
      </c>
      <c r="E22" s="62"/>
      <c r="F22" s="45">
        <f>SUM(F14:F21)</f>
        <v>0</v>
      </c>
      <c r="G22" s="61" t="s">
        <v>134</v>
      </c>
      <c r="H22" s="62"/>
      <c r="I22" s="45">
        <f>SUM(I14:I21)</f>
        <v>0</v>
      </c>
      <c r="J22" s="28"/>
    </row>
    <row r="23" spans="1:10">
      <c r="A23" s="39"/>
      <c r="B23" s="39"/>
      <c r="C23" s="39"/>
      <c r="D23" s="7"/>
      <c r="E23" s="7"/>
      <c r="F23" s="7"/>
      <c r="G23" s="7"/>
      <c r="H23" s="7"/>
      <c r="I23" s="7"/>
    </row>
    <row r="24" spans="1:10" ht="15.2" customHeight="1">
      <c r="A24" s="59" t="s">
        <v>111</v>
      </c>
      <c r="B24" s="60"/>
      <c r="C24" s="47">
        <f>SUM('Stavební rozpočet'!Z12:Z31)</f>
        <v>0</v>
      </c>
      <c r="D24" s="44"/>
      <c r="E24" s="35"/>
      <c r="F24" s="35"/>
      <c r="G24" s="35"/>
      <c r="H24" s="35"/>
      <c r="I24" s="35"/>
    </row>
    <row r="25" spans="1:10" ht="15.2" customHeight="1">
      <c r="A25" s="59" t="s">
        <v>112</v>
      </c>
      <c r="B25" s="60"/>
      <c r="C25" s="47">
        <f>SUM('Stavební rozpočet'!AA12:AA31)+(F22+I22)</f>
        <v>0</v>
      </c>
      <c r="D25" s="59" t="s">
        <v>123</v>
      </c>
      <c r="E25" s="60"/>
      <c r="F25" s="47">
        <f>ROUND(C25*(15/100),2)</f>
        <v>0</v>
      </c>
      <c r="G25" s="59" t="s">
        <v>135</v>
      </c>
      <c r="H25" s="60"/>
      <c r="I25" s="47">
        <f>SUM(C24:C26)</f>
        <v>0</v>
      </c>
      <c r="J25" s="28"/>
    </row>
    <row r="26" spans="1:10" ht="15.2" customHeight="1">
      <c r="A26" s="59" t="s">
        <v>113</v>
      </c>
      <c r="B26" s="60"/>
      <c r="C26" s="47">
        <f>SUM('Stavební rozpočet'!AB12:AB31)</f>
        <v>0</v>
      </c>
      <c r="D26" s="59" t="s">
        <v>124</v>
      </c>
      <c r="E26" s="60"/>
      <c r="F26" s="47">
        <f>ROUND(C26*(21/100),2)</f>
        <v>0</v>
      </c>
      <c r="G26" s="59" t="s">
        <v>136</v>
      </c>
      <c r="H26" s="60"/>
      <c r="I26" s="47">
        <f>SUM(F25:F26)+I25</f>
        <v>0</v>
      </c>
      <c r="J26" s="28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</row>
    <row r="28" spans="1:10" ht="14.45" customHeight="1">
      <c r="A28" s="56" t="s">
        <v>114</v>
      </c>
      <c r="B28" s="57"/>
      <c r="C28" s="58"/>
      <c r="D28" s="56" t="s">
        <v>125</v>
      </c>
      <c r="E28" s="57"/>
      <c r="F28" s="58"/>
      <c r="G28" s="56" t="s">
        <v>137</v>
      </c>
      <c r="H28" s="57"/>
      <c r="I28" s="58"/>
      <c r="J28" s="29"/>
    </row>
    <row r="29" spans="1:10" ht="14.45" customHeight="1">
      <c r="A29" s="53"/>
      <c r="B29" s="54"/>
      <c r="C29" s="55"/>
      <c r="D29" s="53"/>
      <c r="E29" s="54"/>
      <c r="F29" s="55"/>
      <c r="G29" s="53"/>
      <c r="H29" s="54"/>
      <c r="I29" s="55"/>
      <c r="J29" s="29"/>
    </row>
    <row r="30" spans="1:10" ht="14.45" customHeight="1">
      <c r="A30" s="53"/>
      <c r="B30" s="54"/>
      <c r="C30" s="55"/>
      <c r="D30" s="53"/>
      <c r="E30" s="54"/>
      <c r="F30" s="55"/>
      <c r="G30" s="53"/>
      <c r="H30" s="54"/>
      <c r="I30" s="55"/>
      <c r="J30" s="29"/>
    </row>
    <row r="31" spans="1:10" ht="14.45" customHeight="1">
      <c r="A31" s="53"/>
      <c r="B31" s="54"/>
      <c r="C31" s="55"/>
      <c r="D31" s="53"/>
      <c r="E31" s="54"/>
      <c r="F31" s="55"/>
      <c r="G31" s="53"/>
      <c r="H31" s="54"/>
      <c r="I31" s="55"/>
      <c r="J31" s="29"/>
    </row>
    <row r="32" spans="1:10" ht="14.45" customHeight="1">
      <c r="A32" s="48" t="s">
        <v>115</v>
      </c>
      <c r="B32" s="49"/>
      <c r="C32" s="50"/>
      <c r="D32" s="48" t="s">
        <v>115</v>
      </c>
      <c r="E32" s="49"/>
      <c r="F32" s="50"/>
      <c r="G32" s="48" t="s">
        <v>115</v>
      </c>
      <c r="H32" s="49"/>
      <c r="I32" s="50"/>
      <c r="J32" s="29"/>
    </row>
    <row r="33" spans="1:9" ht="11.25" customHeight="1">
      <c r="A33" s="41" t="s">
        <v>19</v>
      </c>
      <c r="B33" s="43"/>
      <c r="C33" s="43"/>
      <c r="D33" s="43"/>
      <c r="E33" s="43"/>
      <c r="F33" s="43"/>
      <c r="G33" s="43"/>
      <c r="H33" s="43"/>
      <c r="I33" s="43"/>
    </row>
    <row r="34" spans="1:9" ht="409.6" hidden="1" customHeight="1">
      <c r="A34" s="51"/>
      <c r="B34" s="52"/>
      <c r="C34" s="52"/>
      <c r="D34" s="52"/>
      <c r="E34" s="52"/>
      <c r="F34" s="52"/>
      <c r="G34" s="52"/>
      <c r="H34" s="52"/>
      <c r="I34" s="52"/>
    </row>
  </sheetData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4:I34"/>
    <mergeCell ref="A30:C30"/>
    <mergeCell ref="D30:F30"/>
    <mergeCell ref="G30:I30"/>
    <mergeCell ref="A31:C31"/>
    <mergeCell ref="D31:F31"/>
    <mergeCell ref="G31:I31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opLeftCell="A6" workbookViewId="0">
      <selection activeCell="J13" sqref="J13"/>
    </sheetView>
  </sheetViews>
  <sheetFormatPr defaultColWidth="11.5703125" defaultRowHeight="12.75"/>
  <cols>
    <col min="1" max="1" width="3.7109375" customWidth="1"/>
    <col min="2" max="2" width="6.85546875" customWidth="1"/>
    <col min="3" max="3" width="13.28515625" customWidth="1"/>
    <col min="4" max="4" width="44.42578125" customWidth="1"/>
    <col min="5" max="5" width="4.28515625" customWidth="1"/>
    <col min="6" max="6" width="10.85546875" customWidth="1"/>
    <col min="7" max="7" width="12" customWidth="1"/>
    <col min="8" max="10" width="14.28515625" customWidth="1"/>
    <col min="11" max="13" width="11.7109375" customWidth="1"/>
    <col min="14" max="37" width="12.140625" hidden="1" customWidth="1"/>
  </cols>
  <sheetData>
    <row r="1" spans="1:37" ht="21.9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37">
      <c r="A2" s="81" t="s">
        <v>1</v>
      </c>
      <c r="B2" s="82"/>
      <c r="C2" s="82"/>
      <c r="D2" s="83" t="s">
        <v>42</v>
      </c>
      <c r="E2" s="100" t="s">
        <v>65</v>
      </c>
      <c r="F2" s="82"/>
      <c r="G2" s="100"/>
      <c r="H2" s="82"/>
      <c r="I2" s="86" t="s">
        <v>81</v>
      </c>
      <c r="J2" s="86"/>
      <c r="K2" s="82"/>
      <c r="L2" s="82"/>
      <c r="M2" s="93"/>
      <c r="N2" s="28"/>
    </row>
    <row r="3" spans="1:37">
      <c r="A3" s="75"/>
      <c r="B3" s="52"/>
      <c r="C3" s="52"/>
      <c r="D3" s="85"/>
      <c r="E3" s="52"/>
      <c r="F3" s="52"/>
      <c r="G3" s="52"/>
      <c r="H3" s="52"/>
      <c r="I3" s="52"/>
      <c r="J3" s="52"/>
      <c r="K3" s="52"/>
      <c r="L3" s="52"/>
      <c r="M3" s="78"/>
      <c r="N3" s="28"/>
    </row>
    <row r="4" spans="1:37">
      <c r="A4" s="69" t="s">
        <v>2</v>
      </c>
      <c r="B4" s="52"/>
      <c r="C4" s="52"/>
      <c r="D4" s="51"/>
      <c r="E4" s="72" t="s">
        <v>66</v>
      </c>
      <c r="F4" s="52"/>
      <c r="G4" s="76">
        <v>42383</v>
      </c>
      <c r="H4" s="52"/>
      <c r="I4" s="51" t="s">
        <v>82</v>
      </c>
      <c r="J4" s="51"/>
      <c r="K4" s="52"/>
      <c r="L4" s="52"/>
      <c r="M4" s="78"/>
      <c r="N4" s="28"/>
    </row>
    <row r="5" spans="1:37">
      <c r="A5" s="7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78"/>
      <c r="N5" s="28"/>
    </row>
    <row r="6" spans="1:37">
      <c r="A6" s="69" t="s">
        <v>3</v>
      </c>
      <c r="B6" s="52"/>
      <c r="C6" s="52"/>
      <c r="D6" s="51"/>
      <c r="E6" s="72" t="s">
        <v>67</v>
      </c>
      <c r="F6" s="52"/>
      <c r="G6" s="52"/>
      <c r="H6" s="52"/>
      <c r="I6" s="51" t="s">
        <v>83</v>
      </c>
      <c r="J6" s="51"/>
      <c r="K6" s="52"/>
      <c r="L6" s="52"/>
      <c r="M6" s="78"/>
      <c r="N6" s="28"/>
    </row>
    <row r="7" spans="1:37">
      <c r="A7" s="7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78"/>
      <c r="N7" s="28"/>
    </row>
    <row r="8" spans="1:37">
      <c r="A8" s="69" t="s">
        <v>4</v>
      </c>
      <c r="B8" s="52"/>
      <c r="C8" s="52"/>
      <c r="D8" s="51"/>
      <c r="E8" s="72" t="s">
        <v>68</v>
      </c>
      <c r="F8" s="52"/>
      <c r="G8" s="76">
        <v>42383</v>
      </c>
      <c r="H8" s="52"/>
      <c r="I8" s="51" t="s">
        <v>84</v>
      </c>
      <c r="J8" s="51"/>
      <c r="K8" s="52"/>
      <c r="L8" s="52"/>
      <c r="M8" s="78"/>
      <c r="N8" s="28"/>
    </row>
    <row r="9" spans="1:37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28"/>
    </row>
    <row r="10" spans="1:37">
      <c r="A10" s="1" t="s">
        <v>5</v>
      </c>
      <c r="B10" s="9" t="s">
        <v>20</v>
      </c>
      <c r="C10" s="9" t="s">
        <v>21</v>
      </c>
      <c r="D10" s="9" t="s">
        <v>43</v>
      </c>
      <c r="E10" s="9" t="s">
        <v>69</v>
      </c>
      <c r="F10" s="14" t="s">
        <v>75</v>
      </c>
      <c r="G10" s="17" t="s">
        <v>76</v>
      </c>
      <c r="H10" s="95" t="s">
        <v>78</v>
      </c>
      <c r="I10" s="96"/>
      <c r="J10" s="97"/>
      <c r="K10" s="95" t="s">
        <v>87</v>
      </c>
      <c r="L10" s="97"/>
      <c r="M10" s="24" t="s">
        <v>88</v>
      </c>
      <c r="N10" s="29"/>
    </row>
    <row r="11" spans="1:37">
      <c r="A11" s="2" t="s">
        <v>6</v>
      </c>
      <c r="B11" s="10" t="s">
        <v>6</v>
      </c>
      <c r="C11" s="10" t="s">
        <v>6</v>
      </c>
      <c r="D11" s="13" t="s">
        <v>44</v>
      </c>
      <c r="E11" s="10" t="s">
        <v>6</v>
      </c>
      <c r="F11" s="10" t="s">
        <v>6</v>
      </c>
      <c r="G11" s="18" t="s">
        <v>77</v>
      </c>
      <c r="H11" s="19" t="s">
        <v>79</v>
      </c>
      <c r="I11" s="20" t="s">
        <v>85</v>
      </c>
      <c r="J11" s="21" t="s">
        <v>86</v>
      </c>
      <c r="K11" s="19" t="s">
        <v>76</v>
      </c>
      <c r="L11" s="21" t="s">
        <v>86</v>
      </c>
      <c r="M11" s="25" t="s">
        <v>89</v>
      </c>
      <c r="N11" s="29"/>
      <c r="P11" s="23" t="s">
        <v>91</v>
      </c>
      <c r="Q11" s="23" t="s">
        <v>92</v>
      </c>
      <c r="R11" s="23" t="s">
        <v>95</v>
      </c>
      <c r="S11" s="23" t="s">
        <v>96</v>
      </c>
      <c r="T11" s="23" t="s">
        <v>97</v>
      </c>
      <c r="U11" s="23" t="s">
        <v>98</v>
      </c>
      <c r="V11" s="23" t="s">
        <v>99</v>
      </c>
      <c r="W11" s="23" t="s">
        <v>100</v>
      </c>
      <c r="X11" s="23" t="s">
        <v>101</v>
      </c>
    </row>
    <row r="12" spans="1:37">
      <c r="A12" s="3"/>
      <c r="B12" s="11"/>
      <c r="C12" s="11" t="s">
        <v>22</v>
      </c>
      <c r="D12" s="98" t="s">
        <v>45</v>
      </c>
      <c r="E12" s="99"/>
      <c r="F12" s="99"/>
      <c r="G12" s="99"/>
      <c r="H12" s="31">
        <f>SUM(H13:H13)</f>
        <v>0</v>
      </c>
      <c r="I12" s="31">
        <f>SUM(I13:I13)</f>
        <v>0</v>
      </c>
      <c r="J12" s="31">
        <f>H12+I12</f>
        <v>0</v>
      </c>
      <c r="K12" s="22"/>
      <c r="L12" s="31">
        <f>SUM(L13:L13)</f>
        <v>0</v>
      </c>
      <c r="M12" s="22"/>
      <c r="P12" s="32">
        <f>IF(Q12="PR",J12,SUM(O13:O13))</f>
        <v>0</v>
      </c>
      <c r="Q12" s="23" t="s">
        <v>93</v>
      </c>
      <c r="R12" s="32">
        <f>IF(Q12="HS",H12,0)</f>
        <v>0</v>
      </c>
      <c r="S12" s="32">
        <f>IF(Q12="HS",I12-P12,0)</f>
        <v>0</v>
      </c>
      <c r="T12" s="32">
        <f>IF(Q12="PS",H12,0)</f>
        <v>0</v>
      </c>
      <c r="U12" s="32">
        <f>IF(Q12="PS",I12-P12,0)</f>
        <v>0</v>
      </c>
      <c r="V12" s="32">
        <f>IF(Q12="MP",H12,0)</f>
        <v>0</v>
      </c>
      <c r="W12" s="32">
        <f>IF(Q12="MP",I12-P12,0)</f>
        <v>0</v>
      </c>
      <c r="X12" s="32">
        <f>IF(Q12="OM",H12,0)</f>
        <v>0</v>
      </c>
      <c r="Y12" s="23"/>
      <c r="AI12" s="32">
        <f>SUM(Z13:Z13)</f>
        <v>0</v>
      </c>
      <c r="AJ12" s="32">
        <f>SUM(AA13:AA13)</f>
        <v>0</v>
      </c>
      <c r="AK12" s="32">
        <f>SUM(AB13:AB13)</f>
        <v>0</v>
      </c>
    </row>
    <row r="13" spans="1:37">
      <c r="A13" s="4" t="s">
        <v>7</v>
      </c>
      <c r="B13" s="4"/>
      <c r="C13" s="4" t="s">
        <v>23</v>
      </c>
      <c r="D13" s="4" t="s">
        <v>46</v>
      </c>
      <c r="E13" s="4" t="s">
        <v>70</v>
      </c>
      <c r="F13" s="15">
        <v>2.5</v>
      </c>
      <c r="G13" s="15">
        <v>0</v>
      </c>
      <c r="H13" s="15">
        <v>0</v>
      </c>
      <c r="I13" s="15">
        <v>0</v>
      </c>
      <c r="J13" s="15">
        <f>H13+I13</f>
        <v>0</v>
      </c>
      <c r="K13" s="15">
        <v>0</v>
      </c>
      <c r="L13" s="15">
        <f>F13*K13</f>
        <v>0</v>
      </c>
      <c r="M13" s="26" t="s">
        <v>90</v>
      </c>
      <c r="N13" s="26" t="s">
        <v>7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15</v>
      </c>
      <c r="AE13" s="30">
        <f>G13*0</f>
        <v>0</v>
      </c>
      <c r="AF13" s="30">
        <f>G13*(1-0)</f>
        <v>0</v>
      </c>
    </row>
    <row r="14" spans="1:37">
      <c r="A14" s="5"/>
      <c r="B14" s="12"/>
      <c r="C14" s="12" t="s">
        <v>24</v>
      </c>
      <c r="D14" s="101" t="s">
        <v>47</v>
      </c>
      <c r="E14" s="102"/>
      <c r="F14" s="102"/>
      <c r="G14" s="102"/>
      <c r="H14" s="32">
        <f>SUM(H15:H18)</f>
        <v>0</v>
      </c>
      <c r="I14" s="32">
        <f>SUM(I15:I18)</f>
        <v>0</v>
      </c>
      <c r="J14" s="32">
        <f>H14+I14</f>
        <v>0</v>
      </c>
      <c r="K14" s="23"/>
      <c r="L14" s="32">
        <f>SUM(L15:L18)</f>
        <v>20.097906000000002</v>
      </c>
      <c r="M14" s="23"/>
      <c r="P14" s="32">
        <f>IF(Q14="PR",J14,SUM(O15:O18))</f>
        <v>0</v>
      </c>
      <c r="Q14" s="23" t="s">
        <v>93</v>
      </c>
      <c r="R14" s="32">
        <f>IF(Q14="HS",H14,0)</f>
        <v>0</v>
      </c>
      <c r="S14" s="32">
        <f>IF(Q14="HS",I14-P14,0)</f>
        <v>0</v>
      </c>
      <c r="T14" s="32">
        <f>IF(Q14="PS",H14,0)</f>
        <v>0</v>
      </c>
      <c r="U14" s="32">
        <f>IF(Q14="PS",I14-P14,0)</f>
        <v>0</v>
      </c>
      <c r="V14" s="32">
        <f>IF(Q14="MP",H14,0)</f>
        <v>0</v>
      </c>
      <c r="W14" s="32">
        <f>IF(Q14="MP",I14-P14,0)</f>
        <v>0</v>
      </c>
      <c r="X14" s="32">
        <f>IF(Q14="OM",H14,0)</f>
        <v>0</v>
      </c>
      <c r="Y14" s="23"/>
      <c r="AI14" s="32">
        <f>SUM(Z15:Z18)</f>
        <v>0</v>
      </c>
      <c r="AJ14" s="32">
        <f>SUM(AA15:AA18)</f>
        <v>0</v>
      </c>
      <c r="AK14" s="32">
        <f>SUM(AB15:AB18)</f>
        <v>0</v>
      </c>
    </row>
    <row r="15" spans="1:37">
      <c r="A15" s="4" t="s">
        <v>8</v>
      </c>
      <c r="B15" s="4"/>
      <c r="C15" s="4" t="s">
        <v>25</v>
      </c>
      <c r="D15" s="4" t="s">
        <v>48</v>
      </c>
      <c r="E15" s="4" t="s">
        <v>71</v>
      </c>
      <c r="F15" s="15">
        <v>6.4</v>
      </c>
      <c r="G15" s="15">
        <v>0</v>
      </c>
      <c r="H15" s="15">
        <f>ROUND(F15*AE15,2)</f>
        <v>0</v>
      </c>
      <c r="I15" s="15">
        <f>J15-H15</f>
        <v>0</v>
      </c>
      <c r="J15" s="15">
        <f>ROUND(F15*G15,2)</f>
        <v>0</v>
      </c>
      <c r="K15" s="15">
        <v>0.52</v>
      </c>
      <c r="L15" s="15">
        <f>F15*K15</f>
        <v>3.3280000000000003</v>
      </c>
      <c r="M15" s="26" t="s">
        <v>90</v>
      </c>
      <c r="N15" s="26" t="s">
        <v>7</v>
      </c>
      <c r="O15" s="15">
        <f>IF(N15="5",I15,0)</f>
        <v>0</v>
      </c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15</v>
      </c>
      <c r="AE15" s="30">
        <f>G15*0.651338296416572</f>
        <v>0</v>
      </c>
      <c r="AF15" s="30">
        <f>G15*(1-0.651338296416572)</f>
        <v>0</v>
      </c>
    </row>
    <row r="16" spans="1:37">
      <c r="A16" s="4" t="s">
        <v>9</v>
      </c>
      <c r="B16" s="4"/>
      <c r="C16" s="4" t="s">
        <v>26</v>
      </c>
      <c r="D16" s="4" t="s">
        <v>49</v>
      </c>
      <c r="E16" s="4" t="s">
        <v>70</v>
      </c>
      <c r="F16" s="15">
        <v>2.6</v>
      </c>
      <c r="G16" s="15">
        <v>0</v>
      </c>
      <c r="H16" s="15">
        <f>ROUND(F16*AE16,2)</f>
        <v>0</v>
      </c>
      <c r="I16" s="15">
        <f>J16-H16</f>
        <v>0</v>
      </c>
      <c r="J16" s="15">
        <f>ROUND(F16*G16,2)</f>
        <v>0</v>
      </c>
      <c r="K16" s="15">
        <v>2.5249999999999999</v>
      </c>
      <c r="L16" s="15">
        <f>F16*K16</f>
        <v>6.5650000000000004</v>
      </c>
      <c r="M16" s="26" t="s">
        <v>90</v>
      </c>
      <c r="N16" s="26" t="s">
        <v>7</v>
      </c>
      <c r="O16" s="15">
        <f>IF(N16="5",I16,0)</f>
        <v>0</v>
      </c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30">
        <v>15</v>
      </c>
      <c r="AE16" s="30">
        <f>G16*0.914610169491525</f>
        <v>0</v>
      </c>
      <c r="AF16" s="30">
        <f>G16*(1-0.914610169491525)</f>
        <v>0</v>
      </c>
    </row>
    <row r="17" spans="1:37">
      <c r="A17" s="4" t="s">
        <v>10</v>
      </c>
      <c r="B17" s="4"/>
      <c r="C17" s="4" t="s">
        <v>27</v>
      </c>
      <c r="D17" s="4" t="s">
        <v>50</v>
      </c>
      <c r="E17" s="4" t="s">
        <v>72</v>
      </c>
      <c r="F17" s="15">
        <v>0.35</v>
      </c>
      <c r="G17" s="15">
        <v>0</v>
      </c>
      <c r="H17" s="15">
        <f>ROUND(F17*AE17,2)</f>
        <v>0</v>
      </c>
      <c r="I17" s="15">
        <f>J17-H17</f>
        <v>0</v>
      </c>
      <c r="J17" s="15">
        <f>ROUND(F17*G17,2)</f>
        <v>0</v>
      </c>
      <c r="K17" s="15">
        <v>1.0211600000000001</v>
      </c>
      <c r="L17" s="15">
        <f>F17*K17</f>
        <v>0.357406</v>
      </c>
      <c r="M17" s="26" t="s">
        <v>90</v>
      </c>
      <c r="N17" s="26" t="s">
        <v>7</v>
      </c>
      <c r="O17" s="15">
        <f>IF(N17="5",I17,0)</f>
        <v>0</v>
      </c>
      <c r="Z17" s="15">
        <f>IF(AD17=0,J17,0)</f>
        <v>0</v>
      </c>
      <c r="AA17" s="15">
        <f>IF(AD17=15,J17,0)</f>
        <v>0</v>
      </c>
      <c r="AB17" s="15">
        <f>IF(AD17=21,J17,0)</f>
        <v>0</v>
      </c>
      <c r="AD17" s="30">
        <v>15</v>
      </c>
      <c r="AE17" s="30">
        <f>G17*0.706650776181019</f>
        <v>0</v>
      </c>
      <c r="AF17" s="30">
        <f>G17*(1-0.706650776181019)</f>
        <v>0</v>
      </c>
    </row>
    <row r="18" spans="1:37">
      <c r="A18" s="4" t="s">
        <v>11</v>
      </c>
      <c r="B18" s="4"/>
      <c r="C18" s="4" t="s">
        <v>28</v>
      </c>
      <c r="D18" s="4" t="s">
        <v>51</v>
      </c>
      <c r="E18" s="4" t="s">
        <v>70</v>
      </c>
      <c r="F18" s="15">
        <v>3.9</v>
      </c>
      <c r="G18" s="15">
        <v>0</v>
      </c>
      <c r="H18" s="15">
        <f>ROUND(F18*AE18,2)</f>
        <v>0</v>
      </c>
      <c r="I18" s="15">
        <f>J18-H18</f>
        <v>0</v>
      </c>
      <c r="J18" s="15">
        <f>ROUND(F18*G18,2)</f>
        <v>0</v>
      </c>
      <c r="K18" s="15">
        <v>2.5249999999999999</v>
      </c>
      <c r="L18" s="15">
        <f>F18*K18</f>
        <v>9.8475000000000001</v>
      </c>
      <c r="M18" s="26" t="s">
        <v>90</v>
      </c>
      <c r="N18" s="26" t="s">
        <v>7</v>
      </c>
      <c r="O18" s="15">
        <f>IF(N18="5",I18,0)</f>
        <v>0</v>
      </c>
      <c r="Z18" s="15">
        <f>IF(AD18=0,J18,0)</f>
        <v>0</v>
      </c>
      <c r="AA18" s="15">
        <f>IF(AD18=15,J18,0)</f>
        <v>0</v>
      </c>
      <c r="AB18" s="15">
        <f>IF(AD18=21,J18,0)</f>
        <v>0</v>
      </c>
      <c r="AD18" s="30">
        <v>15</v>
      </c>
      <c r="AE18" s="30">
        <f>G18*0.921127201565558</f>
        <v>0</v>
      </c>
      <c r="AF18" s="30">
        <f>G18*(1-0.921127201565558)</f>
        <v>0</v>
      </c>
    </row>
    <row r="19" spans="1:37">
      <c r="A19" s="5"/>
      <c r="B19" s="12"/>
      <c r="C19" s="12" t="s">
        <v>29</v>
      </c>
      <c r="D19" s="101" t="s">
        <v>52</v>
      </c>
      <c r="E19" s="102"/>
      <c r="F19" s="102"/>
      <c r="G19" s="102"/>
      <c r="H19" s="32">
        <f>SUM(H20:H20)</f>
        <v>0</v>
      </c>
      <c r="I19" s="32">
        <f>SUM(I20:I20)</f>
        <v>0</v>
      </c>
      <c r="J19" s="32">
        <f>H19+I19</f>
        <v>0</v>
      </c>
      <c r="K19" s="23"/>
      <c r="L19" s="32">
        <f>SUM(L20:L20)</f>
        <v>1.6</v>
      </c>
      <c r="M19" s="23"/>
      <c r="P19" s="32">
        <f>IF(Q19="PR",J19,SUM(O20:O20))</f>
        <v>0</v>
      </c>
      <c r="Q19" s="23" t="s">
        <v>93</v>
      </c>
      <c r="R19" s="32">
        <f>IF(Q19="HS",H19,0)</f>
        <v>0</v>
      </c>
      <c r="S19" s="32">
        <f>IF(Q19="HS",I19-P19,0)</f>
        <v>0</v>
      </c>
      <c r="T19" s="32">
        <f>IF(Q19="PS",H19,0)</f>
        <v>0</v>
      </c>
      <c r="U19" s="32">
        <f>IF(Q19="PS",I19-P19,0)</f>
        <v>0</v>
      </c>
      <c r="V19" s="32">
        <f>IF(Q19="MP",H19,0)</f>
        <v>0</v>
      </c>
      <c r="W19" s="32">
        <f>IF(Q19="MP",I19-P19,0)</f>
        <v>0</v>
      </c>
      <c r="X19" s="32">
        <f>IF(Q19="OM",H19,0)</f>
        <v>0</v>
      </c>
      <c r="Y19" s="23"/>
      <c r="AI19" s="32">
        <f>SUM(Z20:Z20)</f>
        <v>0</v>
      </c>
      <c r="AJ19" s="32">
        <f>SUM(AA20:AA20)</f>
        <v>0</v>
      </c>
      <c r="AK19" s="32">
        <f>SUM(AB20:AB20)</f>
        <v>0</v>
      </c>
    </row>
    <row r="20" spans="1:37">
      <c r="A20" s="4" t="s">
        <v>12</v>
      </c>
      <c r="B20" s="4"/>
      <c r="C20" s="4" t="s">
        <v>30</v>
      </c>
      <c r="D20" s="4" t="s">
        <v>53</v>
      </c>
      <c r="E20" s="4" t="s">
        <v>73</v>
      </c>
      <c r="F20" s="15">
        <v>16</v>
      </c>
      <c r="G20" s="15">
        <v>0</v>
      </c>
      <c r="H20" s="15">
        <f>ROUND(F20*AE20,2)</f>
        <v>0</v>
      </c>
      <c r="I20" s="15">
        <f>J20-H20</f>
        <v>0</v>
      </c>
      <c r="J20" s="15">
        <f>ROUND(F20*G20,2)</f>
        <v>0</v>
      </c>
      <c r="K20" s="15">
        <v>0.1</v>
      </c>
      <c r="L20" s="15">
        <f>F20*K20</f>
        <v>1.6</v>
      </c>
      <c r="M20" s="26" t="s">
        <v>90</v>
      </c>
      <c r="N20" s="26" t="s">
        <v>9</v>
      </c>
      <c r="O20" s="15">
        <f>IF(N20="5",I20,0)</f>
        <v>0</v>
      </c>
      <c r="Z20" s="15">
        <f>IF(AD20=0,J20,0)</f>
        <v>0</v>
      </c>
      <c r="AA20" s="15">
        <f>IF(AD20=15,J20,0)</f>
        <v>0</v>
      </c>
      <c r="AB20" s="15">
        <f>IF(AD20=21,J20,0)</f>
        <v>0</v>
      </c>
      <c r="AD20" s="30">
        <v>15</v>
      </c>
      <c r="AE20" s="30">
        <f>G20*0.516850136239782</f>
        <v>0</v>
      </c>
      <c r="AF20" s="30">
        <f>G20*(1-0.516850136239782)</f>
        <v>0</v>
      </c>
    </row>
    <row r="21" spans="1:37">
      <c r="A21" s="5"/>
      <c r="B21" s="12"/>
      <c r="C21" s="12" t="s">
        <v>31</v>
      </c>
      <c r="D21" s="101" t="s">
        <v>54</v>
      </c>
      <c r="E21" s="102"/>
      <c r="F21" s="102"/>
      <c r="G21" s="102"/>
      <c r="H21" s="32">
        <f>SUM(H22:H23)</f>
        <v>0</v>
      </c>
      <c r="I21" s="32">
        <f>SUM(I22:I23)</f>
        <v>0</v>
      </c>
      <c r="J21" s="32">
        <f>H21+I21</f>
        <v>0</v>
      </c>
      <c r="K21" s="23"/>
      <c r="L21" s="32">
        <f>SUM(L22:L23)</f>
        <v>1.90245</v>
      </c>
      <c r="M21" s="23"/>
      <c r="P21" s="32">
        <f>IF(Q21="PR",J21,SUM(O22:O23))</f>
        <v>0</v>
      </c>
      <c r="Q21" s="23" t="s">
        <v>93</v>
      </c>
      <c r="R21" s="32">
        <f>IF(Q21="HS",H21,0)</f>
        <v>0</v>
      </c>
      <c r="S21" s="32">
        <f>IF(Q21="HS",I21-P21,0)</f>
        <v>0</v>
      </c>
      <c r="T21" s="32">
        <f>IF(Q21="PS",H21,0)</f>
        <v>0</v>
      </c>
      <c r="U21" s="32">
        <f>IF(Q21="PS",I21-P21,0)</f>
        <v>0</v>
      </c>
      <c r="V21" s="32">
        <f>IF(Q21="MP",H21,0)</f>
        <v>0</v>
      </c>
      <c r="W21" s="32">
        <f>IF(Q21="MP",I21-P21,0)</f>
        <v>0</v>
      </c>
      <c r="X21" s="32">
        <f>IF(Q21="OM",H21,0)</f>
        <v>0</v>
      </c>
      <c r="Y21" s="23"/>
      <c r="AI21" s="32">
        <f>SUM(Z22:Z23)</f>
        <v>0</v>
      </c>
      <c r="AJ21" s="32">
        <f>SUM(AA22:AA23)</f>
        <v>0</v>
      </c>
      <c r="AK21" s="32">
        <f>SUM(AB22:AB23)</f>
        <v>0</v>
      </c>
    </row>
    <row r="22" spans="1:37">
      <c r="A22" s="4" t="s">
        <v>13</v>
      </c>
      <c r="B22" s="4"/>
      <c r="C22" s="4" t="s">
        <v>32</v>
      </c>
      <c r="D22" s="4" t="s">
        <v>55</v>
      </c>
      <c r="E22" s="4" t="s">
        <v>74</v>
      </c>
      <c r="F22" s="15">
        <v>7.5</v>
      </c>
      <c r="G22" s="15">
        <v>0</v>
      </c>
      <c r="H22" s="15">
        <f>ROUND(F22*AE22,2)</f>
        <v>0</v>
      </c>
      <c r="I22" s="15">
        <f>J22-H22</f>
        <v>0</v>
      </c>
      <c r="J22" s="15">
        <f>ROUND(F22*G22,2)</f>
        <v>0</v>
      </c>
      <c r="K22" s="15">
        <v>0.12683</v>
      </c>
      <c r="L22" s="15">
        <f>F22*K22</f>
        <v>0.95122499999999999</v>
      </c>
      <c r="M22" s="26" t="s">
        <v>90</v>
      </c>
      <c r="N22" s="26" t="s">
        <v>7</v>
      </c>
      <c r="O22" s="15">
        <f>IF(N22="5",I22,0)</f>
        <v>0</v>
      </c>
      <c r="Z22" s="15">
        <f>IF(AD22=0,J22,0)</f>
        <v>0</v>
      </c>
      <c r="AA22" s="15">
        <f>IF(AD22=15,J22,0)</f>
        <v>0</v>
      </c>
      <c r="AB22" s="15">
        <f>IF(AD22=21,J22,0)</f>
        <v>0</v>
      </c>
      <c r="AD22" s="30">
        <v>15</v>
      </c>
      <c r="AE22" s="30">
        <f>G22*0.693569877165124</f>
        <v>0</v>
      </c>
      <c r="AF22" s="30">
        <f>G22*(1-0.693569877165124)</f>
        <v>0</v>
      </c>
    </row>
    <row r="23" spans="1:37">
      <c r="A23" s="4" t="s">
        <v>14</v>
      </c>
      <c r="B23" s="4"/>
      <c r="C23" s="4" t="s">
        <v>33</v>
      </c>
      <c r="D23" s="4" t="s">
        <v>56</v>
      </c>
      <c r="E23" s="4" t="s">
        <v>74</v>
      </c>
      <c r="F23" s="15">
        <v>7.5</v>
      </c>
      <c r="G23" s="15">
        <v>0</v>
      </c>
      <c r="H23" s="15">
        <f>ROUND(F23*AE23,2)</f>
        <v>0</v>
      </c>
      <c r="I23" s="15">
        <f>J23-H23</f>
        <v>0</v>
      </c>
      <c r="J23" s="15">
        <f>ROUND(F23*G23,2)</f>
        <v>0</v>
      </c>
      <c r="K23" s="15">
        <v>0.12683</v>
      </c>
      <c r="L23" s="15">
        <f>F23*K23</f>
        <v>0.95122499999999999</v>
      </c>
      <c r="M23" s="26" t="s">
        <v>90</v>
      </c>
      <c r="N23" s="26" t="s">
        <v>7</v>
      </c>
      <c r="O23" s="15">
        <f>IF(N23="5",I23,0)</f>
        <v>0</v>
      </c>
      <c r="Z23" s="15">
        <f>IF(AD23=0,J23,0)</f>
        <v>0</v>
      </c>
      <c r="AA23" s="15">
        <f>IF(AD23=15,J23,0)</f>
        <v>0</v>
      </c>
      <c r="AB23" s="15">
        <f>IF(AD23=21,J23,0)</f>
        <v>0</v>
      </c>
      <c r="AD23" s="30">
        <v>15</v>
      </c>
      <c r="AE23" s="30">
        <f>G23*0.410912280701754</f>
        <v>0</v>
      </c>
      <c r="AF23" s="30">
        <f>G23*(1-0.410912280701754)</f>
        <v>0</v>
      </c>
    </row>
    <row r="24" spans="1:37">
      <c r="A24" s="5"/>
      <c r="B24" s="12"/>
      <c r="C24" s="12" t="s">
        <v>34</v>
      </c>
      <c r="D24" s="101" t="s">
        <v>57</v>
      </c>
      <c r="E24" s="102"/>
      <c r="F24" s="102"/>
      <c r="G24" s="102"/>
      <c r="H24" s="32">
        <f>SUM(H25:H25)</f>
        <v>0</v>
      </c>
      <c r="I24" s="32">
        <f>SUM(I25:I25)</f>
        <v>0</v>
      </c>
      <c r="J24" s="32">
        <f>H24+I24</f>
        <v>0</v>
      </c>
      <c r="K24" s="23"/>
      <c r="L24" s="32">
        <f>SUM(L25:L25)</f>
        <v>1.7507350000000002</v>
      </c>
      <c r="M24" s="23"/>
      <c r="P24" s="32">
        <f>IF(Q24="PR",J24,SUM(O25:O25))</f>
        <v>0</v>
      </c>
      <c r="Q24" s="23" t="s">
        <v>93</v>
      </c>
      <c r="R24" s="32">
        <f>IF(Q24="HS",H24,0)</f>
        <v>0</v>
      </c>
      <c r="S24" s="32">
        <f>IF(Q24="HS",I24-P24,0)</f>
        <v>0</v>
      </c>
      <c r="T24" s="32">
        <f>IF(Q24="PS",H24,0)</f>
        <v>0</v>
      </c>
      <c r="U24" s="32">
        <f>IF(Q24="PS",I24-P24,0)</f>
        <v>0</v>
      </c>
      <c r="V24" s="32">
        <f>IF(Q24="MP",H24,0)</f>
        <v>0</v>
      </c>
      <c r="W24" s="32">
        <f>IF(Q24="MP",I24-P24,0)</f>
        <v>0</v>
      </c>
      <c r="X24" s="32">
        <f>IF(Q24="OM",H24,0)</f>
        <v>0</v>
      </c>
      <c r="Y24" s="23"/>
      <c r="AI24" s="32">
        <f>SUM(Z25:Z25)</f>
        <v>0</v>
      </c>
      <c r="AJ24" s="32">
        <f>SUM(AA25:AA25)</f>
        <v>0</v>
      </c>
      <c r="AK24" s="32">
        <f>SUM(AB25:AB25)</f>
        <v>0</v>
      </c>
    </row>
    <row r="25" spans="1:37">
      <c r="A25" s="4" t="s">
        <v>15</v>
      </c>
      <c r="B25" s="4"/>
      <c r="C25" s="4" t="s">
        <v>35</v>
      </c>
      <c r="D25" s="4" t="s">
        <v>58</v>
      </c>
      <c r="E25" s="4" t="s">
        <v>71</v>
      </c>
      <c r="F25" s="15">
        <v>3.5</v>
      </c>
      <c r="G25" s="15">
        <v>0</v>
      </c>
      <c r="H25" s="15">
        <f>ROUND(F25*AE25,2)</f>
        <v>0</v>
      </c>
      <c r="I25" s="15">
        <f>J25-H25</f>
        <v>0</v>
      </c>
      <c r="J25" s="15">
        <f>ROUND(F25*G25,2)</f>
        <v>0</v>
      </c>
      <c r="K25" s="15">
        <v>0.50021000000000004</v>
      </c>
      <c r="L25" s="15">
        <f>F25*K25</f>
        <v>1.7507350000000002</v>
      </c>
      <c r="M25" s="26" t="s">
        <v>90</v>
      </c>
      <c r="N25" s="26" t="s">
        <v>9</v>
      </c>
      <c r="O25" s="15">
        <f>IF(N25="5",I25,0)</f>
        <v>0</v>
      </c>
      <c r="Z25" s="15">
        <f>IF(AD25=0,J25,0)</f>
        <v>0</v>
      </c>
      <c r="AA25" s="15">
        <f>IF(AD25=15,J25,0)</f>
        <v>0</v>
      </c>
      <c r="AB25" s="15">
        <f>IF(AD25=21,J25,0)</f>
        <v>0</v>
      </c>
      <c r="AD25" s="30">
        <v>15</v>
      </c>
      <c r="AE25" s="30">
        <f>G25*0.535900186752493</f>
        <v>0</v>
      </c>
      <c r="AF25" s="30">
        <f>G25*(1-0.535900186752493)</f>
        <v>0</v>
      </c>
    </row>
    <row r="26" spans="1:37">
      <c r="A26" s="5"/>
      <c r="B26" s="12"/>
      <c r="C26" s="12" t="s">
        <v>36</v>
      </c>
      <c r="D26" s="101" t="s">
        <v>59</v>
      </c>
      <c r="E26" s="102"/>
      <c r="F26" s="102"/>
      <c r="G26" s="102"/>
      <c r="H26" s="32">
        <f>SUM(H27:H27)</f>
        <v>0</v>
      </c>
      <c r="I26" s="32">
        <f>SUM(I27:I27)</f>
        <v>0</v>
      </c>
      <c r="J26" s="32">
        <f>H26+I26</f>
        <v>0</v>
      </c>
      <c r="K26" s="23"/>
      <c r="L26" s="32">
        <f>SUM(L27:L27)</f>
        <v>2.145</v>
      </c>
      <c r="M26" s="23"/>
      <c r="P26" s="32">
        <f>IF(Q26="PR",J26,SUM(O27:O27))</f>
        <v>0</v>
      </c>
      <c r="Q26" s="23" t="s">
        <v>94</v>
      </c>
      <c r="R26" s="32">
        <f>IF(Q26="HS",H26,0)</f>
        <v>0</v>
      </c>
      <c r="S26" s="32">
        <f>IF(Q26="HS",I26-P26,0)</f>
        <v>0</v>
      </c>
      <c r="T26" s="32">
        <f>IF(Q26="PS",H26,0)</f>
        <v>0</v>
      </c>
      <c r="U26" s="32">
        <f>IF(Q26="PS",I26-P26,0)</f>
        <v>0</v>
      </c>
      <c r="V26" s="32">
        <f>IF(Q26="MP",H26,0)</f>
        <v>0</v>
      </c>
      <c r="W26" s="32">
        <f>IF(Q26="MP",I26-P26,0)</f>
        <v>0</v>
      </c>
      <c r="X26" s="32">
        <f>IF(Q26="OM",H26,0)</f>
        <v>0</v>
      </c>
      <c r="Y26" s="23"/>
      <c r="AI26" s="32">
        <f>SUM(Z27:Z27)</f>
        <v>0</v>
      </c>
      <c r="AJ26" s="32">
        <f>SUM(AA27:AA27)</f>
        <v>0</v>
      </c>
      <c r="AK26" s="32">
        <f>SUM(AB27:AB27)</f>
        <v>0</v>
      </c>
    </row>
    <row r="27" spans="1:37">
      <c r="A27" s="4" t="s">
        <v>16</v>
      </c>
      <c r="B27" s="4"/>
      <c r="C27" s="4" t="s">
        <v>37</v>
      </c>
      <c r="D27" s="4" t="s">
        <v>60</v>
      </c>
      <c r="E27" s="4" t="s">
        <v>71</v>
      </c>
      <c r="F27" s="15">
        <v>19.5</v>
      </c>
      <c r="G27" s="15">
        <v>0</v>
      </c>
      <c r="H27" s="15">
        <f>ROUND(F27*AE27,2)</f>
        <v>0</v>
      </c>
      <c r="I27" s="15">
        <f>J27-H27</f>
        <v>0</v>
      </c>
      <c r="J27" s="15">
        <f>ROUND(F27*G27,2)</f>
        <v>0</v>
      </c>
      <c r="K27" s="15">
        <v>0.11</v>
      </c>
      <c r="L27" s="15">
        <f>F27*K27</f>
        <v>2.145</v>
      </c>
      <c r="M27" s="26" t="s">
        <v>90</v>
      </c>
      <c r="N27" s="26" t="s">
        <v>9</v>
      </c>
      <c r="O27" s="15">
        <f>IF(N27="5",I27,0)</f>
        <v>0</v>
      </c>
      <c r="Z27" s="15">
        <f>IF(AD27=0,J27,0)</f>
        <v>0</v>
      </c>
      <c r="AA27" s="15">
        <f>IF(AD27=15,J27,0)</f>
        <v>0</v>
      </c>
      <c r="AB27" s="15">
        <f>IF(AD27=21,J27,0)</f>
        <v>0</v>
      </c>
      <c r="AD27" s="30">
        <v>15</v>
      </c>
      <c r="AE27" s="30">
        <f>G27*0</f>
        <v>0</v>
      </c>
      <c r="AF27" s="30">
        <f>G27*(1-0)</f>
        <v>0</v>
      </c>
    </row>
    <row r="28" spans="1:37">
      <c r="A28" s="5"/>
      <c r="B28" s="12"/>
      <c r="C28" s="12" t="s">
        <v>38</v>
      </c>
      <c r="D28" s="101" t="s">
        <v>61</v>
      </c>
      <c r="E28" s="102"/>
      <c r="F28" s="102"/>
      <c r="G28" s="102"/>
      <c r="H28" s="32">
        <f>SUM(H29:H29)</f>
        <v>0</v>
      </c>
      <c r="I28" s="32">
        <f>SUM(I29:I29)</f>
        <v>0</v>
      </c>
      <c r="J28" s="32">
        <f>H28+I28</f>
        <v>0</v>
      </c>
      <c r="K28" s="23"/>
      <c r="L28" s="32">
        <f>SUM(L29:L29)</f>
        <v>6.0956000000000003E-2</v>
      </c>
      <c r="M28" s="23"/>
      <c r="P28" s="32">
        <f>IF(Q28="PR",J28,SUM(O29:O29))</f>
        <v>0</v>
      </c>
      <c r="Q28" s="23" t="s">
        <v>94</v>
      </c>
      <c r="R28" s="32">
        <f>IF(Q28="HS",H28,0)</f>
        <v>0</v>
      </c>
      <c r="S28" s="32">
        <f>IF(Q28="HS",I28-P28,0)</f>
        <v>0</v>
      </c>
      <c r="T28" s="32">
        <f>IF(Q28="PS",H28,0)</f>
        <v>0</v>
      </c>
      <c r="U28" s="32">
        <f>IF(Q28="PS",I28-P28,0)</f>
        <v>0</v>
      </c>
      <c r="V28" s="32">
        <f>IF(Q28="MP",H28,0)</f>
        <v>0</v>
      </c>
      <c r="W28" s="32">
        <f>IF(Q28="MP",I28-P28,0)</f>
        <v>0</v>
      </c>
      <c r="X28" s="32">
        <f>IF(Q28="OM",H28,0)</f>
        <v>0</v>
      </c>
      <c r="Y28" s="23"/>
      <c r="AI28" s="32">
        <f>SUM(Z29:Z29)</f>
        <v>0</v>
      </c>
      <c r="AJ28" s="32">
        <f>SUM(AA29:AA29)</f>
        <v>0</v>
      </c>
      <c r="AK28" s="32">
        <f>SUM(AB29:AB29)</f>
        <v>0</v>
      </c>
    </row>
    <row r="29" spans="1:37">
      <c r="A29" s="4" t="s">
        <v>17</v>
      </c>
      <c r="B29" s="4"/>
      <c r="C29" s="4" t="s">
        <v>39</v>
      </c>
      <c r="D29" s="4" t="s">
        <v>62</v>
      </c>
      <c r="E29" s="4" t="s">
        <v>71</v>
      </c>
      <c r="F29" s="15">
        <v>15.55</v>
      </c>
      <c r="G29" s="15">
        <v>0</v>
      </c>
      <c r="H29" s="15">
        <f>ROUND(F29*AE29,2)</f>
        <v>0</v>
      </c>
      <c r="I29" s="15">
        <f>J29-H29</f>
        <v>0</v>
      </c>
      <c r="J29" s="15">
        <f>ROUND(F29*G29,2)</f>
        <v>0</v>
      </c>
      <c r="K29" s="15">
        <v>3.9199999999999999E-3</v>
      </c>
      <c r="L29" s="15">
        <f>F29*K29</f>
        <v>6.0956000000000003E-2</v>
      </c>
      <c r="M29" s="26" t="s">
        <v>90</v>
      </c>
      <c r="N29" s="26" t="s">
        <v>9</v>
      </c>
      <c r="O29" s="15">
        <f>IF(N29="5",I29,0)</f>
        <v>0</v>
      </c>
      <c r="Z29" s="15">
        <f>IF(AD29=0,J29,0)</f>
        <v>0</v>
      </c>
      <c r="AA29" s="15">
        <f>IF(AD29=15,J29,0)</f>
        <v>0</v>
      </c>
      <c r="AB29" s="15">
        <f>IF(AD29=21,J29,0)</f>
        <v>0</v>
      </c>
      <c r="AD29" s="30">
        <v>15</v>
      </c>
      <c r="AE29" s="30">
        <f>G29*0</f>
        <v>0</v>
      </c>
      <c r="AF29" s="30">
        <f>G29*(1-0)</f>
        <v>0</v>
      </c>
    </row>
    <row r="30" spans="1:37">
      <c r="A30" s="5"/>
      <c r="B30" s="12"/>
      <c r="C30" s="12" t="s">
        <v>40</v>
      </c>
      <c r="D30" s="101" t="s">
        <v>63</v>
      </c>
      <c r="E30" s="102"/>
      <c r="F30" s="102"/>
      <c r="G30" s="102"/>
      <c r="H30" s="32">
        <f>SUM(H31:H31)</f>
        <v>0</v>
      </c>
      <c r="I30" s="32">
        <f>SUM(I31:I31)</f>
        <v>0</v>
      </c>
      <c r="J30" s="32">
        <f>H30+I30</f>
        <v>0</v>
      </c>
      <c r="K30" s="23"/>
      <c r="L30" s="32">
        <f>SUM(L31:L31)</f>
        <v>0.01</v>
      </c>
      <c r="M30" s="23"/>
      <c r="P30" s="32">
        <f>IF(Q30="PR",J30,SUM(O31:O31))</f>
        <v>0</v>
      </c>
      <c r="Q30" s="23" t="s">
        <v>93</v>
      </c>
      <c r="R30" s="32">
        <f>IF(Q30="HS",H30,0)</f>
        <v>0</v>
      </c>
      <c r="S30" s="32">
        <f>IF(Q30="HS",I30-P30,0)</f>
        <v>0</v>
      </c>
      <c r="T30" s="32">
        <f>IF(Q30="PS",H30,0)</f>
        <v>0</v>
      </c>
      <c r="U30" s="32">
        <f>IF(Q30="PS",I30-P30,0)</f>
        <v>0</v>
      </c>
      <c r="V30" s="32">
        <f>IF(Q30="MP",H30,0)</f>
        <v>0</v>
      </c>
      <c r="W30" s="32">
        <f>IF(Q30="MP",I30-P30,0)</f>
        <v>0</v>
      </c>
      <c r="X30" s="32">
        <f>IF(Q30="OM",H30,0)</f>
        <v>0</v>
      </c>
      <c r="Y30" s="23"/>
      <c r="AI30" s="32">
        <f>SUM(Z31:Z31)</f>
        <v>0</v>
      </c>
      <c r="AJ30" s="32">
        <f>SUM(AA31:AA31)</f>
        <v>0</v>
      </c>
      <c r="AK30" s="32">
        <f>SUM(AB31:AB31)</f>
        <v>0</v>
      </c>
    </row>
    <row r="31" spans="1:37">
      <c r="A31" s="6" t="s">
        <v>18</v>
      </c>
      <c r="B31" s="6"/>
      <c r="C31" s="6" t="s">
        <v>41</v>
      </c>
      <c r="D31" s="6" t="s">
        <v>64</v>
      </c>
      <c r="E31" s="6" t="s">
        <v>73</v>
      </c>
      <c r="F31" s="16">
        <v>5</v>
      </c>
      <c r="G31" s="16">
        <v>0</v>
      </c>
      <c r="H31" s="16">
        <f>ROUND(F31*AE31,2)</f>
        <v>0</v>
      </c>
      <c r="I31" s="16">
        <f>J31-H31</f>
        <v>0</v>
      </c>
      <c r="J31" s="16">
        <f>ROUND(F31*G31,2)</f>
        <v>0</v>
      </c>
      <c r="K31" s="16">
        <v>2E-3</v>
      </c>
      <c r="L31" s="16">
        <f>F31*K31</f>
        <v>0.01</v>
      </c>
      <c r="M31" s="27" t="s">
        <v>90</v>
      </c>
      <c r="N31" s="26" t="s">
        <v>7</v>
      </c>
      <c r="O31" s="15">
        <f>IF(N31="5",I31,0)</f>
        <v>0</v>
      </c>
      <c r="Z31" s="15">
        <f>IF(AD31=0,J31,0)</f>
        <v>0</v>
      </c>
      <c r="AA31" s="15">
        <f>IF(AD31=15,J31,0)</f>
        <v>0</v>
      </c>
      <c r="AB31" s="15">
        <f>IF(AD31=21,J31,0)</f>
        <v>0</v>
      </c>
      <c r="AD31" s="30">
        <v>15</v>
      </c>
      <c r="AE31" s="30">
        <f>G31*0</f>
        <v>0</v>
      </c>
      <c r="AF31" s="30">
        <f>G31*(1-0)</f>
        <v>0</v>
      </c>
    </row>
    <row r="32" spans="1:37">
      <c r="A32" s="7"/>
      <c r="B32" s="7"/>
      <c r="C32" s="7"/>
      <c r="D32" s="7"/>
      <c r="E32" s="7"/>
      <c r="F32" s="7"/>
      <c r="G32" s="7"/>
      <c r="H32" s="94" t="s">
        <v>80</v>
      </c>
      <c r="I32" s="84"/>
      <c r="J32" s="33">
        <f>J12+J14+J19+J21+J24+J26+J28+J30</f>
        <v>0</v>
      </c>
      <c r="K32" s="7"/>
      <c r="L32" s="7"/>
      <c r="M32" s="7"/>
      <c r="Z32" s="34">
        <f>SUM(Z13:Z31)</f>
        <v>0</v>
      </c>
      <c r="AA32" s="34">
        <f>SUM(AA13:AA31)</f>
        <v>0</v>
      </c>
      <c r="AB32" s="34">
        <f>SUM(AB13:AB31)</f>
        <v>0</v>
      </c>
    </row>
    <row r="33" spans="1:13" ht="11.25" customHeight="1">
      <c r="A33" s="8" t="s">
        <v>19</v>
      </c>
    </row>
    <row r="34" spans="1:13" ht="409.6" hidden="1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30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H32:I32"/>
    <mergeCell ref="A34:M34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 rozpočtu</vt:lpstr>
      <vt:lpstr>Stavební 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Moravec</dc:creator>
  <cp:lastModifiedBy>Karel Moravec</cp:lastModifiedBy>
  <dcterms:created xsi:type="dcterms:W3CDTF">2016-01-15T08:14:04Z</dcterms:created>
  <dcterms:modified xsi:type="dcterms:W3CDTF">2016-01-15T08:17:34Z</dcterms:modified>
</cp:coreProperties>
</file>