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65521" yWindow="65521" windowWidth="15338" windowHeight="9345" activeTab="1"/>
  </bookViews>
  <sheets>
    <sheet name="Eingabe" sheetId="1" r:id="rId1"/>
    <sheet name="Massen" sheetId="2" r:id="rId2"/>
    <sheet name="B" sheetId="3" r:id="rId3"/>
    <sheet name="Tabelle1" sheetId="4" r:id="rId4"/>
  </sheets>
  <definedNames>
    <definedName name="_xlnm.Print_Area" localSheetId="0">'Eingabe'!#REF!</definedName>
    <definedName name="_xlnm.Print_Area" localSheetId="1">'Massen'!$A$1:$G$52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<sst xmlns="http://schemas.openxmlformats.org/spreadsheetml/2006/main" count="234" uniqueCount="174">
  <si>
    <t>m</t>
  </si>
  <si>
    <t xml:space="preserve"> </t>
  </si>
  <si>
    <t>Summe</t>
  </si>
  <si>
    <t>€</t>
  </si>
  <si>
    <t>m²</t>
  </si>
  <si>
    <t>Heizkreise</t>
  </si>
  <si>
    <t>EG</t>
  </si>
  <si>
    <t>OG</t>
  </si>
  <si>
    <t>Rohr</t>
  </si>
  <si>
    <t>Verteiler</t>
  </si>
  <si>
    <t>Verteiler 1</t>
  </si>
  <si>
    <t>Fläche</t>
  </si>
  <si>
    <t>Anzahl der Räume</t>
  </si>
  <si>
    <t>KG</t>
  </si>
  <si>
    <t>Verteiler 2</t>
  </si>
  <si>
    <t>Herr Stummer</t>
  </si>
  <si>
    <t>B. Ossege</t>
  </si>
  <si>
    <t>C. Gabrysch</t>
  </si>
  <si>
    <t>K.F. Westerhoff</t>
  </si>
  <si>
    <t>B.Voss</t>
  </si>
  <si>
    <t>1. Kreis</t>
  </si>
  <si>
    <t>2. Kreis</t>
  </si>
  <si>
    <t>3 Kreis</t>
  </si>
  <si>
    <t>4. Kreis</t>
  </si>
  <si>
    <t>5. Kreis</t>
  </si>
  <si>
    <t>6. Kreis</t>
  </si>
  <si>
    <t>7. Kreis</t>
  </si>
  <si>
    <t>8. Kreis</t>
  </si>
  <si>
    <t>9. Kreis</t>
  </si>
  <si>
    <t>10. Kreis</t>
  </si>
  <si>
    <t>11.Kreis</t>
  </si>
  <si>
    <t>12.Kreis</t>
  </si>
  <si>
    <t>BRS 808 KSF</t>
  </si>
  <si>
    <t>L. Cronauge</t>
  </si>
  <si>
    <t>Herr Schilhan</t>
  </si>
  <si>
    <t>Herr Schmidt</t>
  </si>
  <si>
    <t>M. Dodt</t>
  </si>
  <si>
    <t>EN23F</t>
  </si>
  <si>
    <t>Systembestandteile</t>
  </si>
  <si>
    <t>Klemmleiste:</t>
  </si>
  <si>
    <t>2 Fach Vert.</t>
  </si>
  <si>
    <t>3 Fach Vert.</t>
  </si>
  <si>
    <t>4 Fach Vert.</t>
  </si>
  <si>
    <t>5 Fach Vert.</t>
  </si>
  <si>
    <t>6 Fach Vert.</t>
  </si>
  <si>
    <t>7 Fach Vert.</t>
  </si>
  <si>
    <t>8 Fach Vert.</t>
  </si>
  <si>
    <t>9 Fach Vert.</t>
  </si>
  <si>
    <t>10 Fach Vert.</t>
  </si>
  <si>
    <t>11 Fach Vert.</t>
  </si>
  <si>
    <t>12 Fach Vert.</t>
  </si>
  <si>
    <t xml:space="preserve">Summe: </t>
  </si>
  <si>
    <t>Klemmleistenbedarf:</t>
  </si>
  <si>
    <t>Glatte Folienplatte:</t>
  </si>
  <si>
    <t>Summe:</t>
  </si>
  <si>
    <t>Randdämmstreifen:</t>
  </si>
  <si>
    <t>BRS/KF</t>
  </si>
  <si>
    <t>RTB</t>
  </si>
  <si>
    <t>RTB:</t>
  </si>
  <si>
    <t>RTBR:</t>
  </si>
  <si>
    <t>Klemmverschraubungen</t>
  </si>
  <si>
    <t>Anschlusswinkel</t>
  </si>
  <si>
    <t>M.Schütz</t>
  </si>
  <si>
    <t>A. Wagemann</t>
  </si>
  <si>
    <t>A. Westerhoff</t>
  </si>
  <si>
    <t>Herr Ueberschaer</t>
  </si>
  <si>
    <t>Herr Zacher</t>
  </si>
  <si>
    <t>Herr Vink</t>
  </si>
  <si>
    <t>Herr Sinfeld</t>
  </si>
  <si>
    <t>Steuermodulerweiterung</t>
  </si>
  <si>
    <t>Auswahl Noppenplatte:</t>
  </si>
  <si>
    <t>EN2520P</t>
  </si>
  <si>
    <t>Verteiler 3</t>
  </si>
  <si>
    <t>EN2520PF</t>
  </si>
  <si>
    <t>Auswahl Regelungstechnik:</t>
  </si>
  <si>
    <t>RT Normalspannung</t>
  </si>
  <si>
    <t>RT Niederspannung</t>
  </si>
  <si>
    <t>RT Funk</t>
  </si>
  <si>
    <t>RT Kühlen/Heizen</t>
  </si>
  <si>
    <t>Montagesockel</t>
  </si>
  <si>
    <t>Steuermodul Normal</t>
  </si>
  <si>
    <t>Steuermodul Nieders</t>
  </si>
  <si>
    <t>Stellantrieb Normals</t>
  </si>
  <si>
    <t>Stellantrieb Nieder</t>
  </si>
  <si>
    <t>RTBR</t>
  </si>
  <si>
    <t>Verteilersets:</t>
  </si>
  <si>
    <t xml:space="preserve">Heizrohr </t>
  </si>
  <si>
    <t>EN 2520P</t>
  </si>
  <si>
    <t>EN 2520PF</t>
  </si>
  <si>
    <t>EN 23F</t>
  </si>
  <si>
    <t>Folienbedarf</t>
  </si>
  <si>
    <t>Auswahl 14 Anschlussset</t>
  </si>
  <si>
    <t>Auswahl 16 Anschluss</t>
  </si>
  <si>
    <t>Steuermodul FUNK</t>
  </si>
  <si>
    <t>Stellantrieb FUNK</t>
  </si>
  <si>
    <t>Auswahl 14 Anschluss ohne RTB</t>
  </si>
  <si>
    <t>Auswahl 16 Anschluss ohne RTB</t>
  </si>
  <si>
    <t>16er Rohr</t>
  </si>
  <si>
    <t>14er</t>
  </si>
  <si>
    <t>16er</t>
  </si>
  <si>
    <t>Klemm/Anschlussnipperl</t>
  </si>
  <si>
    <t>Beimischstation</t>
  </si>
  <si>
    <t>BRS</t>
  </si>
  <si>
    <t>Steuermodul R1</t>
  </si>
  <si>
    <t>Normalspannung</t>
  </si>
  <si>
    <t>Niederspannung</t>
  </si>
  <si>
    <t>Herr Srnec</t>
  </si>
  <si>
    <t>I. Mettken</t>
  </si>
  <si>
    <t>T. Grenda</t>
  </si>
  <si>
    <t>S. Langwald</t>
  </si>
  <si>
    <t>Herr Zienau</t>
  </si>
  <si>
    <t>Číslo projektu :</t>
  </si>
  <si>
    <t>ks</t>
  </si>
  <si>
    <t>Pol.</t>
  </si>
  <si>
    <t>Jednotka</t>
  </si>
  <si>
    <r>
      <t xml:space="preserve">Suma </t>
    </r>
    <r>
      <rPr>
        <b/>
        <sz val="8"/>
        <rFont val="Arial"/>
        <family val="2"/>
      </rPr>
      <t xml:space="preserve">bez DPH </t>
    </r>
  </si>
  <si>
    <t>Príslušný poradenský servis a zaškolenie pracovníkov bude poskytnutý zdarma.</t>
  </si>
  <si>
    <t>VODA,KURENIE</t>
  </si>
  <si>
    <t>Stavebný zámer:</t>
  </si>
  <si>
    <t>Dátum zmeny:</t>
  </si>
  <si>
    <t>vodoinštalatérske práce 
osadenie a pripojenie Geberitu, kanalizačné rozvody,
rozvody vody z plasthliníka z tepelnou izoláciou,
pripojenie v kotolni cez filtre a ventily</t>
  </si>
  <si>
    <t>Hod</t>
  </si>
  <si>
    <t>Množsto</t>
  </si>
  <si>
    <t>Popis:</t>
  </si>
  <si>
    <t>Cena za jednotku:</t>
  </si>
  <si>
    <t xml:space="preserve">elektroinštalačné práce,montáž, zapájanie prvkov </t>
  </si>
  <si>
    <t>Súb.</t>
  </si>
  <si>
    <t>montáž sanity,
umývadlo zo skrinkou, radiator.rebrík, závesná misa s tlačidlom,
kompletáž sprchového sifónu a zásteny, tmelenie
silikónom</t>
  </si>
  <si>
    <t>Čerpadlo cirkulačný Grundfos závitové UP 15-14 BA PM
80 AUTO
cirkulačné čerpadlo pre teplú vodu s príslušenstvom</t>
  </si>
  <si>
    <t>rozvody vody a kúrenia z Rautitanu s lisovacími fitingami,V hrubom odhade sú započítané rúry DN 20 a 25 s izoláciou a vývody pre bežnú kúpelňu s cirkuláciou Túv,kuchyňu a rozvody kúrenia, cca 30 fitingov s objímkami á 9,80 ks</t>
  </si>
  <si>
    <t>kanalizačné rozvody,rúry a komponenty vonkajšie aj vnútorné, odvetrávacia hlavica HL + odhlučnené potrubie stupačiek Rehau Raupiano, bm/12,62, plus pomocný materiál, inšt.objímky,mazadlo,purpena...</t>
  </si>
  <si>
    <t>set</t>
  </si>
  <si>
    <t>m2</t>
  </si>
  <si>
    <t>Radiátor kúpelňový PMH Blenhaim 600/1640,biely</t>
  </si>
  <si>
    <t>Ventil pre rebrík Danby VHX DUOchróm hlavice RTX</t>
  </si>
  <si>
    <t>Madlo CHB2 chróm ku radiátoru Danby ,Blenheim 600mm</t>
  </si>
  <si>
    <t>P.M.H. , vešiačiky chróm CRH 1</t>
  </si>
  <si>
    <t>Ventil príslušenstvo Danfoss - napojenie meď R1/2" ,-15mm</t>
  </si>
  <si>
    <t>Hansgrohe I-box pod batériu,2x sprcha, 1 x vaňa</t>
  </si>
  <si>
    <t>Predbežný návrh kalkulácie..:</t>
  </si>
  <si>
    <t>kohút FF páka Superfilter BALL 3/4" závitový s filtrom.</t>
  </si>
  <si>
    <t>rohový ventil Schell 1/2"-3/4"</t>
  </si>
  <si>
    <t>rohový ventil Schell 1/2"-3/8"</t>
  </si>
  <si>
    <t>uzatváracie ventily s prísl.</t>
  </si>
  <si>
    <t>Geberit Duofix - Súprava s otvorom pre vhadzovanie tabliet</t>
  </si>
  <si>
    <t>GEB.Concept Duofix,UP320,112cm,s odsávaním</t>
  </si>
  <si>
    <t>Predst.syst.GEB DuofixBasic,modul,traverza</t>
  </si>
  <si>
    <t>Všetky ceny sú bez DPH !</t>
  </si>
  <si>
    <t>Ceny platné do 31.12.2018</t>
  </si>
  <si>
    <t>Ovládacia doska GEBERIT</t>
  </si>
  <si>
    <t>Vsuvky,redukcie,T-kusy,kolená MOZADZ</t>
  </si>
  <si>
    <t>Filter s RVT Honeywell 1" FK74CS-1AA preplachovací hlavný filter s nerezovým sitkom a redukčným ventilom</t>
  </si>
  <si>
    <t>rohový zákryt 300x300/2600 mm nalepiteľný kryt potrubí po rekonštrukcii rozvodov</t>
  </si>
  <si>
    <t>Flamco Clean Smart 3/4" Ecoplus</t>
  </si>
  <si>
    <t>Esbe VTA 322 20-43°C termostatický zmiešavač</t>
  </si>
  <si>
    <t>Čerpadlo obehové Grundfos závitové ALPHA2 25-40 ,NEW 130mm 1xčerpadlo kúrenia</t>
  </si>
  <si>
    <t>Meibes guľový kohút 1" k čerpadlu</t>
  </si>
  <si>
    <t>CONCEPT termostat elektronický s podsvíceným regulač.kolečkom</t>
  </si>
  <si>
    <t>CONCEPT Svorkovnica distribučná 6 kanálov a 24 servopohonov,230V</t>
  </si>
  <si>
    <t>CONCEPT Servopohon 2-drátený 230V; M30x1,5</t>
  </si>
  <si>
    <t>Regulácia priestorová - týždenný OpenTherm CR04,programovateľný termostat, alternatívne s GSM modulom</t>
  </si>
  <si>
    <t>Oventrop - Multidis SF/SFB skrinka pre rozdeľovač nástenná 1250 mm</t>
  </si>
  <si>
    <t>Prechodka 3/4" Eurokonus pre PE a PB rúrku , 3/4"EK x 16 mm</t>
  </si>
  <si>
    <t>Rozdeľovač Oventrop - Multidis SF pre 9 okr., 0-5 l/min.</t>
  </si>
  <si>
    <t>El.kotol PROTHERM RAJA 9K s elektronickým čerpadlom</t>
  </si>
  <si>
    <t>Kohút guľový so zeleným pákovým ovládačom DN20 závitový g</t>
  </si>
  <si>
    <t>Elohrievač TATRAMAT EO 120L s rýchloohrevom,230kW</t>
  </si>
  <si>
    <t>ZB</t>
  </si>
  <si>
    <t>Suma pol. 1 až 41</t>
  </si>
  <si>
    <t>Rekreačný objekt,Záhorská Bystrica,Bratislava</t>
  </si>
  <si>
    <t xml:space="preserve">náklady na kompletnú montáž podlahovky 44 m2
pokládka EPS, systémovej dosky, dilatačných pások a
líšt, rúrky a zapojenie rozdeľovačov. </t>
  </si>
  <si>
    <t>osadenie stenového sifónu Geberit Kombifix s pripojením
vrátane pripojenia na kanalizáciu s upevnením k podlahe
a stenám nastavením požadovanej výšky, takisto
podlahový žľab v sprche</t>
  </si>
  <si>
    <t xml:space="preserve">Podlahové vykurovanie ,kúpelne 75 mm,izby 150mm rozteč,rúrka 16 mm </t>
  </si>
  <si>
    <t xml:space="preserve"> 110 cm sprchový žlab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</si>
</sst>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_ ;\-#,##0.00\ "/>
    <numFmt numFmtId="183" formatCode="#,##0.00\ &quot;DM&quot;"/>
    <numFmt numFmtId="184" formatCode="0.000000"/>
    <numFmt numFmtId="185" formatCode="0.00000"/>
    <numFmt numFmtId="186" formatCode="0.0000"/>
    <numFmt numFmtId="187" formatCode="0.000000000"/>
    <numFmt numFmtId="188" formatCode="0.00000000"/>
    <numFmt numFmtId="189" formatCode="0.0000000"/>
    <numFmt numFmtId="190" formatCode="_-* #,##0.000\ _D_M_-;\-* #,##0.000\ _D_M_-;_-* &quot;-&quot;??\ _D_M_-;_-@_-"/>
    <numFmt numFmtId="191" formatCode="_-* #,##0.0\ _D_M_-;\-* #,##0.0\ _D_M_-;_-* &quot;-&quot;??\ _D_M_-;_-@_-"/>
    <numFmt numFmtId="192" formatCode="_-* #,##0\ _D_M_-;\-* #,##0\ _D_M_-;_-* &quot;-&quot;??\ _D_M_-;_-@_-"/>
    <numFmt numFmtId="193" formatCode="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5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36"/>
      <name val="Arial"/>
      <family val="2"/>
    </font>
    <font>
      <b/>
      <sz val="10"/>
      <color indexed="10"/>
      <name val="Arial"/>
      <family val="2"/>
    </font>
    <font>
      <sz val="72"/>
      <color indexed="17"/>
      <name val="Broadway"/>
      <family val="5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10"/>
      <color rgb="FFFF0000"/>
      <name val="Arial"/>
      <family val="2"/>
    </font>
    <font>
      <sz val="72"/>
      <color rgb="FF00B050"/>
      <name val="Broadway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9" fontId="2" fillId="0" borderId="10" xfId="48" applyNumberFormat="1" applyFont="1" applyBorder="1" applyAlignment="1">
      <alignment horizontal="right" wrapText="1"/>
    </xf>
    <xf numFmtId="179" fontId="2" fillId="0" borderId="0" xfId="48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9" fontId="2" fillId="0" borderId="15" xfId="0" applyNumberFormat="1" applyFont="1" applyBorder="1" applyAlignment="1">
      <alignment horizontal="center" wrapText="1"/>
    </xf>
    <xf numFmtId="0" fontId="1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179" fontId="2" fillId="0" borderId="10" xfId="48" applyNumberFormat="1" applyFont="1" applyBorder="1" applyAlignment="1" applyProtection="1">
      <alignment horizontal="right" wrapText="1"/>
      <protection locked="0"/>
    </xf>
    <xf numFmtId="179" fontId="2" fillId="0" borderId="10" xfId="48" applyNumberFormat="1" applyFont="1" applyBorder="1" applyAlignment="1" applyProtection="1">
      <alignment horizontal="right"/>
      <protection locked="0"/>
    </xf>
    <xf numFmtId="179" fontId="2" fillId="0" borderId="21" xfId="48" applyNumberFormat="1" applyFont="1" applyBorder="1" applyAlignment="1" applyProtection="1">
      <alignment horizontal="right" wrapText="1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179" fontId="2" fillId="0" borderId="10" xfId="48" applyNumberFormat="1" applyFont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wrapText="1"/>
    </xf>
    <xf numFmtId="0" fontId="1" fillId="34" borderId="0" xfId="0" applyFont="1" applyFill="1" applyBorder="1" applyAlignment="1">
      <alignment/>
    </xf>
    <xf numFmtId="192" fontId="2" fillId="0" borderId="10" xfId="48" applyNumberFormat="1" applyFont="1" applyBorder="1" applyAlignment="1" applyProtection="1">
      <alignment horizontal="center" wrapText="1"/>
      <protection locked="0"/>
    </xf>
    <xf numFmtId="192" fontId="0" fillId="0" borderId="22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179" fontId="2" fillId="0" borderId="31" xfId="48" applyNumberFormat="1" applyFont="1" applyBorder="1" applyAlignment="1" applyProtection="1">
      <alignment horizontal="right" wrapText="1"/>
      <protection locked="0"/>
    </xf>
    <xf numFmtId="0" fontId="12" fillId="0" borderId="23" xfId="0" applyFont="1" applyBorder="1" applyAlignment="1" applyProtection="1">
      <alignment/>
      <protection hidden="1"/>
    </xf>
    <xf numFmtId="0" fontId="11" fillId="0" borderId="24" xfId="0" applyFont="1" applyBorder="1" applyAlignment="1">
      <alignment/>
    </xf>
    <xf numFmtId="0" fontId="5" fillId="0" borderId="26" xfId="0" applyFont="1" applyBorder="1" applyAlignment="1">
      <alignment/>
    </xf>
    <xf numFmtId="17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179" fontId="0" fillId="0" borderId="0" xfId="0" applyNumberFormat="1" applyBorder="1" applyAlignment="1">
      <alignment/>
    </xf>
    <xf numFmtId="0" fontId="0" fillId="0" borderId="26" xfId="0" applyBorder="1" applyAlignment="1">
      <alignment horizontal="center"/>
    </xf>
    <xf numFmtId="179" fontId="2" fillId="0" borderId="32" xfId="48" applyNumberFormat="1" applyFont="1" applyBorder="1" applyAlignment="1" applyProtection="1">
      <alignment horizontal="right" wrapText="1"/>
      <protection locked="0"/>
    </xf>
    <xf numFmtId="0" fontId="0" fillId="0" borderId="33" xfId="0" applyBorder="1" applyAlignment="1">
      <alignment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192" fontId="0" fillId="0" borderId="0" xfId="0" applyNumberFormat="1" applyBorder="1" applyAlignment="1">
      <alignment/>
    </xf>
    <xf numFmtId="0" fontId="0" fillId="0" borderId="2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92" fontId="0" fillId="0" borderId="0" xfId="48" applyNumberFormat="1" applyFont="1" applyBorder="1" applyAlignment="1" applyProtection="1">
      <alignment/>
      <protection hidden="1"/>
    </xf>
    <xf numFmtId="0" fontId="5" fillId="0" borderId="24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179" fontId="0" fillId="0" borderId="26" xfId="0" applyNumberFormat="1" applyBorder="1" applyAlignment="1">
      <alignment/>
    </xf>
    <xf numFmtId="179" fontId="0" fillId="0" borderId="0" xfId="0" applyNumberFormat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9" fontId="2" fillId="0" borderId="34" xfId="48" applyNumberFormat="1" applyFont="1" applyBorder="1" applyAlignment="1" applyProtection="1">
      <alignment horizontal="center" wrapText="1"/>
      <protection locked="0"/>
    </xf>
    <xf numFmtId="179" fontId="2" fillId="0" borderId="32" xfId="48" applyNumberFormat="1" applyFont="1" applyBorder="1" applyAlignment="1" applyProtection="1">
      <alignment horizontal="center" wrapText="1"/>
      <protection locked="0"/>
    </xf>
    <xf numFmtId="179" fontId="0" fillId="0" borderId="26" xfId="0" applyNumberFormat="1" applyBorder="1" applyAlignment="1" applyProtection="1">
      <alignment/>
      <protection hidden="1"/>
    </xf>
    <xf numFmtId="179" fontId="0" fillId="0" borderId="0" xfId="0" applyNumberFormat="1" applyBorder="1" applyAlignment="1" applyProtection="1">
      <alignment/>
      <protection hidden="1"/>
    </xf>
    <xf numFmtId="179" fontId="0" fillId="0" borderId="27" xfId="0" applyNumberFormat="1" applyBorder="1" applyAlignment="1" applyProtection="1">
      <alignment/>
      <protection hidden="1"/>
    </xf>
    <xf numFmtId="192" fontId="2" fillId="0" borderId="34" xfId="48" applyNumberFormat="1" applyFont="1" applyBorder="1" applyAlignment="1" applyProtection="1">
      <alignment horizontal="center" wrapText="1"/>
      <protection locked="0"/>
    </xf>
    <xf numFmtId="192" fontId="2" fillId="0" borderId="32" xfId="48" applyNumberFormat="1" applyFont="1" applyBorder="1" applyAlignment="1" applyProtection="1">
      <alignment horizontal="center" wrapText="1"/>
      <protection locked="0"/>
    </xf>
    <xf numFmtId="192" fontId="0" fillId="0" borderId="26" xfId="0" applyNumberFormat="1" applyBorder="1" applyAlignment="1">
      <alignment/>
    </xf>
    <xf numFmtId="192" fontId="0" fillId="0" borderId="27" xfId="0" applyNumberFormat="1" applyBorder="1" applyAlignment="1">
      <alignment/>
    </xf>
    <xf numFmtId="192" fontId="0" fillId="0" borderId="28" xfId="0" applyNumberFormat="1" applyBorder="1" applyAlignment="1">
      <alignment/>
    </xf>
    <xf numFmtId="192" fontId="0" fillId="0" borderId="29" xfId="0" applyNumberFormat="1" applyBorder="1" applyAlignment="1">
      <alignment/>
    </xf>
    <xf numFmtId="192" fontId="0" fillId="0" borderId="30" xfId="0" applyNumberFormat="1" applyBorder="1" applyAlignment="1">
      <alignment/>
    </xf>
    <xf numFmtId="0" fontId="0" fillId="0" borderId="26" xfId="0" applyFill="1" applyBorder="1" applyAlignment="1">
      <alignment horizontal="left"/>
    </xf>
    <xf numFmtId="179" fontId="2" fillId="0" borderId="34" xfId="48" applyNumberFormat="1" applyFont="1" applyBorder="1" applyAlignment="1" applyProtection="1">
      <alignment horizontal="right" wrapText="1"/>
      <protection locked="0"/>
    </xf>
    <xf numFmtId="179" fontId="0" fillId="0" borderId="29" xfId="0" applyNumberFormat="1" applyBorder="1" applyAlignment="1">
      <alignment/>
    </xf>
    <xf numFmtId="179" fontId="0" fillId="0" borderId="0" xfId="0" applyNumberFormat="1" applyFill="1" applyBorder="1" applyAlignment="1" applyProtection="1">
      <alignment/>
      <protection hidden="1"/>
    </xf>
    <xf numFmtId="192" fontId="0" fillId="0" borderId="0" xfId="0" applyNumberFormat="1" applyFill="1" applyBorder="1" applyAlignment="1">
      <alignment/>
    </xf>
    <xf numFmtId="0" fontId="0" fillId="0" borderId="35" xfId="0" applyBorder="1" applyAlignment="1">
      <alignment/>
    </xf>
    <xf numFmtId="179" fontId="0" fillId="0" borderId="24" xfId="0" applyNumberFormat="1" applyBorder="1" applyAlignment="1">
      <alignment/>
    </xf>
    <xf numFmtId="179" fontId="0" fillId="0" borderId="2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5" xfId="0" applyFill="1" applyBorder="1" applyAlignment="1">
      <alignment/>
    </xf>
    <xf numFmtId="179" fontId="0" fillId="0" borderId="0" xfId="0" applyNumberFormat="1" applyAlignment="1">
      <alignment/>
    </xf>
    <xf numFmtId="179" fontId="0" fillId="0" borderId="28" xfId="0" applyNumberFormat="1" applyBorder="1" applyAlignment="1">
      <alignment/>
    </xf>
    <xf numFmtId="192" fontId="0" fillId="0" borderId="0" xfId="0" applyNumberFormat="1" applyAlignment="1">
      <alignment/>
    </xf>
    <xf numFmtId="43" fontId="0" fillId="0" borderId="0" xfId="0" applyNumberFormat="1" applyAlignment="1">
      <alignment/>
    </xf>
    <xf numFmtId="192" fontId="0" fillId="0" borderId="0" xfId="0" applyNumberFormat="1" applyAlignment="1">
      <alignment horizontal="right"/>
    </xf>
    <xf numFmtId="0" fontId="0" fillId="0" borderId="37" xfId="0" applyNumberFormat="1" applyFont="1" applyBorder="1" applyAlignment="1" applyProtection="1">
      <alignment horizontal="left"/>
      <protection locked="0"/>
    </xf>
    <xf numFmtId="0" fontId="2" fillId="34" borderId="0" xfId="0" applyFont="1" applyFill="1" applyAlignment="1">
      <alignment/>
    </xf>
    <xf numFmtId="179" fontId="2" fillId="34" borderId="0" xfId="48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179" fontId="4" fillId="34" borderId="0" xfId="48" applyNumberFormat="1" applyFont="1" applyFill="1" applyBorder="1" applyAlignment="1" applyProtection="1">
      <alignment horizontal="center" wrapText="1"/>
      <protection locked="0"/>
    </xf>
    <xf numFmtId="0" fontId="1" fillId="34" borderId="0" xfId="0" applyFont="1" applyFill="1" applyBorder="1" applyAlignment="1">
      <alignment horizontal="left" vertical="center" wrapText="1"/>
    </xf>
    <xf numFmtId="179" fontId="2" fillId="34" borderId="0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179" fontId="2" fillId="34" borderId="0" xfId="48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Border="1" applyAlignment="1">
      <alignment horizontal="left" wrapText="1"/>
    </xf>
    <xf numFmtId="0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right"/>
    </xf>
    <xf numFmtId="179" fontId="2" fillId="34" borderId="0" xfId="48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2" fillId="34" borderId="38" xfId="0" applyFont="1" applyFill="1" applyBorder="1" applyAlignment="1">
      <alignment/>
    </xf>
    <xf numFmtId="49" fontId="2" fillId="0" borderId="12" xfId="0" applyNumberFormat="1" applyFont="1" applyBorder="1" applyAlignment="1">
      <alignment horizontal="center"/>
    </xf>
    <xf numFmtId="179" fontId="2" fillId="0" borderId="39" xfId="0" applyNumberFormat="1" applyFont="1" applyBorder="1" applyAlignment="1">
      <alignment horizontal="center" wrapText="1"/>
    </xf>
    <xf numFmtId="14" fontId="7" fillId="0" borderId="40" xfId="0" applyNumberFormat="1" applyFont="1" applyFill="1" applyBorder="1" applyAlignment="1" applyProtection="1">
      <alignment horizontal="left"/>
      <protection locked="0"/>
    </xf>
    <xf numFmtId="0" fontId="2" fillId="34" borderId="41" xfId="0" applyFont="1" applyFill="1" applyBorder="1" applyAlignment="1">
      <alignment/>
    </xf>
    <xf numFmtId="179" fontId="2" fillId="34" borderId="38" xfId="48" applyNumberFormat="1" applyFont="1" applyFill="1" applyBorder="1" applyAlignment="1">
      <alignment horizontal="right"/>
    </xf>
    <xf numFmtId="0" fontId="0" fillId="34" borderId="42" xfId="0" applyFill="1" applyBorder="1" applyAlignment="1">
      <alignment horizontal="center" wrapText="1"/>
    </xf>
    <xf numFmtId="0" fontId="13" fillId="0" borderId="0" xfId="0" applyFont="1" applyAlignment="1">
      <alignment/>
    </xf>
    <xf numFmtId="0" fontId="0" fillId="0" borderId="43" xfId="0" applyBorder="1" applyAlignment="1">
      <alignment/>
    </xf>
    <xf numFmtId="0" fontId="53" fillId="0" borderId="14" xfId="0" applyFont="1" applyBorder="1" applyAlignment="1">
      <alignment/>
    </xf>
    <xf numFmtId="0" fontId="54" fillId="0" borderId="10" xfId="0" applyFont="1" applyFill="1" applyBorder="1" applyAlignment="1" applyProtection="1">
      <alignment horizontal="left"/>
      <protection locked="0"/>
    </xf>
    <xf numFmtId="0" fontId="53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Alignment="1">
      <alignment vertical="center"/>
    </xf>
    <xf numFmtId="0" fontId="55" fillId="0" borderId="10" xfId="0" applyFont="1" applyFill="1" applyBorder="1" applyAlignment="1">
      <alignment horizontal="left" wrapText="1"/>
    </xf>
    <xf numFmtId="0" fontId="56" fillId="34" borderId="3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79" fontId="2" fillId="0" borderId="10" xfId="48" applyNumberFormat="1" applyFont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79" fontId="2" fillId="0" borderId="15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179" fontId="2" fillId="0" borderId="10" xfId="48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>
      <alignment horizontal="center" vertical="top"/>
    </xf>
    <xf numFmtId="179" fontId="54" fillId="0" borderId="44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9" fontId="1" fillId="34" borderId="0" xfId="48" applyNumberFormat="1" applyFont="1" applyFill="1" applyBorder="1" applyAlignment="1" applyProtection="1">
      <alignment horizontal="center" vertical="center"/>
      <protection locked="0"/>
    </xf>
    <xf numFmtId="179" fontId="0" fillId="34" borderId="0" xfId="48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>
      <alignment horizontal="center" vertical="center" textRotation="90" wrapText="1"/>
    </xf>
    <xf numFmtId="0" fontId="0" fillId="34" borderId="0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wrapText="1"/>
    </xf>
    <xf numFmtId="0" fontId="1" fillId="33" borderId="49" xfId="0" applyFont="1" applyFill="1" applyBorder="1" applyAlignment="1">
      <alignment horizontal="center" wrapText="1"/>
    </xf>
    <xf numFmtId="179" fontId="1" fillId="33" borderId="50" xfId="48" applyNumberFormat="1" applyFont="1" applyFill="1" applyBorder="1" applyAlignment="1">
      <alignment horizontal="center" vertical="center"/>
    </xf>
    <xf numFmtId="179" fontId="0" fillId="33" borderId="51" xfId="48" applyNumberFormat="1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 textRotation="90"/>
    </xf>
    <xf numFmtId="0" fontId="0" fillId="33" borderId="20" xfId="0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2" fontId="1" fillId="0" borderId="53" xfId="0" applyNumberFormat="1" applyFont="1" applyBorder="1" applyAlignment="1">
      <alignment horizontal="left"/>
    </xf>
    <xf numFmtId="0" fontId="0" fillId="0" borderId="54" xfId="0" applyBorder="1" applyAlignment="1">
      <alignment/>
    </xf>
    <xf numFmtId="0" fontId="1" fillId="0" borderId="55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57" fillId="0" borderId="58" xfId="0" applyFont="1" applyBorder="1" applyAlignment="1">
      <alignment/>
    </xf>
    <xf numFmtId="0" fontId="57" fillId="0" borderId="43" xfId="0" applyFont="1" applyBorder="1" applyAlignment="1">
      <alignment/>
    </xf>
    <xf numFmtId="14" fontId="2" fillId="0" borderId="55" xfId="0" applyNumberFormat="1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9" xfId="0" applyFont="1" applyBorder="1" applyAlignment="1" applyProtection="1">
      <alignment horizontal="left"/>
      <protection locked="0"/>
    </xf>
    <xf numFmtId="0" fontId="0" fillId="0" borderId="58" xfId="0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0.emf" /><Relationship Id="rId2" Type="http://schemas.openxmlformats.org/officeDocument/2006/relationships/image" Target="../media/image69.emf" /><Relationship Id="rId3" Type="http://schemas.openxmlformats.org/officeDocument/2006/relationships/image" Target="../media/image68.emf" /><Relationship Id="rId4" Type="http://schemas.openxmlformats.org/officeDocument/2006/relationships/image" Target="../media/image67.emf" /><Relationship Id="rId5" Type="http://schemas.openxmlformats.org/officeDocument/2006/relationships/image" Target="../media/image66.emf" /><Relationship Id="rId6" Type="http://schemas.openxmlformats.org/officeDocument/2006/relationships/image" Target="../media/image65.emf" /><Relationship Id="rId7" Type="http://schemas.openxmlformats.org/officeDocument/2006/relationships/image" Target="../media/image64.emf" /><Relationship Id="rId8" Type="http://schemas.openxmlformats.org/officeDocument/2006/relationships/image" Target="../media/image63.emf" /><Relationship Id="rId9" Type="http://schemas.openxmlformats.org/officeDocument/2006/relationships/image" Target="../media/image62.emf" /><Relationship Id="rId10" Type="http://schemas.openxmlformats.org/officeDocument/2006/relationships/image" Target="../media/image61.emf" /><Relationship Id="rId11" Type="http://schemas.openxmlformats.org/officeDocument/2006/relationships/image" Target="../media/image60.emf" /><Relationship Id="rId12" Type="http://schemas.openxmlformats.org/officeDocument/2006/relationships/image" Target="../media/image59.emf" /><Relationship Id="rId13" Type="http://schemas.openxmlformats.org/officeDocument/2006/relationships/image" Target="../media/image58.emf" /><Relationship Id="rId14" Type="http://schemas.openxmlformats.org/officeDocument/2006/relationships/image" Target="../media/image57.emf" /><Relationship Id="rId15" Type="http://schemas.openxmlformats.org/officeDocument/2006/relationships/image" Target="../media/image56.emf" /><Relationship Id="rId16" Type="http://schemas.openxmlformats.org/officeDocument/2006/relationships/image" Target="../media/image55.emf" /><Relationship Id="rId17" Type="http://schemas.openxmlformats.org/officeDocument/2006/relationships/image" Target="../media/image54.emf" /><Relationship Id="rId18" Type="http://schemas.openxmlformats.org/officeDocument/2006/relationships/image" Target="../media/image53.emf" /><Relationship Id="rId19" Type="http://schemas.openxmlformats.org/officeDocument/2006/relationships/image" Target="../media/image52.emf" /><Relationship Id="rId20" Type="http://schemas.openxmlformats.org/officeDocument/2006/relationships/image" Target="../media/image51.emf" /><Relationship Id="rId21" Type="http://schemas.openxmlformats.org/officeDocument/2006/relationships/image" Target="../media/image50.emf" /><Relationship Id="rId22" Type="http://schemas.openxmlformats.org/officeDocument/2006/relationships/image" Target="../media/image2.emf" /><Relationship Id="rId23" Type="http://schemas.openxmlformats.org/officeDocument/2006/relationships/image" Target="../media/image13.emf" /><Relationship Id="rId24" Type="http://schemas.openxmlformats.org/officeDocument/2006/relationships/image" Target="../media/image49.emf" /><Relationship Id="rId25" Type="http://schemas.openxmlformats.org/officeDocument/2006/relationships/image" Target="../media/image48.emf" /><Relationship Id="rId26" Type="http://schemas.openxmlformats.org/officeDocument/2006/relationships/image" Target="../media/image47.emf" /><Relationship Id="rId27" Type="http://schemas.openxmlformats.org/officeDocument/2006/relationships/image" Target="../media/image46.emf" /><Relationship Id="rId28" Type="http://schemas.openxmlformats.org/officeDocument/2006/relationships/image" Target="../media/image45.emf" /><Relationship Id="rId29" Type="http://schemas.openxmlformats.org/officeDocument/2006/relationships/image" Target="../media/image44.emf" /><Relationship Id="rId30" Type="http://schemas.openxmlformats.org/officeDocument/2006/relationships/image" Target="../media/image43.emf" /><Relationship Id="rId31" Type="http://schemas.openxmlformats.org/officeDocument/2006/relationships/image" Target="../media/image42.emf" /><Relationship Id="rId32" Type="http://schemas.openxmlformats.org/officeDocument/2006/relationships/image" Target="../media/image41.emf" /><Relationship Id="rId33" Type="http://schemas.openxmlformats.org/officeDocument/2006/relationships/image" Target="../media/image40.emf" /><Relationship Id="rId34" Type="http://schemas.openxmlformats.org/officeDocument/2006/relationships/image" Target="../media/image39.emf" /><Relationship Id="rId35" Type="http://schemas.openxmlformats.org/officeDocument/2006/relationships/image" Target="../media/image38.emf" /><Relationship Id="rId36" Type="http://schemas.openxmlformats.org/officeDocument/2006/relationships/image" Target="../media/image37.emf" /><Relationship Id="rId37" Type="http://schemas.openxmlformats.org/officeDocument/2006/relationships/image" Target="../media/image36.emf" /><Relationship Id="rId38" Type="http://schemas.openxmlformats.org/officeDocument/2006/relationships/image" Target="../media/image35.emf" /><Relationship Id="rId39" Type="http://schemas.openxmlformats.org/officeDocument/2006/relationships/image" Target="../media/image34.emf" /><Relationship Id="rId40" Type="http://schemas.openxmlformats.org/officeDocument/2006/relationships/image" Target="../media/image33.emf" /><Relationship Id="rId41" Type="http://schemas.openxmlformats.org/officeDocument/2006/relationships/image" Target="../media/image32.emf" /><Relationship Id="rId42" Type="http://schemas.openxmlformats.org/officeDocument/2006/relationships/image" Target="../media/image31.emf" /><Relationship Id="rId43" Type="http://schemas.openxmlformats.org/officeDocument/2006/relationships/image" Target="../media/image30.emf" /><Relationship Id="rId44" Type="http://schemas.openxmlformats.org/officeDocument/2006/relationships/image" Target="../media/image29.emf" /><Relationship Id="rId45" Type="http://schemas.openxmlformats.org/officeDocument/2006/relationships/image" Target="../media/image28.emf" /><Relationship Id="rId46" Type="http://schemas.openxmlformats.org/officeDocument/2006/relationships/image" Target="../media/image27.emf" /><Relationship Id="rId47" Type="http://schemas.openxmlformats.org/officeDocument/2006/relationships/image" Target="../media/image26.emf" /><Relationship Id="rId48" Type="http://schemas.openxmlformats.org/officeDocument/2006/relationships/image" Target="../media/image25.emf" /><Relationship Id="rId49" Type="http://schemas.openxmlformats.org/officeDocument/2006/relationships/image" Target="../media/image24.emf" /><Relationship Id="rId50" Type="http://schemas.openxmlformats.org/officeDocument/2006/relationships/image" Target="../media/image23.emf" /><Relationship Id="rId51" Type="http://schemas.openxmlformats.org/officeDocument/2006/relationships/image" Target="../media/image22.emf" /><Relationship Id="rId52" Type="http://schemas.openxmlformats.org/officeDocument/2006/relationships/image" Target="../media/image21.emf" /><Relationship Id="rId53" Type="http://schemas.openxmlformats.org/officeDocument/2006/relationships/image" Target="../media/image20.emf" /><Relationship Id="rId54" Type="http://schemas.openxmlformats.org/officeDocument/2006/relationships/image" Target="../media/image19.emf" /><Relationship Id="rId55" Type="http://schemas.openxmlformats.org/officeDocument/2006/relationships/image" Target="../media/image18.emf" /><Relationship Id="rId56" Type="http://schemas.openxmlformats.org/officeDocument/2006/relationships/image" Target="../media/image17.emf" /><Relationship Id="rId57" Type="http://schemas.openxmlformats.org/officeDocument/2006/relationships/image" Target="../media/image16.emf" /><Relationship Id="rId58" Type="http://schemas.openxmlformats.org/officeDocument/2006/relationships/image" Target="../media/image1.emf" /><Relationship Id="rId59" Type="http://schemas.openxmlformats.org/officeDocument/2006/relationships/image" Target="../media/image15.emf" /><Relationship Id="rId60" Type="http://schemas.openxmlformats.org/officeDocument/2006/relationships/image" Target="../media/image14.emf" /><Relationship Id="rId61" Type="http://schemas.openxmlformats.org/officeDocument/2006/relationships/image" Target="../media/image12.emf" /><Relationship Id="rId62" Type="http://schemas.openxmlformats.org/officeDocument/2006/relationships/image" Target="../media/image11.emf" /><Relationship Id="rId63" Type="http://schemas.openxmlformats.org/officeDocument/2006/relationships/image" Target="../media/image10.emf" /><Relationship Id="rId64" Type="http://schemas.openxmlformats.org/officeDocument/2006/relationships/image" Target="../media/image9.emf" /><Relationship Id="rId65" Type="http://schemas.openxmlformats.org/officeDocument/2006/relationships/image" Target="../media/image8.emf" /><Relationship Id="rId66" Type="http://schemas.openxmlformats.org/officeDocument/2006/relationships/image" Target="../media/image7.emf" /><Relationship Id="rId67" Type="http://schemas.openxmlformats.org/officeDocument/2006/relationships/image" Target="../media/image6.emf" /><Relationship Id="rId68" Type="http://schemas.openxmlformats.org/officeDocument/2006/relationships/image" Target="../media/image5.emf" /><Relationship Id="rId69" Type="http://schemas.openxmlformats.org/officeDocument/2006/relationships/image" Target="../media/image4.emf" /><Relationship Id="rId70" Type="http://schemas.openxmlformats.org/officeDocument/2006/relationships/image" Target="../media/image3.emf" /><Relationship Id="rId71" Type="http://schemas.openxmlformats.org/officeDocument/2006/relationships/image" Target="../media/image72.emf" /><Relationship Id="rId72" Type="http://schemas.openxmlformats.org/officeDocument/2006/relationships/image" Target="../media/image7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1" name="CheckBox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2" name="CheckBox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3" name="CheckBo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4" name="CheckBox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5" name="CheckBox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6" name="CheckBox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7" name="CheckBox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8" name="CheckBox1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9" name="CheckBox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10" name="CheckBox1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11" name="CheckBox1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180975</xdr:colOff>
      <xdr:row>0</xdr:row>
      <xdr:rowOff>0</xdr:rowOff>
    </xdr:to>
    <xdr:pic>
      <xdr:nvPicPr>
        <xdr:cNvPr id="12" name="CheckBox1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01930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13" name="CheckBox1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14" name="CheckBox1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15" name="CheckBox17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16" name="CheckBox18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17" name="CheckBox19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18" name="CheckBox2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19" name="CheckBox2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20" name="CheckBox22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21" name="CheckBox23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22" name="CheckBox2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23" name="CheckBox25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180975</xdr:colOff>
      <xdr:row>0</xdr:row>
      <xdr:rowOff>0</xdr:rowOff>
    </xdr:to>
    <xdr:pic>
      <xdr:nvPicPr>
        <xdr:cNvPr id="24" name="CheckBox2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22885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35</xdr:row>
      <xdr:rowOff>114300</xdr:rowOff>
    </xdr:from>
    <xdr:to>
      <xdr:col>5</xdr:col>
      <xdr:colOff>180975</xdr:colOff>
      <xdr:row>36</xdr:row>
      <xdr:rowOff>95250</xdr:rowOff>
    </xdr:to>
    <xdr:pic>
      <xdr:nvPicPr>
        <xdr:cNvPr id="25" name="CheckBox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028825" y="59531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36</xdr:row>
      <xdr:rowOff>114300</xdr:rowOff>
    </xdr:from>
    <xdr:to>
      <xdr:col>5</xdr:col>
      <xdr:colOff>180975</xdr:colOff>
      <xdr:row>37</xdr:row>
      <xdr:rowOff>95250</xdr:rowOff>
    </xdr:to>
    <xdr:pic>
      <xdr:nvPicPr>
        <xdr:cNvPr id="26" name="CheckBox2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028825" y="6115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37</xdr:row>
      <xdr:rowOff>114300</xdr:rowOff>
    </xdr:from>
    <xdr:to>
      <xdr:col>5</xdr:col>
      <xdr:colOff>180975</xdr:colOff>
      <xdr:row>38</xdr:row>
      <xdr:rowOff>95250</xdr:rowOff>
    </xdr:to>
    <xdr:pic>
      <xdr:nvPicPr>
        <xdr:cNvPr id="27" name="CheckBox27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2028825" y="6276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38</xdr:row>
      <xdr:rowOff>114300</xdr:rowOff>
    </xdr:from>
    <xdr:to>
      <xdr:col>5</xdr:col>
      <xdr:colOff>180975</xdr:colOff>
      <xdr:row>39</xdr:row>
      <xdr:rowOff>95250</xdr:rowOff>
    </xdr:to>
    <xdr:pic>
      <xdr:nvPicPr>
        <xdr:cNvPr id="28" name="CheckBox28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2028825" y="64389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39</xdr:row>
      <xdr:rowOff>114300</xdr:rowOff>
    </xdr:from>
    <xdr:to>
      <xdr:col>5</xdr:col>
      <xdr:colOff>180975</xdr:colOff>
      <xdr:row>40</xdr:row>
      <xdr:rowOff>95250</xdr:rowOff>
    </xdr:to>
    <xdr:pic>
      <xdr:nvPicPr>
        <xdr:cNvPr id="29" name="CheckBox29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2028825" y="66008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40</xdr:row>
      <xdr:rowOff>114300</xdr:rowOff>
    </xdr:from>
    <xdr:to>
      <xdr:col>5</xdr:col>
      <xdr:colOff>180975</xdr:colOff>
      <xdr:row>41</xdr:row>
      <xdr:rowOff>95250</xdr:rowOff>
    </xdr:to>
    <xdr:pic>
      <xdr:nvPicPr>
        <xdr:cNvPr id="30" name="CheckBox3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2028825" y="67627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41</xdr:row>
      <xdr:rowOff>114300</xdr:rowOff>
    </xdr:from>
    <xdr:to>
      <xdr:col>5</xdr:col>
      <xdr:colOff>180975</xdr:colOff>
      <xdr:row>42</xdr:row>
      <xdr:rowOff>95250</xdr:rowOff>
    </xdr:to>
    <xdr:pic>
      <xdr:nvPicPr>
        <xdr:cNvPr id="31" name="CheckBox3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2028825" y="69246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42</xdr:row>
      <xdr:rowOff>114300</xdr:rowOff>
    </xdr:from>
    <xdr:to>
      <xdr:col>5</xdr:col>
      <xdr:colOff>180975</xdr:colOff>
      <xdr:row>43</xdr:row>
      <xdr:rowOff>95250</xdr:rowOff>
    </xdr:to>
    <xdr:pic>
      <xdr:nvPicPr>
        <xdr:cNvPr id="32" name="CheckBox32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2028825" y="7086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43</xdr:row>
      <xdr:rowOff>114300</xdr:rowOff>
    </xdr:from>
    <xdr:to>
      <xdr:col>5</xdr:col>
      <xdr:colOff>180975</xdr:colOff>
      <xdr:row>44</xdr:row>
      <xdr:rowOff>95250</xdr:rowOff>
    </xdr:to>
    <xdr:pic>
      <xdr:nvPicPr>
        <xdr:cNvPr id="33" name="CheckBox3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2028825" y="7248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44</xdr:row>
      <xdr:rowOff>114300</xdr:rowOff>
    </xdr:from>
    <xdr:to>
      <xdr:col>5</xdr:col>
      <xdr:colOff>180975</xdr:colOff>
      <xdr:row>45</xdr:row>
      <xdr:rowOff>95250</xdr:rowOff>
    </xdr:to>
    <xdr:pic>
      <xdr:nvPicPr>
        <xdr:cNvPr id="34" name="CheckBox3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2028825" y="7410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45</xdr:row>
      <xdr:rowOff>114300</xdr:rowOff>
    </xdr:from>
    <xdr:to>
      <xdr:col>5</xdr:col>
      <xdr:colOff>180975</xdr:colOff>
      <xdr:row>46</xdr:row>
      <xdr:rowOff>95250</xdr:rowOff>
    </xdr:to>
    <xdr:pic>
      <xdr:nvPicPr>
        <xdr:cNvPr id="35" name="CheckBox35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2028825" y="7572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46</xdr:row>
      <xdr:rowOff>104775</xdr:rowOff>
    </xdr:from>
    <xdr:to>
      <xdr:col>5</xdr:col>
      <xdr:colOff>180975</xdr:colOff>
      <xdr:row>47</xdr:row>
      <xdr:rowOff>85725</xdr:rowOff>
    </xdr:to>
    <xdr:pic>
      <xdr:nvPicPr>
        <xdr:cNvPr id="36" name="CheckBox3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28825" y="7724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35</xdr:row>
      <xdr:rowOff>114300</xdr:rowOff>
    </xdr:from>
    <xdr:to>
      <xdr:col>6</xdr:col>
      <xdr:colOff>171450</xdr:colOff>
      <xdr:row>36</xdr:row>
      <xdr:rowOff>95250</xdr:rowOff>
    </xdr:to>
    <xdr:pic>
      <xdr:nvPicPr>
        <xdr:cNvPr id="37" name="CheckBox37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28850" y="59531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36</xdr:row>
      <xdr:rowOff>123825</xdr:rowOff>
    </xdr:from>
    <xdr:to>
      <xdr:col>6</xdr:col>
      <xdr:colOff>171450</xdr:colOff>
      <xdr:row>37</xdr:row>
      <xdr:rowOff>104775</xdr:rowOff>
    </xdr:to>
    <xdr:pic>
      <xdr:nvPicPr>
        <xdr:cNvPr id="38" name="CheckBox38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28850" y="61245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37</xdr:row>
      <xdr:rowOff>114300</xdr:rowOff>
    </xdr:from>
    <xdr:to>
      <xdr:col>6</xdr:col>
      <xdr:colOff>171450</xdr:colOff>
      <xdr:row>38</xdr:row>
      <xdr:rowOff>95250</xdr:rowOff>
    </xdr:to>
    <xdr:pic>
      <xdr:nvPicPr>
        <xdr:cNvPr id="39" name="CheckBox39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2228850" y="6276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38</xdr:row>
      <xdr:rowOff>114300</xdr:rowOff>
    </xdr:from>
    <xdr:to>
      <xdr:col>6</xdr:col>
      <xdr:colOff>171450</xdr:colOff>
      <xdr:row>39</xdr:row>
      <xdr:rowOff>95250</xdr:rowOff>
    </xdr:to>
    <xdr:pic>
      <xdr:nvPicPr>
        <xdr:cNvPr id="40" name="CheckBox40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2228850" y="64389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39</xdr:row>
      <xdr:rowOff>114300</xdr:rowOff>
    </xdr:from>
    <xdr:to>
      <xdr:col>6</xdr:col>
      <xdr:colOff>171450</xdr:colOff>
      <xdr:row>40</xdr:row>
      <xdr:rowOff>95250</xdr:rowOff>
    </xdr:to>
    <xdr:pic>
      <xdr:nvPicPr>
        <xdr:cNvPr id="41" name="CheckBox4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228850" y="66008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40</xdr:row>
      <xdr:rowOff>114300</xdr:rowOff>
    </xdr:from>
    <xdr:to>
      <xdr:col>6</xdr:col>
      <xdr:colOff>171450</xdr:colOff>
      <xdr:row>41</xdr:row>
      <xdr:rowOff>95250</xdr:rowOff>
    </xdr:to>
    <xdr:pic>
      <xdr:nvPicPr>
        <xdr:cNvPr id="42" name="CheckBox42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228850" y="67627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41</xdr:row>
      <xdr:rowOff>114300</xdr:rowOff>
    </xdr:from>
    <xdr:to>
      <xdr:col>6</xdr:col>
      <xdr:colOff>171450</xdr:colOff>
      <xdr:row>42</xdr:row>
      <xdr:rowOff>95250</xdr:rowOff>
    </xdr:to>
    <xdr:pic>
      <xdr:nvPicPr>
        <xdr:cNvPr id="43" name="CheckBox43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2228850" y="69246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42</xdr:row>
      <xdr:rowOff>114300</xdr:rowOff>
    </xdr:from>
    <xdr:to>
      <xdr:col>6</xdr:col>
      <xdr:colOff>171450</xdr:colOff>
      <xdr:row>43</xdr:row>
      <xdr:rowOff>95250</xdr:rowOff>
    </xdr:to>
    <xdr:pic>
      <xdr:nvPicPr>
        <xdr:cNvPr id="44" name="CheckBox44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2228850" y="7086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43</xdr:row>
      <xdr:rowOff>114300</xdr:rowOff>
    </xdr:from>
    <xdr:to>
      <xdr:col>6</xdr:col>
      <xdr:colOff>171450</xdr:colOff>
      <xdr:row>44</xdr:row>
      <xdr:rowOff>95250</xdr:rowOff>
    </xdr:to>
    <xdr:pic>
      <xdr:nvPicPr>
        <xdr:cNvPr id="45" name="CheckBox45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2228850" y="7248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44</xdr:row>
      <xdr:rowOff>114300</xdr:rowOff>
    </xdr:from>
    <xdr:to>
      <xdr:col>6</xdr:col>
      <xdr:colOff>171450</xdr:colOff>
      <xdr:row>45</xdr:row>
      <xdr:rowOff>95250</xdr:rowOff>
    </xdr:to>
    <xdr:pic>
      <xdr:nvPicPr>
        <xdr:cNvPr id="46" name="CheckBox46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228850" y="7410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45</xdr:row>
      <xdr:rowOff>114300</xdr:rowOff>
    </xdr:from>
    <xdr:to>
      <xdr:col>6</xdr:col>
      <xdr:colOff>171450</xdr:colOff>
      <xdr:row>46</xdr:row>
      <xdr:rowOff>95250</xdr:rowOff>
    </xdr:to>
    <xdr:pic>
      <xdr:nvPicPr>
        <xdr:cNvPr id="47" name="CheckBox47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2228850" y="7572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46</xdr:row>
      <xdr:rowOff>104775</xdr:rowOff>
    </xdr:from>
    <xdr:to>
      <xdr:col>6</xdr:col>
      <xdr:colOff>171450</xdr:colOff>
      <xdr:row>47</xdr:row>
      <xdr:rowOff>85725</xdr:rowOff>
    </xdr:to>
    <xdr:pic>
      <xdr:nvPicPr>
        <xdr:cNvPr id="48" name="CheckBox48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2228850" y="7724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52</xdr:row>
      <xdr:rowOff>114300</xdr:rowOff>
    </xdr:from>
    <xdr:to>
      <xdr:col>5</xdr:col>
      <xdr:colOff>180975</xdr:colOff>
      <xdr:row>53</xdr:row>
      <xdr:rowOff>95250</xdr:rowOff>
    </xdr:to>
    <xdr:pic>
      <xdr:nvPicPr>
        <xdr:cNvPr id="49" name="CheckBox49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2028825" y="87058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53</xdr:row>
      <xdr:rowOff>114300</xdr:rowOff>
    </xdr:from>
    <xdr:to>
      <xdr:col>5</xdr:col>
      <xdr:colOff>180975</xdr:colOff>
      <xdr:row>54</xdr:row>
      <xdr:rowOff>95250</xdr:rowOff>
    </xdr:to>
    <xdr:pic>
      <xdr:nvPicPr>
        <xdr:cNvPr id="50" name="CheckBox50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2028825" y="8867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54</xdr:row>
      <xdr:rowOff>114300</xdr:rowOff>
    </xdr:from>
    <xdr:to>
      <xdr:col>5</xdr:col>
      <xdr:colOff>180975</xdr:colOff>
      <xdr:row>55</xdr:row>
      <xdr:rowOff>95250</xdr:rowOff>
    </xdr:to>
    <xdr:pic>
      <xdr:nvPicPr>
        <xdr:cNvPr id="51" name="CheckBox5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2028825" y="90297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55</xdr:row>
      <xdr:rowOff>114300</xdr:rowOff>
    </xdr:from>
    <xdr:to>
      <xdr:col>5</xdr:col>
      <xdr:colOff>180975</xdr:colOff>
      <xdr:row>56</xdr:row>
      <xdr:rowOff>95250</xdr:rowOff>
    </xdr:to>
    <xdr:pic>
      <xdr:nvPicPr>
        <xdr:cNvPr id="52" name="CheckBox52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028825" y="9191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56</xdr:row>
      <xdr:rowOff>114300</xdr:rowOff>
    </xdr:from>
    <xdr:to>
      <xdr:col>5</xdr:col>
      <xdr:colOff>180975</xdr:colOff>
      <xdr:row>57</xdr:row>
      <xdr:rowOff>95250</xdr:rowOff>
    </xdr:to>
    <xdr:pic>
      <xdr:nvPicPr>
        <xdr:cNvPr id="53" name="CheckBox53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2028825" y="93535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57</xdr:row>
      <xdr:rowOff>114300</xdr:rowOff>
    </xdr:from>
    <xdr:to>
      <xdr:col>5</xdr:col>
      <xdr:colOff>180975</xdr:colOff>
      <xdr:row>58</xdr:row>
      <xdr:rowOff>95250</xdr:rowOff>
    </xdr:to>
    <xdr:pic>
      <xdr:nvPicPr>
        <xdr:cNvPr id="54" name="CheckBox54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2028825" y="95154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58</xdr:row>
      <xdr:rowOff>114300</xdr:rowOff>
    </xdr:from>
    <xdr:to>
      <xdr:col>5</xdr:col>
      <xdr:colOff>180975</xdr:colOff>
      <xdr:row>59</xdr:row>
      <xdr:rowOff>95250</xdr:rowOff>
    </xdr:to>
    <xdr:pic>
      <xdr:nvPicPr>
        <xdr:cNvPr id="55" name="CheckBox55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2028825" y="9677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59</xdr:row>
      <xdr:rowOff>114300</xdr:rowOff>
    </xdr:from>
    <xdr:to>
      <xdr:col>5</xdr:col>
      <xdr:colOff>180975</xdr:colOff>
      <xdr:row>60</xdr:row>
      <xdr:rowOff>95250</xdr:rowOff>
    </xdr:to>
    <xdr:pic>
      <xdr:nvPicPr>
        <xdr:cNvPr id="56" name="CheckBox56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2028825" y="98393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60</xdr:row>
      <xdr:rowOff>123825</xdr:rowOff>
    </xdr:from>
    <xdr:to>
      <xdr:col>5</xdr:col>
      <xdr:colOff>180975</xdr:colOff>
      <xdr:row>61</xdr:row>
      <xdr:rowOff>104775</xdr:rowOff>
    </xdr:to>
    <xdr:pic>
      <xdr:nvPicPr>
        <xdr:cNvPr id="57" name="CheckBox57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2028825" y="10010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61</xdr:row>
      <xdr:rowOff>123825</xdr:rowOff>
    </xdr:from>
    <xdr:to>
      <xdr:col>5</xdr:col>
      <xdr:colOff>180975</xdr:colOff>
      <xdr:row>62</xdr:row>
      <xdr:rowOff>104775</xdr:rowOff>
    </xdr:to>
    <xdr:pic>
      <xdr:nvPicPr>
        <xdr:cNvPr id="58" name="CheckBox58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2028825" y="101727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62</xdr:row>
      <xdr:rowOff>123825</xdr:rowOff>
    </xdr:from>
    <xdr:to>
      <xdr:col>5</xdr:col>
      <xdr:colOff>180975</xdr:colOff>
      <xdr:row>63</xdr:row>
      <xdr:rowOff>104775</xdr:rowOff>
    </xdr:to>
    <xdr:pic>
      <xdr:nvPicPr>
        <xdr:cNvPr id="59" name="CheckBox59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2028825" y="10334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63</xdr:row>
      <xdr:rowOff>152400</xdr:rowOff>
    </xdr:from>
    <xdr:to>
      <xdr:col>5</xdr:col>
      <xdr:colOff>180975</xdr:colOff>
      <xdr:row>64</xdr:row>
      <xdr:rowOff>133350</xdr:rowOff>
    </xdr:to>
    <xdr:pic>
      <xdr:nvPicPr>
        <xdr:cNvPr id="60" name="CheckBox60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2028825" y="105251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52</xdr:row>
      <xdr:rowOff>114300</xdr:rowOff>
    </xdr:from>
    <xdr:to>
      <xdr:col>6</xdr:col>
      <xdr:colOff>171450</xdr:colOff>
      <xdr:row>53</xdr:row>
      <xdr:rowOff>95250</xdr:rowOff>
    </xdr:to>
    <xdr:pic>
      <xdr:nvPicPr>
        <xdr:cNvPr id="61" name="CheckBox61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2228850" y="87058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53</xdr:row>
      <xdr:rowOff>114300</xdr:rowOff>
    </xdr:from>
    <xdr:to>
      <xdr:col>6</xdr:col>
      <xdr:colOff>171450</xdr:colOff>
      <xdr:row>54</xdr:row>
      <xdr:rowOff>95250</xdr:rowOff>
    </xdr:to>
    <xdr:pic>
      <xdr:nvPicPr>
        <xdr:cNvPr id="62" name="CheckBox62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228850" y="8867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54</xdr:row>
      <xdr:rowOff>114300</xdr:rowOff>
    </xdr:from>
    <xdr:to>
      <xdr:col>6</xdr:col>
      <xdr:colOff>171450</xdr:colOff>
      <xdr:row>55</xdr:row>
      <xdr:rowOff>95250</xdr:rowOff>
    </xdr:to>
    <xdr:pic>
      <xdr:nvPicPr>
        <xdr:cNvPr id="63" name="CheckBox63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2228850" y="90297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55</xdr:row>
      <xdr:rowOff>114300</xdr:rowOff>
    </xdr:from>
    <xdr:to>
      <xdr:col>6</xdr:col>
      <xdr:colOff>171450</xdr:colOff>
      <xdr:row>56</xdr:row>
      <xdr:rowOff>95250</xdr:rowOff>
    </xdr:to>
    <xdr:pic>
      <xdr:nvPicPr>
        <xdr:cNvPr id="64" name="CheckBox64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2228850" y="9191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56</xdr:row>
      <xdr:rowOff>114300</xdr:rowOff>
    </xdr:from>
    <xdr:to>
      <xdr:col>6</xdr:col>
      <xdr:colOff>171450</xdr:colOff>
      <xdr:row>57</xdr:row>
      <xdr:rowOff>95250</xdr:rowOff>
    </xdr:to>
    <xdr:pic>
      <xdr:nvPicPr>
        <xdr:cNvPr id="65" name="CheckBox65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2228850" y="93535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57</xdr:row>
      <xdr:rowOff>114300</xdr:rowOff>
    </xdr:from>
    <xdr:to>
      <xdr:col>6</xdr:col>
      <xdr:colOff>171450</xdr:colOff>
      <xdr:row>58</xdr:row>
      <xdr:rowOff>95250</xdr:rowOff>
    </xdr:to>
    <xdr:pic>
      <xdr:nvPicPr>
        <xdr:cNvPr id="66" name="CheckBox66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2228850" y="95154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58</xdr:row>
      <xdr:rowOff>114300</xdr:rowOff>
    </xdr:from>
    <xdr:to>
      <xdr:col>6</xdr:col>
      <xdr:colOff>171450</xdr:colOff>
      <xdr:row>59</xdr:row>
      <xdr:rowOff>95250</xdr:rowOff>
    </xdr:to>
    <xdr:pic>
      <xdr:nvPicPr>
        <xdr:cNvPr id="67" name="CheckBox67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2228850" y="9677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59</xdr:row>
      <xdr:rowOff>114300</xdr:rowOff>
    </xdr:from>
    <xdr:to>
      <xdr:col>6</xdr:col>
      <xdr:colOff>171450</xdr:colOff>
      <xdr:row>60</xdr:row>
      <xdr:rowOff>95250</xdr:rowOff>
    </xdr:to>
    <xdr:pic>
      <xdr:nvPicPr>
        <xdr:cNvPr id="68" name="CheckBox68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2228850" y="98393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60</xdr:row>
      <xdr:rowOff>123825</xdr:rowOff>
    </xdr:from>
    <xdr:to>
      <xdr:col>6</xdr:col>
      <xdr:colOff>171450</xdr:colOff>
      <xdr:row>61</xdr:row>
      <xdr:rowOff>104775</xdr:rowOff>
    </xdr:to>
    <xdr:pic>
      <xdr:nvPicPr>
        <xdr:cNvPr id="69" name="CheckBox69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2228850" y="10010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61</xdr:row>
      <xdr:rowOff>123825</xdr:rowOff>
    </xdr:from>
    <xdr:to>
      <xdr:col>6</xdr:col>
      <xdr:colOff>171450</xdr:colOff>
      <xdr:row>62</xdr:row>
      <xdr:rowOff>104775</xdr:rowOff>
    </xdr:to>
    <xdr:pic>
      <xdr:nvPicPr>
        <xdr:cNvPr id="70" name="CheckBox70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2228850" y="101727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62</xdr:row>
      <xdr:rowOff>123825</xdr:rowOff>
    </xdr:from>
    <xdr:to>
      <xdr:col>6</xdr:col>
      <xdr:colOff>171450</xdr:colOff>
      <xdr:row>63</xdr:row>
      <xdr:rowOff>104775</xdr:rowOff>
    </xdr:to>
    <xdr:pic>
      <xdr:nvPicPr>
        <xdr:cNvPr id="71" name="CheckBox71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2228850" y="10334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63</xdr:row>
      <xdr:rowOff>152400</xdr:rowOff>
    </xdr:from>
    <xdr:to>
      <xdr:col>6</xdr:col>
      <xdr:colOff>171450</xdr:colOff>
      <xdr:row>64</xdr:row>
      <xdr:rowOff>133350</xdr:rowOff>
    </xdr:to>
    <xdr:pic>
      <xdr:nvPicPr>
        <xdr:cNvPr id="72" name="CheckBox72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2228850" y="105251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W1:W21"/>
  <sheetViews>
    <sheetView zoomScalePageLayoutView="0" workbookViewId="0" topLeftCell="A1">
      <selection activeCell="B1" sqref="B1:P74"/>
    </sheetView>
  </sheetViews>
  <sheetFormatPr defaultColWidth="11.421875" defaultRowHeight="12.75"/>
  <cols>
    <col min="1" max="1" width="0.13671875" style="0" customWidth="1"/>
    <col min="2" max="2" width="5.140625" style="0" customWidth="1"/>
    <col min="3" max="3" width="3.421875" style="0" customWidth="1"/>
    <col min="4" max="4" width="12.7109375" style="0" customWidth="1"/>
    <col min="5" max="5" width="8.28125" style="0" customWidth="1"/>
    <col min="6" max="6" width="3.140625" style="0" customWidth="1"/>
    <col min="7" max="7" width="3.00390625" style="0" customWidth="1"/>
    <col min="8" max="8" width="7.7109375" style="8" customWidth="1"/>
    <col min="9" max="9" width="9.7109375" style="8" customWidth="1"/>
    <col min="10" max="10" width="15.00390625" style="8" customWidth="1"/>
    <col min="11" max="11" width="8.57421875" style="0" bestFit="1" customWidth="1"/>
    <col min="12" max="12" width="10.28125" style="0" customWidth="1"/>
    <col min="13" max="13" width="11.00390625" style="0" customWidth="1"/>
    <col min="14" max="14" width="8.28125" style="0" customWidth="1"/>
    <col min="15" max="15" width="6.28125" style="0" bestFit="1" customWidth="1"/>
    <col min="16" max="16" width="7.57421875" style="0" customWidth="1"/>
    <col min="17" max="22" width="15.28125" style="0" hidden="1" customWidth="1"/>
    <col min="23" max="23" width="20.421875" style="0" hidden="1" customWidth="1"/>
    <col min="24" max="24" width="23.57421875" style="0" customWidth="1"/>
    <col min="25" max="25" width="15.28125" style="0" customWidth="1"/>
    <col min="26" max="26" width="27.00390625" style="0" customWidth="1"/>
    <col min="27" max="27" width="28.7109375" style="0" customWidth="1"/>
    <col min="28" max="28" width="24.28125" style="0" customWidth="1"/>
    <col min="29" max="29" width="30.28125" style="0" customWidth="1"/>
    <col min="30" max="30" width="28.28125" style="0" customWidth="1"/>
    <col min="31" max="31" width="49.7109375" style="0" customWidth="1"/>
    <col min="32" max="32" width="13.8515625" style="0" customWidth="1"/>
  </cols>
  <sheetData>
    <row r="1" ht="14.25">
      <c r="W1" s="122" t="s">
        <v>34</v>
      </c>
    </row>
    <row r="2" ht="14.25">
      <c r="W2" s="122" t="s">
        <v>35</v>
      </c>
    </row>
    <row r="3" ht="14.25">
      <c r="W3" s="122" t="s">
        <v>68</v>
      </c>
    </row>
    <row r="4" ht="14.25">
      <c r="W4" s="122" t="s">
        <v>106</v>
      </c>
    </row>
    <row r="5" ht="14.25">
      <c r="W5" s="122" t="s">
        <v>15</v>
      </c>
    </row>
    <row r="6" ht="14.25">
      <c r="W6" s="122" t="s">
        <v>65</v>
      </c>
    </row>
    <row r="7" ht="14.25">
      <c r="W7" s="122" t="s">
        <v>67</v>
      </c>
    </row>
    <row r="8" ht="14.25">
      <c r="W8" s="122" t="s">
        <v>66</v>
      </c>
    </row>
    <row r="9" ht="14.25">
      <c r="W9" s="122" t="s">
        <v>110</v>
      </c>
    </row>
    <row r="10" ht="12.75">
      <c r="W10" s="1" t="s">
        <v>63</v>
      </c>
    </row>
    <row r="11" ht="12.75">
      <c r="W11" s="1" t="s">
        <v>64</v>
      </c>
    </row>
    <row r="12" ht="12.75">
      <c r="W12" s="1" t="s">
        <v>16</v>
      </c>
    </row>
    <row r="13" ht="12.75">
      <c r="W13" s="1" t="s">
        <v>19</v>
      </c>
    </row>
    <row r="14" ht="12.75">
      <c r="W14" s="1" t="s">
        <v>17</v>
      </c>
    </row>
    <row r="15" ht="12.75">
      <c r="W15" s="1" t="s">
        <v>107</v>
      </c>
    </row>
    <row r="16" ht="12.75">
      <c r="W16" s="1" t="s">
        <v>18</v>
      </c>
    </row>
    <row r="17" ht="12.75">
      <c r="W17" s="1" t="s">
        <v>33</v>
      </c>
    </row>
    <row r="18" ht="12.75">
      <c r="W18" s="1" t="s">
        <v>36</v>
      </c>
    </row>
    <row r="19" ht="12.75">
      <c r="W19" s="1" t="s">
        <v>62</v>
      </c>
    </row>
    <row r="20" ht="12.75">
      <c r="W20" s="1" t="s">
        <v>109</v>
      </c>
    </row>
    <row r="21" ht="12.75">
      <c r="W21" s="1" t="s">
        <v>108</v>
      </c>
    </row>
  </sheetData>
  <sheetProtection/>
  <printOptions/>
  <pageMargins left="0.3937007874015748" right="0" top="0.7874015748031497" bottom="0.7874015748031497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72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3.7109375" style="1" customWidth="1"/>
    <col min="2" max="2" width="8.8515625" style="10" customWidth="1"/>
    <col min="3" max="3" width="4.8515625" style="1" customWidth="1"/>
    <col min="4" max="4" width="52.00390625" style="3" customWidth="1"/>
    <col min="5" max="5" width="15.7109375" style="1" customWidth="1"/>
    <col min="6" max="6" width="14.00390625" style="1" customWidth="1"/>
    <col min="7" max="7" width="20.00390625" style="2" customWidth="1"/>
    <col min="8" max="8" width="16.140625" style="1" customWidth="1"/>
    <col min="9" max="9" width="12.421875" style="1" customWidth="1"/>
    <col min="10" max="10" width="31.140625" style="1" customWidth="1"/>
    <col min="11" max="11" width="25.57421875" style="1" customWidth="1"/>
    <col min="12" max="12" width="23.7109375" style="1" customWidth="1"/>
    <col min="13" max="13" width="21.421875" style="1" customWidth="1"/>
    <col min="14" max="14" width="18.140625" style="1" customWidth="1"/>
    <col min="15" max="15" width="7.421875" style="1" customWidth="1"/>
    <col min="16" max="16384" width="9.140625" style="1" customWidth="1"/>
  </cols>
  <sheetData>
    <row r="1" spans="1:10" ht="18" customHeight="1" thickBot="1">
      <c r="A1" s="163" t="s">
        <v>111</v>
      </c>
      <c r="B1" s="164"/>
      <c r="C1" s="165"/>
      <c r="D1" s="97" t="s">
        <v>117</v>
      </c>
      <c r="E1" s="170"/>
      <c r="F1" s="167"/>
      <c r="G1" s="168" t="s">
        <v>167</v>
      </c>
      <c r="H1" s="98"/>
      <c r="I1" s="98"/>
      <c r="J1" s="98"/>
    </row>
    <row r="2" spans="1:10" ht="18" customHeight="1" thickBot="1">
      <c r="A2" s="163"/>
      <c r="B2" s="164"/>
      <c r="C2" s="165"/>
      <c r="D2" s="97"/>
      <c r="E2" s="171"/>
      <c r="F2" s="167"/>
      <c r="G2" s="169"/>
      <c r="H2" s="98"/>
      <c r="I2" s="98"/>
      <c r="J2" s="98"/>
    </row>
    <row r="3" spans="1:10" ht="18" customHeight="1" thickBot="1">
      <c r="A3" s="163" t="s">
        <v>118</v>
      </c>
      <c r="B3" s="166"/>
      <c r="C3" s="167"/>
      <c r="D3" s="97" t="s">
        <v>169</v>
      </c>
      <c r="E3" s="171"/>
      <c r="F3" s="167"/>
      <c r="G3" s="169"/>
      <c r="H3" s="98"/>
      <c r="I3" s="98"/>
      <c r="J3" s="98"/>
    </row>
    <row r="4" spans="1:10" ht="18" customHeight="1" thickBot="1">
      <c r="A4" s="174" t="s">
        <v>119</v>
      </c>
      <c r="B4" s="175"/>
      <c r="C4" s="173"/>
      <c r="D4" s="118"/>
      <c r="E4" s="172"/>
      <c r="F4" s="173"/>
      <c r="G4" s="169"/>
      <c r="H4" s="98"/>
      <c r="I4" s="98"/>
      <c r="J4" s="98"/>
    </row>
    <row r="5" spans="1:10" ht="27" customHeight="1" thickBot="1">
      <c r="A5" s="119"/>
      <c r="B5" s="120"/>
      <c r="C5" s="115"/>
      <c r="D5" s="132" t="s">
        <v>139</v>
      </c>
      <c r="E5" s="115"/>
      <c r="F5" s="115"/>
      <c r="G5" s="121"/>
      <c r="H5" s="98"/>
      <c r="I5" s="98"/>
      <c r="J5" s="98"/>
    </row>
    <row r="6" spans="1:10" ht="24.75" customHeight="1" thickTop="1">
      <c r="A6" s="17" t="s">
        <v>113</v>
      </c>
      <c r="B6" s="155" t="s">
        <v>122</v>
      </c>
      <c r="C6" s="157" t="s">
        <v>114</v>
      </c>
      <c r="D6" s="159" t="s">
        <v>123</v>
      </c>
      <c r="E6" s="153" t="s">
        <v>124</v>
      </c>
      <c r="F6" s="154"/>
      <c r="G6" s="18" t="s">
        <v>115</v>
      </c>
      <c r="H6" s="98"/>
      <c r="I6" s="98"/>
      <c r="J6" s="98"/>
    </row>
    <row r="7" spans="1:10" ht="19.5" customHeight="1" thickBot="1">
      <c r="A7" s="19"/>
      <c r="B7" s="156"/>
      <c r="C7" s="158"/>
      <c r="D7" s="160"/>
      <c r="E7" s="20" t="s">
        <v>3</v>
      </c>
      <c r="F7" s="21" t="s">
        <v>114</v>
      </c>
      <c r="G7" s="20" t="s">
        <v>3</v>
      </c>
      <c r="H7" s="98"/>
      <c r="I7" s="98"/>
      <c r="J7" s="98"/>
    </row>
    <row r="8" spans="1:12" ht="46.5" customHeight="1" thickTop="1">
      <c r="A8" s="15">
        <v>1</v>
      </c>
      <c r="B8" s="135">
        <v>85</v>
      </c>
      <c r="C8" s="136" t="s">
        <v>121</v>
      </c>
      <c r="D8" s="134" t="s">
        <v>120</v>
      </c>
      <c r="E8" s="137"/>
      <c r="F8" s="138"/>
      <c r="G8" s="139">
        <f aca="true" t="shared" si="0" ref="G8:G18">SUM(B8*E8)</f>
        <v>0</v>
      </c>
      <c r="H8" s="98"/>
      <c r="I8" s="98"/>
      <c r="J8" s="98"/>
      <c r="L8"/>
    </row>
    <row r="9" spans="1:12" ht="49.5" customHeight="1">
      <c r="A9" s="15">
        <v>2</v>
      </c>
      <c r="B9" s="135">
        <v>44</v>
      </c>
      <c r="C9" s="136" t="s">
        <v>4</v>
      </c>
      <c r="D9" s="133" t="s">
        <v>170</v>
      </c>
      <c r="E9" s="137"/>
      <c r="F9" s="138"/>
      <c r="G9" s="139">
        <f t="shared" si="0"/>
        <v>0</v>
      </c>
      <c r="H9" s="98"/>
      <c r="I9" s="98" t="s">
        <v>1</v>
      </c>
      <c r="J9" s="98"/>
      <c r="L9"/>
    </row>
    <row r="10" spans="1:12" ht="49.5" customHeight="1">
      <c r="A10" s="15">
        <v>3</v>
      </c>
      <c r="B10" s="135">
        <v>12</v>
      </c>
      <c r="C10" s="136" t="s">
        <v>121</v>
      </c>
      <c r="D10" s="140" t="s">
        <v>125</v>
      </c>
      <c r="E10" s="138"/>
      <c r="F10" s="138"/>
      <c r="G10" s="139">
        <f t="shared" si="0"/>
        <v>0</v>
      </c>
      <c r="H10" s="98"/>
      <c r="I10" s="98"/>
      <c r="J10" s="98"/>
      <c r="L10"/>
    </row>
    <row r="11" spans="1:12" ht="49.5" customHeight="1">
      <c r="A11" s="15">
        <v>4</v>
      </c>
      <c r="B11" s="135">
        <v>1</v>
      </c>
      <c r="C11" s="136" t="s">
        <v>126</v>
      </c>
      <c r="D11" s="134" t="s">
        <v>171</v>
      </c>
      <c r="E11" s="137"/>
      <c r="F11" s="138"/>
      <c r="G11" s="139">
        <f t="shared" si="0"/>
        <v>0</v>
      </c>
      <c r="H11" s="98"/>
      <c r="I11" s="98"/>
      <c r="J11" s="98"/>
      <c r="L11"/>
    </row>
    <row r="12" spans="1:10" ht="49.5" customHeight="1">
      <c r="A12" s="15">
        <v>5</v>
      </c>
      <c r="B12" s="135">
        <v>25</v>
      </c>
      <c r="C12" s="136" t="s">
        <v>121</v>
      </c>
      <c r="D12" s="133" t="s">
        <v>127</v>
      </c>
      <c r="E12" s="138"/>
      <c r="F12" s="138"/>
      <c r="G12" s="139">
        <f t="shared" si="0"/>
        <v>0</v>
      </c>
      <c r="H12" s="114"/>
      <c r="I12" s="98"/>
      <c r="J12" s="98"/>
    </row>
    <row r="13" spans="1:12" ht="49.5" customHeight="1">
      <c r="A13" s="15">
        <v>6</v>
      </c>
      <c r="B13" s="135">
        <v>1</v>
      </c>
      <c r="C13" s="136" t="s">
        <v>112</v>
      </c>
      <c r="D13" s="134" t="s">
        <v>128</v>
      </c>
      <c r="E13" s="137"/>
      <c r="F13" s="138"/>
      <c r="G13" s="139">
        <f t="shared" si="0"/>
        <v>0</v>
      </c>
      <c r="H13" s="98"/>
      <c r="I13" s="98"/>
      <c r="J13" s="98"/>
      <c r="L13"/>
    </row>
    <row r="14" spans="1:10" ht="60" customHeight="1">
      <c r="A14" s="15">
        <v>7</v>
      </c>
      <c r="B14" s="135">
        <v>120</v>
      </c>
      <c r="C14" s="136" t="s">
        <v>0</v>
      </c>
      <c r="D14" s="134" t="s">
        <v>129</v>
      </c>
      <c r="E14" s="137"/>
      <c r="F14" s="138"/>
      <c r="G14" s="139">
        <f t="shared" si="0"/>
        <v>0</v>
      </c>
      <c r="H14" s="98"/>
      <c r="I14" s="98"/>
      <c r="J14" s="98"/>
    </row>
    <row r="15" spans="1:12" ht="60" customHeight="1">
      <c r="A15" s="15">
        <v>8</v>
      </c>
      <c r="B15" s="135">
        <v>1</v>
      </c>
      <c r="C15" s="136" t="s">
        <v>131</v>
      </c>
      <c r="D15" s="134" t="s">
        <v>130</v>
      </c>
      <c r="E15" s="137"/>
      <c r="F15" s="138"/>
      <c r="G15" s="139">
        <f t="shared" si="0"/>
        <v>0</v>
      </c>
      <c r="H15" s="98"/>
      <c r="I15" s="98"/>
      <c r="J15" s="98"/>
      <c r="L15"/>
    </row>
    <row r="16" spans="1:12" ht="23.25">
      <c r="A16" s="15">
        <v>9</v>
      </c>
      <c r="B16" s="135">
        <v>44</v>
      </c>
      <c r="C16" s="136" t="s">
        <v>132</v>
      </c>
      <c r="D16" s="134" t="s">
        <v>172</v>
      </c>
      <c r="E16" s="137"/>
      <c r="F16" s="138"/>
      <c r="G16" s="139">
        <f t="shared" si="0"/>
        <v>0</v>
      </c>
      <c r="H16" s="98"/>
      <c r="I16" s="98"/>
      <c r="J16" s="98"/>
      <c r="L16"/>
    </row>
    <row r="17" spans="1:10" ht="11.25">
      <c r="A17" s="15">
        <v>10</v>
      </c>
      <c r="B17" s="135">
        <v>1</v>
      </c>
      <c r="C17" s="136" t="s">
        <v>112</v>
      </c>
      <c r="D17" s="134" t="s">
        <v>133</v>
      </c>
      <c r="E17" s="138"/>
      <c r="F17" s="138"/>
      <c r="G17" s="139">
        <f t="shared" si="0"/>
        <v>0</v>
      </c>
      <c r="H17" s="98"/>
      <c r="I17" s="98"/>
      <c r="J17" s="98"/>
    </row>
    <row r="18" spans="1:10" ht="11.25">
      <c r="A18" s="15">
        <v>11</v>
      </c>
      <c r="B18" s="135">
        <v>1</v>
      </c>
      <c r="C18" s="136" t="s">
        <v>112</v>
      </c>
      <c r="D18" s="134" t="s">
        <v>134</v>
      </c>
      <c r="E18" s="137"/>
      <c r="F18" s="138"/>
      <c r="G18" s="139">
        <f t="shared" si="0"/>
        <v>0</v>
      </c>
      <c r="H18" s="98"/>
      <c r="I18" s="98"/>
      <c r="J18" s="98"/>
    </row>
    <row r="19" spans="1:10" ht="11.25">
      <c r="A19" s="15">
        <v>12</v>
      </c>
      <c r="B19" s="135">
        <v>1</v>
      </c>
      <c r="C19" s="137" t="s">
        <v>112</v>
      </c>
      <c r="D19" s="140" t="s">
        <v>135</v>
      </c>
      <c r="E19" s="137"/>
      <c r="F19" s="137"/>
      <c r="G19" s="139">
        <f aca="true" t="shared" si="1" ref="G19:G29">B19*E19</f>
        <v>0</v>
      </c>
      <c r="H19" s="98"/>
      <c r="I19" s="98"/>
      <c r="J19" s="98"/>
    </row>
    <row r="20" spans="1:10" ht="11.25">
      <c r="A20" s="15">
        <v>13</v>
      </c>
      <c r="B20" s="141">
        <v>2</v>
      </c>
      <c r="C20" s="142" t="s">
        <v>112</v>
      </c>
      <c r="D20" s="140" t="s">
        <v>136</v>
      </c>
      <c r="E20" s="137"/>
      <c r="F20" s="142"/>
      <c r="G20" s="139">
        <f t="shared" si="1"/>
        <v>0</v>
      </c>
      <c r="H20" s="98"/>
      <c r="I20" s="98"/>
      <c r="J20" s="98"/>
    </row>
    <row r="21" spans="1:10" ht="11.25">
      <c r="A21" s="15">
        <v>14</v>
      </c>
      <c r="B21" s="135">
        <v>2</v>
      </c>
      <c r="C21" s="137" t="s">
        <v>112</v>
      </c>
      <c r="D21" s="140" t="s">
        <v>137</v>
      </c>
      <c r="E21" s="137"/>
      <c r="F21" s="137"/>
      <c r="G21" s="139">
        <f t="shared" si="1"/>
        <v>0</v>
      </c>
      <c r="H21" s="98"/>
      <c r="I21" s="98"/>
      <c r="J21" s="98"/>
    </row>
    <row r="22" spans="1:10" ht="11.25">
      <c r="A22" s="15">
        <v>15</v>
      </c>
      <c r="B22" s="135">
        <v>1</v>
      </c>
      <c r="C22" s="137" t="s">
        <v>112</v>
      </c>
      <c r="D22" s="134" t="s">
        <v>138</v>
      </c>
      <c r="E22" s="137"/>
      <c r="F22" s="137"/>
      <c r="G22" s="139">
        <f t="shared" si="1"/>
        <v>0</v>
      </c>
      <c r="H22" s="98"/>
      <c r="I22" s="98"/>
      <c r="J22" s="98"/>
    </row>
    <row r="23" spans="1:10" ht="11.25">
      <c r="A23" s="15">
        <v>16</v>
      </c>
      <c r="B23" s="135">
        <v>1</v>
      </c>
      <c r="C23" s="137" t="s">
        <v>112</v>
      </c>
      <c r="D23" s="140" t="s">
        <v>140</v>
      </c>
      <c r="E23" s="137"/>
      <c r="F23" s="137"/>
      <c r="G23" s="139">
        <f t="shared" si="1"/>
        <v>0</v>
      </c>
      <c r="H23" s="98"/>
      <c r="I23" s="98"/>
      <c r="J23" s="98"/>
    </row>
    <row r="24" spans="1:10" ht="11.25">
      <c r="A24" s="15">
        <v>17</v>
      </c>
      <c r="B24" s="23">
        <v>2</v>
      </c>
      <c r="C24" s="7" t="s">
        <v>112</v>
      </c>
      <c r="D24" s="5" t="s">
        <v>141</v>
      </c>
      <c r="E24" s="6"/>
      <c r="F24" s="7"/>
      <c r="G24" s="16">
        <f t="shared" si="1"/>
        <v>0</v>
      </c>
      <c r="H24" s="98"/>
      <c r="I24" s="98"/>
      <c r="J24" s="98"/>
    </row>
    <row r="25" spans="1:10" ht="11.25">
      <c r="A25" s="15">
        <v>18</v>
      </c>
      <c r="B25" s="22">
        <v>8</v>
      </c>
      <c r="C25" s="6" t="s">
        <v>112</v>
      </c>
      <c r="D25" s="5" t="s">
        <v>142</v>
      </c>
      <c r="E25" s="6"/>
      <c r="F25" s="6"/>
      <c r="G25" s="16">
        <f t="shared" si="1"/>
        <v>0</v>
      </c>
      <c r="H25" s="98"/>
      <c r="I25" s="98"/>
      <c r="J25" s="98"/>
    </row>
    <row r="26" spans="1:10" ht="11.25">
      <c r="A26" s="15">
        <v>19</v>
      </c>
      <c r="B26" s="22">
        <v>4</v>
      </c>
      <c r="C26" s="6" t="s">
        <v>131</v>
      </c>
      <c r="D26" s="5" t="s">
        <v>143</v>
      </c>
      <c r="E26" s="6"/>
      <c r="F26" s="6"/>
      <c r="G26" s="16">
        <f t="shared" si="1"/>
        <v>0</v>
      </c>
      <c r="H26" s="98"/>
      <c r="I26" s="98"/>
      <c r="J26" s="98"/>
    </row>
    <row r="27" spans="1:10" ht="11.25">
      <c r="A27" s="15">
        <v>20</v>
      </c>
      <c r="B27" s="23">
        <v>1</v>
      </c>
      <c r="C27" s="7" t="s">
        <v>112</v>
      </c>
      <c r="D27" s="5" t="s">
        <v>144</v>
      </c>
      <c r="E27" s="6"/>
      <c r="F27" s="7"/>
      <c r="G27" s="16">
        <f t="shared" si="1"/>
        <v>0</v>
      </c>
      <c r="H27" s="98"/>
      <c r="I27" s="98"/>
      <c r="J27" s="98"/>
    </row>
    <row r="28" spans="1:10" ht="11.25">
      <c r="A28" s="15">
        <v>21</v>
      </c>
      <c r="B28" s="22">
        <v>1</v>
      </c>
      <c r="C28" s="6" t="s">
        <v>112</v>
      </c>
      <c r="D28" s="140" t="s">
        <v>145</v>
      </c>
      <c r="E28" s="6"/>
      <c r="F28" s="6"/>
      <c r="G28" s="16">
        <f t="shared" si="1"/>
        <v>0</v>
      </c>
      <c r="H28" s="98"/>
      <c r="I28" s="98"/>
      <c r="J28" s="98"/>
    </row>
    <row r="29" spans="1:10" ht="11.25">
      <c r="A29" s="15">
        <v>22</v>
      </c>
      <c r="B29" s="22">
        <v>1</v>
      </c>
      <c r="C29" s="6" t="s">
        <v>112</v>
      </c>
      <c r="D29" s="5" t="s">
        <v>146</v>
      </c>
      <c r="E29" s="6"/>
      <c r="F29" s="6"/>
      <c r="G29" s="16">
        <f t="shared" si="1"/>
        <v>0</v>
      </c>
      <c r="H29" s="98"/>
      <c r="I29" s="98"/>
      <c r="J29" s="98"/>
    </row>
    <row r="30" spans="1:10" ht="11.25">
      <c r="A30" s="15">
        <v>23</v>
      </c>
      <c r="B30" s="135">
        <v>1</v>
      </c>
      <c r="C30" s="136" t="s">
        <v>112</v>
      </c>
      <c r="D30" s="134" t="s">
        <v>149</v>
      </c>
      <c r="E30" s="138"/>
      <c r="F30" s="138"/>
      <c r="G30" s="139">
        <f>SUM(B30*E30)</f>
        <v>0</v>
      </c>
      <c r="H30" s="98"/>
      <c r="I30" s="98"/>
      <c r="J30" s="98"/>
    </row>
    <row r="31" spans="1:10" ht="11.25">
      <c r="A31" s="15">
        <v>24</v>
      </c>
      <c r="B31" s="135">
        <v>1</v>
      </c>
      <c r="C31" s="136" t="s">
        <v>131</v>
      </c>
      <c r="D31" s="134" t="s">
        <v>150</v>
      </c>
      <c r="E31" s="137"/>
      <c r="F31" s="138"/>
      <c r="G31" s="139">
        <f>SUM(B31*E31)</f>
        <v>0</v>
      </c>
      <c r="H31" s="98"/>
      <c r="I31" s="98"/>
      <c r="J31" s="98"/>
    </row>
    <row r="32" spans="1:10" ht="23.25">
      <c r="A32" s="15">
        <v>25</v>
      </c>
      <c r="B32" s="135">
        <v>1</v>
      </c>
      <c r="C32" s="137" t="s">
        <v>112</v>
      </c>
      <c r="D32" s="134" t="s">
        <v>151</v>
      </c>
      <c r="E32" s="137"/>
      <c r="F32" s="137"/>
      <c r="G32" s="139">
        <f aca="true" t="shared" si="2" ref="G32:G47">B32*E32</f>
        <v>0</v>
      </c>
      <c r="H32" s="98"/>
      <c r="I32" s="98"/>
      <c r="J32" s="98"/>
    </row>
    <row r="33" spans="1:10" ht="23.25">
      <c r="A33" s="15">
        <v>26</v>
      </c>
      <c r="B33" s="141">
        <v>4</v>
      </c>
      <c r="C33" s="142" t="s">
        <v>112</v>
      </c>
      <c r="D33" s="134" t="s">
        <v>152</v>
      </c>
      <c r="E33" s="137"/>
      <c r="F33" s="142"/>
      <c r="G33" s="139">
        <f t="shared" si="2"/>
        <v>0</v>
      </c>
      <c r="H33" s="98"/>
      <c r="I33" s="98"/>
      <c r="J33" s="98"/>
    </row>
    <row r="34" spans="1:10" ht="11.25">
      <c r="A34" s="15">
        <v>27</v>
      </c>
      <c r="B34" s="135">
        <v>1</v>
      </c>
      <c r="C34" s="137" t="s">
        <v>112</v>
      </c>
      <c r="D34" s="140" t="s">
        <v>153</v>
      </c>
      <c r="E34" s="137"/>
      <c r="F34" s="137"/>
      <c r="G34" s="139">
        <f t="shared" si="2"/>
        <v>0</v>
      </c>
      <c r="H34" s="98"/>
      <c r="I34" s="98"/>
      <c r="J34" s="98"/>
    </row>
    <row r="35" spans="1:10" ht="11.25">
      <c r="A35" s="15">
        <v>28</v>
      </c>
      <c r="B35" s="135">
        <v>1</v>
      </c>
      <c r="C35" s="137" t="s">
        <v>112</v>
      </c>
      <c r="D35" s="134" t="s">
        <v>154</v>
      </c>
      <c r="E35" s="137"/>
      <c r="F35" s="137"/>
      <c r="G35" s="139">
        <f t="shared" si="2"/>
        <v>0</v>
      </c>
      <c r="H35" s="98"/>
      <c r="I35" s="98"/>
      <c r="J35" s="98"/>
    </row>
    <row r="36" spans="1:10" ht="23.25">
      <c r="A36" s="15">
        <v>29</v>
      </c>
      <c r="B36" s="135">
        <v>1</v>
      </c>
      <c r="C36" s="137" t="s">
        <v>112</v>
      </c>
      <c r="D36" s="134" t="s">
        <v>155</v>
      </c>
      <c r="E36" s="137"/>
      <c r="F36" s="137"/>
      <c r="G36" s="139">
        <f t="shared" si="2"/>
        <v>0</v>
      </c>
      <c r="H36" s="98"/>
      <c r="I36" s="98"/>
      <c r="J36" s="98"/>
    </row>
    <row r="37" spans="1:10" ht="11.25">
      <c r="A37" s="15">
        <v>30</v>
      </c>
      <c r="B37" s="23">
        <v>2</v>
      </c>
      <c r="C37" s="7" t="s">
        <v>112</v>
      </c>
      <c r="D37" s="5" t="s">
        <v>156</v>
      </c>
      <c r="E37" s="6"/>
      <c r="F37" s="7"/>
      <c r="G37" s="16">
        <f t="shared" si="2"/>
        <v>0</v>
      </c>
      <c r="H37" s="98"/>
      <c r="I37" s="98"/>
      <c r="J37" s="98"/>
    </row>
    <row r="38" spans="1:10" ht="11.25">
      <c r="A38" s="15">
        <v>31</v>
      </c>
      <c r="B38" s="22">
        <v>4</v>
      </c>
      <c r="C38" s="6" t="s">
        <v>112</v>
      </c>
      <c r="D38" s="5" t="s">
        <v>157</v>
      </c>
      <c r="E38" s="6"/>
      <c r="F38" s="6"/>
      <c r="G38" s="16">
        <f t="shared" si="2"/>
        <v>0</v>
      </c>
      <c r="H38" s="98"/>
      <c r="I38" s="98"/>
      <c r="J38" s="98"/>
    </row>
    <row r="39" spans="1:10" ht="11.25">
      <c r="A39" s="15">
        <v>32</v>
      </c>
      <c r="B39" s="22">
        <v>1</v>
      </c>
      <c r="C39" s="6" t="s">
        <v>112</v>
      </c>
      <c r="D39" s="134" t="s">
        <v>158</v>
      </c>
      <c r="E39" s="6"/>
      <c r="F39" s="6"/>
      <c r="G39" s="16">
        <f t="shared" si="2"/>
        <v>0</v>
      </c>
      <c r="H39" s="98"/>
      <c r="I39" s="98"/>
      <c r="J39" s="98"/>
    </row>
    <row r="40" spans="1:10" ht="11.25">
      <c r="A40" s="15">
        <v>33</v>
      </c>
      <c r="B40" s="23">
        <v>6</v>
      </c>
      <c r="C40" s="7" t="s">
        <v>112</v>
      </c>
      <c r="D40" s="5" t="s">
        <v>159</v>
      </c>
      <c r="E40" s="6"/>
      <c r="F40" s="7"/>
      <c r="G40" s="16">
        <f t="shared" si="2"/>
        <v>0</v>
      </c>
      <c r="H40" s="98"/>
      <c r="I40" s="98"/>
      <c r="J40" s="98"/>
    </row>
    <row r="41" spans="1:10" ht="23.25">
      <c r="A41" s="15">
        <v>34</v>
      </c>
      <c r="B41" s="22">
        <v>1</v>
      </c>
      <c r="C41" s="6" t="s">
        <v>112</v>
      </c>
      <c r="D41" s="134" t="s">
        <v>160</v>
      </c>
      <c r="E41" s="6"/>
      <c r="F41" s="6"/>
      <c r="G41" s="16">
        <f t="shared" si="2"/>
        <v>0</v>
      </c>
      <c r="H41" s="98"/>
      <c r="I41" s="98"/>
      <c r="J41" s="98"/>
    </row>
    <row r="42" spans="1:10" ht="11.25">
      <c r="A42" s="15">
        <v>35</v>
      </c>
      <c r="B42" s="22">
        <v>1</v>
      </c>
      <c r="C42" s="6" t="s">
        <v>112</v>
      </c>
      <c r="D42" s="134" t="s">
        <v>161</v>
      </c>
      <c r="E42" s="6"/>
      <c r="F42" s="6"/>
      <c r="G42" s="16">
        <f t="shared" si="2"/>
        <v>0</v>
      </c>
      <c r="H42" s="98"/>
      <c r="I42" s="98"/>
      <c r="J42" s="98"/>
    </row>
    <row r="43" spans="1:10" ht="11.25">
      <c r="A43" s="15">
        <v>36</v>
      </c>
      <c r="B43" s="22">
        <v>14</v>
      </c>
      <c r="C43" s="6" t="s">
        <v>112</v>
      </c>
      <c r="D43" s="5" t="s">
        <v>162</v>
      </c>
      <c r="E43" s="6"/>
      <c r="F43" s="6"/>
      <c r="G43" s="16">
        <f t="shared" si="2"/>
        <v>0</v>
      </c>
      <c r="H43" s="98"/>
      <c r="I43" s="98"/>
      <c r="J43" s="98"/>
    </row>
    <row r="44" spans="1:10" ht="11.25">
      <c r="A44" s="15">
        <v>37</v>
      </c>
      <c r="B44" s="22">
        <v>1</v>
      </c>
      <c r="C44" s="6" t="s">
        <v>112</v>
      </c>
      <c r="D44" s="5" t="s">
        <v>163</v>
      </c>
      <c r="E44" s="6"/>
      <c r="F44" s="6"/>
      <c r="G44" s="16">
        <f t="shared" si="2"/>
        <v>0</v>
      </c>
      <c r="H44" s="98"/>
      <c r="I44" s="98"/>
      <c r="J44" s="98"/>
    </row>
    <row r="45" spans="1:10" ht="11.25">
      <c r="A45" s="15">
        <v>38</v>
      </c>
      <c r="B45" s="23">
        <v>1</v>
      </c>
      <c r="C45" s="7" t="s">
        <v>112</v>
      </c>
      <c r="D45" s="5" t="s">
        <v>164</v>
      </c>
      <c r="E45" s="6"/>
      <c r="F45" s="7"/>
      <c r="G45" s="16">
        <f t="shared" si="2"/>
        <v>0</v>
      </c>
      <c r="H45" s="98"/>
      <c r="I45" s="98"/>
      <c r="J45" s="98"/>
    </row>
    <row r="46" spans="1:10" ht="11.25">
      <c r="A46" s="15">
        <v>39</v>
      </c>
      <c r="B46" s="22">
        <v>4</v>
      </c>
      <c r="C46" s="6" t="s">
        <v>112</v>
      </c>
      <c r="D46" s="140" t="s">
        <v>165</v>
      </c>
      <c r="E46" s="6"/>
      <c r="F46" s="6"/>
      <c r="G46" s="16">
        <f t="shared" si="2"/>
        <v>0</v>
      </c>
      <c r="H46" s="98"/>
      <c r="I46" s="98"/>
      <c r="J46" s="98"/>
    </row>
    <row r="47" spans="1:10" ht="11.25">
      <c r="A47" s="15">
        <v>40</v>
      </c>
      <c r="B47" s="22">
        <v>1</v>
      </c>
      <c r="C47" s="6" t="s">
        <v>112</v>
      </c>
      <c r="D47" s="5" t="s">
        <v>166</v>
      </c>
      <c r="E47" s="6"/>
      <c r="F47" s="6"/>
      <c r="G47" s="16">
        <f t="shared" si="2"/>
        <v>0</v>
      </c>
      <c r="H47" s="98"/>
      <c r="I47" s="98"/>
      <c r="J47" s="98"/>
    </row>
    <row r="48" spans="1:10" ht="12" thickBot="1">
      <c r="A48" s="15">
        <v>41</v>
      </c>
      <c r="B48" s="22">
        <v>1</v>
      </c>
      <c r="C48" s="6" t="s">
        <v>131</v>
      </c>
      <c r="D48" s="5" t="s">
        <v>173</v>
      </c>
      <c r="E48" s="6"/>
      <c r="F48" s="6"/>
      <c r="G48" s="16">
        <f>B48*E48</f>
        <v>0</v>
      </c>
      <c r="H48" s="98"/>
      <c r="I48" s="98"/>
      <c r="J48" s="98"/>
    </row>
    <row r="49" spans="1:10" ht="49.5" customHeight="1" thickBot="1" thickTop="1">
      <c r="A49" s="124"/>
      <c r="B49" s="125"/>
      <c r="C49" s="126"/>
      <c r="D49" s="127"/>
      <c r="E49" s="161" t="s">
        <v>168</v>
      </c>
      <c r="F49" s="162"/>
      <c r="G49" s="143">
        <f>SUM(G6:G48)</f>
        <v>0</v>
      </c>
      <c r="H49" s="98"/>
      <c r="I49" s="98"/>
      <c r="J49" s="98"/>
    </row>
    <row r="50" spans="1:10" ht="18" customHeight="1" thickTop="1">
      <c r="A50" s="15"/>
      <c r="B50" s="25"/>
      <c r="C50" s="4"/>
      <c r="D50" s="127" t="s">
        <v>147</v>
      </c>
      <c r="E50" s="144" t="s">
        <v>148</v>
      </c>
      <c r="F50" s="145"/>
      <c r="G50" s="146"/>
      <c r="H50" s="98"/>
      <c r="I50" s="98"/>
      <c r="J50" s="98"/>
    </row>
    <row r="51" spans="1:10" ht="75" customHeight="1">
      <c r="A51" s="15"/>
      <c r="B51" s="130"/>
      <c r="C51" s="4"/>
      <c r="D51" s="131"/>
      <c r="E51" s="128"/>
      <c r="F51" s="129"/>
      <c r="G51" s="123"/>
      <c r="H51" s="98"/>
      <c r="I51" s="98"/>
      <c r="J51" s="98"/>
    </row>
    <row r="52" spans="1:10" ht="18" customHeight="1" hidden="1">
      <c r="A52" s="14"/>
      <c r="B52" s="130" t="s">
        <v>116</v>
      </c>
      <c r="C52" s="12"/>
      <c r="D52" s="27"/>
      <c r="E52" s="116"/>
      <c r="F52" s="13"/>
      <c r="G52" s="117"/>
      <c r="H52" s="98"/>
      <c r="I52" s="98"/>
      <c r="J52" s="98"/>
    </row>
    <row r="53" spans="1:10" ht="15.75" customHeight="1">
      <c r="A53" s="30"/>
      <c r="B53" s="147"/>
      <c r="C53" s="149"/>
      <c r="D53" s="151"/>
      <c r="E53" s="152"/>
      <c r="F53" s="152"/>
      <c r="G53" s="101"/>
      <c r="H53" s="28"/>
      <c r="I53" s="28"/>
      <c r="J53" s="98"/>
    </row>
    <row r="54" spans="1:10" ht="15.75" customHeight="1">
      <c r="A54" s="28"/>
      <c r="B54" s="148"/>
      <c r="C54" s="150"/>
      <c r="D54" s="150"/>
      <c r="E54" s="29"/>
      <c r="F54" s="102"/>
      <c r="G54" s="29"/>
      <c r="H54" s="28"/>
      <c r="I54" s="28"/>
      <c r="J54" s="98"/>
    </row>
    <row r="55" spans="1:10" ht="15.75" customHeight="1">
      <c r="A55" s="28"/>
      <c r="B55" s="103"/>
      <c r="C55" s="28"/>
      <c r="D55" s="104"/>
      <c r="E55" s="28"/>
      <c r="F55" s="28"/>
      <c r="G55" s="105"/>
      <c r="H55" s="28"/>
      <c r="I55" s="28"/>
      <c r="J55" s="98"/>
    </row>
    <row r="56" spans="1:10" ht="40.5" customHeight="1">
      <c r="A56" s="106"/>
      <c r="B56" s="107"/>
      <c r="C56" s="106"/>
      <c r="D56" s="108"/>
      <c r="E56" s="28"/>
      <c r="F56" s="28"/>
      <c r="G56" s="105"/>
      <c r="H56" s="28"/>
      <c r="I56" s="28"/>
      <c r="J56" s="98"/>
    </row>
    <row r="57" spans="1:10" ht="15.75" customHeight="1">
      <c r="A57" s="28"/>
      <c r="B57" s="107"/>
      <c r="C57" s="28"/>
      <c r="D57" s="28"/>
      <c r="E57" s="28"/>
      <c r="F57" s="28"/>
      <c r="G57" s="105"/>
      <c r="H57" s="28"/>
      <c r="I57" s="28"/>
      <c r="J57" s="98"/>
    </row>
    <row r="58" spans="1:10" ht="15.75" customHeight="1">
      <c r="A58" s="28"/>
      <c r="B58" s="107"/>
      <c r="C58" s="28"/>
      <c r="D58" s="28"/>
      <c r="E58" s="28"/>
      <c r="F58" s="28"/>
      <c r="G58" s="105"/>
      <c r="H58" s="28"/>
      <c r="I58" s="28"/>
      <c r="J58" s="98"/>
    </row>
    <row r="59" spans="1:10" ht="15.75" customHeight="1">
      <c r="A59" s="28"/>
      <c r="B59" s="107"/>
      <c r="C59" s="28"/>
      <c r="D59" s="28"/>
      <c r="E59" s="28"/>
      <c r="F59" s="28"/>
      <c r="G59" s="105"/>
      <c r="H59" s="28"/>
      <c r="I59" s="28"/>
      <c r="J59" s="98"/>
    </row>
    <row r="60" spans="1:10" ht="11.25">
      <c r="A60" s="109"/>
      <c r="B60" s="107"/>
      <c r="C60" s="28"/>
      <c r="D60" s="28"/>
      <c r="E60" s="28"/>
      <c r="F60" s="28"/>
      <c r="G60" s="105"/>
      <c r="H60" s="28"/>
      <c r="I60" s="28"/>
      <c r="J60" s="98"/>
    </row>
    <row r="61" spans="1:10" ht="11.25">
      <c r="A61" s="28"/>
      <c r="B61" s="103"/>
      <c r="C61" s="28"/>
      <c r="D61" s="110"/>
      <c r="E61" s="111"/>
      <c r="F61" s="102"/>
      <c r="G61" s="112"/>
      <c r="H61" s="28"/>
      <c r="I61" s="28"/>
      <c r="J61" s="98"/>
    </row>
    <row r="62" spans="1:10" ht="11.25">
      <c r="A62" s="28"/>
      <c r="B62" s="113"/>
      <c r="C62" s="28"/>
      <c r="D62" s="28"/>
      <c r="E62" s="28"/>
      <c r="F62" s="28"/>
      <c r="G62" s="102"/>
      <c r="H62" s="28"/>
      <c r="I62" s="28"/>
      <c r="J62" s="98"/>
    </row>
    <row r="63" spans="1:10" ht="11.25">
      <c r="A63" s="28"/>
      <c r="B63" s="113"/>
      <c r="C63" s="28"/>
      <c r="D63" s="28"/>
      <c r="E63" s="28"/>
      <c r="F63" s="28"/>
      <c r="G63" s="102"/>
      <c r="H63" s="28"/>
      <c r="I63" s="28"/>
      <c r="J63" s="98"/>
    </row>
    <row r="64" spans="1:10" ht="11.25">
      <c r="A64" s="28"/>
      <c r="B64" s="113"/>
      <c r="C64" s="28"/>
      <c r="D64" s="28"/>
      <c r="E64" s="28"/>
      <c r="F64" s="28"/>
      <c r="G64" s="102"/>
      <c r="H64" s="28"/>
      <c r="I64" s="28"/>
      <c r="J64" s="98"/>
    </row>
    <row r="65" spans="1:10" ht="11.25">
      <c r="A65" s="28"/>
      <c r="B65" s="113"/>
      <c r="C65" s="28"/>
      <c r="D65" s="28"/>
      <c r="E65" s="28"/>
      <c r="F65" s="28"/>
      <c r="G65" s="102"/>
      <c r="H65" s="28"/>
      <c r="I65" s="28"/>
      <c r="J65" s="98"/>
    </row>
    <row r="66" spans="1:10" ht="11.25">
      <c r="A66" s="28"/>
      <c r="B66" s="113"/>
      <c r="C66" s="28"/>
      <c r="D66" s="28"/>
      <c r="E66" s="28"/>
      <c r="F66" s="28"/>
      <c r="G66" s="102"/>
      <c r="H66" s="28"/>
      <c r="I66" s="28"/>
      <c r="J66" s="98"/>
    </row>
    <row r="67" spans="1:10" ht="11.25">
      <c r="A67" s="28"/>
      <c r="B67" s="113"/>
      <c r="C67" s="28"/>
      <c r="D67" s="28"/>
      <c r="E67" s="28"/>
      <c r="F67" s="28"/>
      <c r="G67" s="102"/>
      <c r="H67" s="28"/>
      <c r="I67" s="28"/>
      <c r="J67" s="98"/>
    </row>
    <row r="68" spans="1:10" ht="11.25">
      <c r="A68" s="98"/>
      <c r="B68" s="99"/>
      <c r="C68" s="98"/>
      <c r="D68" s="98"/>
      <c r="E68" s="98"/>
      <c r="F68" s="98"/>
      <c r="G68" s="100"/>
      <c r="H68" s="98"/>
      <c r="I68" s="98"/>
      <c r="J68" s="98"/>
    </row>
    <row r="69" spans="1:10" ht="11.25">
      <c r="A69" s="98"/>
      <c r="B69" s="99"/>
      <c r="C69" s="98"/>
      <c r="D69" s="98"/>
      <c r="E69" s="98"/>
      <c r="F69" s="98"/>
      <c r="G69" s="100"/>
      <c r="H69" s="98"/>
      <c r="I69" s="98"/>
      <c r="J69" s="98"/>
    </row>
    <row r="70" spans="1:10" ht="11.25">
      <c r="A70" s="98"/>
      <c r="B70" s="99"/>
      <c r="C70" s="98"/>
      <c r="D70" s="98"/>
      <c r="E70" s="98"/>
      <c r="F70" s="98"/>
      <c r="G70" s="100"/>
      <c r="H70" s="98"/>
      <c r="I70" s="98"/>
      <c r="J70" s="98"/>
    </row>
    <row r="71" spans="1:10" ht="11.25">
      <c r="A71" s="98"/>
      <c r="B71" s="99"/>
      <c r="C71" s="98"/>
      <c r="D71" s="98"/>
      <c r="E71" s="98"/>
      <c r="F71" s="98"/>
      <c r="G71" s="100"/>
      <c r="H71" s="98"/>
      <c r="I71" s="98"/>
      <c r="J71" s="98"/>
    </row>
    <row r="72" spans="1:10" ht="11.25">
      <c r="A72" s="98"/>
      <c r="B72" s="99"/>
      <c r="C72" s="98"/>
      <c r="D72" s="98"/>
      <c r="E72" s="98"/>
      <c r="F72" s="98"/>
      <c r="G72" s="100"/>
      <c r="H72" s="98"/>
      <c r="I72" s="98"/>
      <c r="J72" s="98"/>
    </row>
  </sheetData>
  <sheetProtection/>
  <mergeCells count="19">
    <mergeCell ref="A1:C1"/>
    <mergeCell ref="A2:C2"/>
    <mergeCell ref="A3:C3"/>
    <mergeCell ref="G1:G4"/>
    <mergeCell ref="E1:F1"/>
    <mergeCell ref="E2:F2"/>
    <mergeCell ref="E3:F3"/>
    <mergeCell ref="E4:F4"/>
    <mergeCell ref="A4:C4"/>
    <mergeCell ref="E50:G50"/>
    <mergeCell ref="B53:B54"/>
    <mergeCell ref="C53:C54"/>
    <mergeCell ref="D53:D54"/>
    <mergeCell ref="E53:F53"/>
    <mergeCell ref="E6:F6"/>
    <mergeCell ref="B6:B7"/>
    <mergeCell ref="C6:C7"/>
    <mergeCell ref="D6:D7"/>
    <mergeCell ref="E49:F49"/>
  </mergeCells>
  <printOptions gridLines="1" horizontalCentered="1"/>
  <pageMargins left="0.11811023622047245" right="0.11811023622047245" top="0.11811023622047245" bottom="0.1968503937007874" header="0.11811023622047245" footer="0"/>
  <pageSetup horizontalDpi="300" verticalDpi="300" orientation="landscape" paperSize="9" scale="85" r:id="rId1"/>
  <headerFooter alignWithMargins="0">
    <oddFooter>&amp;CMaterialkalkulation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T50"/>
  <sheetViews>
    <sheetView view="pageBreakPreview" zoomScale="60" workbookViewId="0" topLeftCell="U65536">
      <selection activeCell="AC32" sqref="A1:IV16384"/>
    </sheetView>
  </sheetViews>
  <sheetFormatPr defaultColWidth="11.421875" defaultRowHeight="12.75" zeroHeight="1"/>
  <cols>
    <col min="1" max="18" width="11.421875" style="0" customWidth="1"/>
    <col min="19" max="19" width="14.28125" style="0" customWidth="1"/>
    <col min="20" max="20" width="19.00390625" style="0" customWidth="1"/>
    <col min="21" max="21" width="17.00390625" style="0" customWidth="1"/>
    <col min="22" max="22" width="18.140625" style="0" customWidth="1"/>
    <col min="23" max="43" width="11.421875" style="0" customWidth="1"/>
    <col min="44" max="45" width="28.7109375" style="0" customWidth="1"/>
  </cols>
  <sheetData>
    <row r="1" spans="1:34" ht="12.75" hidden="1" thickTop="1">
      <c r="A1" s="34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37" t="s">
        <v>91</v>
      </c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9"/>
    </row>
    <row r="2" spans="1:35" ht="12.75" hidden="1">
      <c r="A2" s="58"/>
      <c r="B2" s="59" t="s">
        <v>9</v>
      </c>
      <c r="C2" s="59" t="s">
        <v>11</v>
      </c>
      <c r="D2" s="59" t="s">
        <v>12</v>
      </c>
      <c r="E2" s="59"/>
      <c r="F2" s="59"/>
      <c r="G2" s="59" t="s">
        <v>8</v>
      </c>
      <c r="H2" s="59" t="s">
        <v>11</v>
      </c>
      <c r="I2" s="59" t="s">
        <v>5</v>
      </c>
      <c r="J2" s="59" t="s">
        <v>20</v>
      </c>
      <c r="K2" s="59" t="s">
        <v>21</v>
      </c>
      <c r="L2" s="59" t="s">
        <v>22</v>
      </c>
      <c r="M2" s="59" t="s">
        <v>23</v>
      </c>
      <c r="N2" s="59" t="s">
        <v>24</v>
      </c>
      <c r="O2" s="59" t="s">
        <v>25</v>
      </c>
      <c r="P2" s="59" t="s">
        <v>26</v>
      </c>
      <c r="Q2" s="59" t="s">
        <v>27</v>
      </c>
      <c r="R2" s="59" t="s">
        <v>28</v>
      </c>
      <c r="S2" s="59" t="s">
        <v>29</v>
      </c>
      <c r="T2" s="59" t="s">
        <v>30</v>
      </c>
      <c r="U2" s="59" t="s">
        <v>31</v>
      </c>
      <c r="V2" s="59"/>
      <c r="W2" s="5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  <c r="AI2" t="s">
        <v>95</v>
      </c>
    </row>
    <row r="3" spans="1:46" ht="12.75" hidden="1">
      <c r="A3" s="58" t="s">
        <v>13</v>
      </c>
      <c r="B3" s="59" t="e">
        <f>IF(Eingabe!#REF!="Schlüter®-BEKOTEC-Noppenplatte aus druckstabiler Tiefzieh-Folie",1,0)</f>
        <v>#REF!</v>
      </c>
      <c r="C3" s="59" t="e">
        <f>Eingabe!#REF!</f>
        <v>#REF!</v>
      </c>
      <c r="D3" s="59" t="e">
        <f>Eingabe!#REF!</f>
        <v>#REF!</v>
      </c>
      <c r="E3" s="59"/>
      <c r="F3" s="59"/>
      <c r="G3" s="59" t="e">
        <f>Eingabe!#REF!</f>
        <v>#REF!</v>
      </c>
      <c r="H3" s="59" t="e">
        <f>C3</f>
        <v>#REF!</v>
      </c>
      <c r="I3" s="60" t="e">
        <f>Eingabe!#REF!</f>
        <v>#REF!</v>
      </c>
      <c r="J3" s="59" t="e">
        <f>IF(I3=1,1)</f>
        <v>#REF!</v>
      </c>
      <c r="K3" s="59" t="e">
        <f>IF(I3=2,1)</f>
        <v>#REF!</v>
      </c>
      <c r="L3" s="59" t="e">
        <f>IF(I3=3,1)</f>
        <v>#REF!</v>
      </c>
      <c r="M3" s="59" t="e">
        <f>IF(I3=4,1)</f>
        <v>#REF!</v>
      </c>
      <c r="N3" s="59" t="e">
        <f>IF(I3=5,1)</f>
        <v>#REF!</v>
      </c>
      <c r="O3" s="59" t="e">
        <f>IF(I3=6,1)</f>
        <v>#REF!</v>
      </c>
      <c r="P3" s="59" t="e">
        <f>IF(I3=7,1)</f>
        <v>#REF!</v>
      </c>
      <c r="Q3" s="59" t="e">
        <f>IF(I3=8,1)</f>
        <v>#REF!</v>
      </c>
      <c r="R3" s="59" t="e">
        <f>IF(I3=9,1)</f>
        <v>#REF!</v>
      </c>
      <c r="S3" s="59" t="e">
        <f>IF(I3=10,1)</f>
        <v>#REF!</v>
      </c>
      <c r="T3" s="59" t="e">
        <f>IF(I3=11,1)</f>
        <v>#REF!</v>
      </c>
      <c r="U3" s="59" t="e">
        <f>IF(I3=12,1)</f>
        <v>#REF!</v>
      </c>
      <c r="V3" s="59"/>
      <c r="W3" s="68" t="e">
        <f>IF(Eingabe!#REF!="Schlüter®-BEKOTEC-Noppenplatte aus druckstabiler Tiefzieh-Folie",J3,0)</f>
        <v>#REF!</v>
      </c>
      <c r="X3" s="26" t="e">
        <f>IF(Eingabe!#REF!="Schlüter®-BEKOTEC-Noppenplatte aus druckstabiler Tiefzieh-Folie",K3,0)</f>
        <v>#REF!</v>
      </c>
      <c r="Y3" s="26" t="e">
        <f>IF(Eingabe!#REF!="Schlüter®-BEKOTEC-Noppenplatte aus druckstabiler Tiefzieh-Folie",L3,0)</f>
        <v>#REF!</v>
      </c>
      <c r="Z3" s="26" t="e">
        <f>IF(Eingabe!#REF!="Schlüter®-BEKOTEC-Noppenplatte aus druckstabiler Tiefzieh-Folie",M3,0)</f>
        <v>#REF!</v>
      </c>
      <c r="AA3" s="26" t="e">
        <f>IF(Eingabe!#REF!="Schlüter®-BEKOTEC-Noppenplatte aus druckstabiler Tiefzieh-Folie",N3,0)</f>
        <v>#REF!</v>
      </c>
      <c r="AB3" s="26" t="e">
        <f>IF(Eingabe!#REF!="Schlüter®-BEKOTEC-Noppenplatte aus druckstabiler Tiefzieh-Folie",O3,0)</f>
        <v>#REF!</v>
      </c>
      <c r="AC3" s="26" t="e">
        <f>IF(Eingabe!#REF!="Schlüter®-BEKOTEC-Noppenplatte aus druckstabiler Tiefzieh-Folie",P3,0)</f>
        <v>#REF!</v>
      </c>
      <c r="AD3" s="26" t="e">
        <f>IF(Eingabe!#REF!="Schlüter®-BEKOTEC-Noppenplatte aus druckstabiler Tiefzieh-Folie",Q3,0)</f>
        <v>#REF!</v>
      </c>
      <c r="AE3" s="26" t="e">
        <f>IF(Eingabe!#REF!="Schlüter®-BEKOTEC-Noppenplatte aus druckstabiler Tiefzieh-Folie",R3,0)</f>
        <v>#REF!</v>
      </c>
      <c r="AF3" s="26" t="e">
        <f>IF(Eingabe!#REF!="Schlüter®-BEKOTEC-Noppenplatte aus druckstabiler Tiefzieh-Folie",S3,0)</f>
        <v>#REF!</v>
      </c>
      <c r="AG3" s="26" t="e">
        <f>IF(Eingabe!#REF!="Schlüter®-BEKOTEC-Noppenplatte aus druckstabiler Tiefzieh-Folie",T3,0)</f>
        <v>#REF!</v>
      </c>
      <c r="AH3" s="69" t="e">
        <f>IF(Eingabe!#REF!="Schlüter®-BEKOTEC-Noppenplatte aus druckstabiler Tiefzieh-Folie",U3,0)</f>
        <v>#REF!</v>
      </c>
      <c r="AI3" s="39" t="e">
        <f>IF(Eingabe!#REF!="Regelung über RTB",0,W6)*OR(IF(Eingabe!#REF!="Regelung über RRB",0,W6))</f>
        <v>#REF!</v>
      </c>
      <c r="AJ3" s="39" t="e">
        <f>IF(Eingabe!#REF!="Regelung über RTB",0,X6)*OR(IF(Eingabe!#REF!="Regelung über RRB",0,X6))</f>
        <v>#REF!</v>
      </c>
      <c r="AK3" s="39" t="e">
        <f>IF(Eingabe!#REF!="Regelung über RTB",0,Y6)*OR(IF(Eingabe!#REF!="Regelung über RRB",0,Y6))</f>
        <v>#REF!</v>
      </c>
      <c r="AL3" s="39" t="e">
        <f>IF(Eingabe!#REF!="Regelung über RTB",0,Z6)*OR(IF(Eingabe!#REF!="Regelung über RRB",0,Z6))</f>
        <v>#REF!</v>
      </c>
      <c r="AM3" s="39" t="e">
        <f>IF(Eingabe!#REF!="Regelung über RTB",0,AA6)*OR(IF(Eingabe!#REF!="Regelung über RRB",0,AA6))</f>
        <v>#REF!</v>
      </c>
      <c r="AN3" s="39" t="e">
        <f>IF(Eingabe!#REF!="Regelung über RTB",0,AB6)*OR(IF(Eingabe!#REF!="Regelung über RRB",0,AB6))</f>
        <v>#REF!</v>
      </c>
      <c r="AO3" s="39" t="e">
        <f>IF(Eingabe!#REF!="Regelung über RTB",0,AC6)*OR(IF(Eingabe!#REF!="Regelung über RRB",0,AC6))</f>
        <v>#REF!</v>
      </c>
      <c r="AP3" s="39" t="e">
        <f>IF(Eingabe!#REF!="Regelung über RTB",0,AD6)*OR(IF(Eingabe!#REF!="Regelung über RRB",0,AD6))</f>
        <v>#REF!</v>
      </c>
      <c r="AQ3" s="39" t="e">
        <f>IF(Eingabe!#REF!="Regelung über RTB",0,AE6)*OR(IF(Eingabe!#REF!="Regelung über RRB",0,AE6))</f>
        <v>#REF!</v>
      </c>
      <c r="AR3" s="39" t="e">
        <f>IF(Eingabe!#REF!="Regelung über RTB",0,AF6)*OR(IF(Eingabe!#REF!="Regelung über RTBR",0,AF6))</f>
        <v>#REF!</v>
      </c>
      <c r="AS3" s="39" t="e">
        <f>IF(Eingabe!#REF!="Regelung über RTB",0,AG6)*OR(IF(Eingabe!#REF!="Regelung über RTBR",0,AG6))</f>
        <v>#REF!</v>
      </c>
      <c r="AT3" s="39" t="e">
        <f>IF(Eingabe!#REF!="Regelung über RTB",0,AH6)*OR(IF(Eingabe!#REF!="Regelung über RTBR",0,AH6))</f>
        <v>#REF!</v>
      </c>
    </row>
    <row r="4" spans="1:46" ht="12.75" hidden="1">
      <c r="A4" s="58" t="s">
        <v>6</v>
      </c>
      <c r="B4" s="59" t="e">
        <f>IF(Eingabe!#REF!="Schlüter®-BEKOTEC-Noppenplatte aus druckstabiler Tiefzieh-Folie",1,0)</f>
        <v>#REF!</v>
      </c>
      <c r="C4" s="59" t="e">
        <f>Eingabe!#REF!</f>
        <v>#REF!</v>
      </c>
      <c r="D4" s="59" t="e">
        <f>Eingabe!#REF!</f>
        <v>#REF!</v>
      </c>
      <c r="E4" s="59"/>
      <c r="F4" s="59"/>
      <c r="G4" s="59" t="e">
        <f>Eingabe!#REF!</f>
        <v>#REF!</v>
      </c>
      <c r="H4" s="59" t="e">
        <f>C4</f>
        <v>#REF!</v>
      </c>
      <c r="I4" s="60" t="e">
        <f>Eingabe!#REF!</f>
        <v>#REF!</v>
      </c>
      <c r="J4" s="59" t="e">
        <f>IF(I4=1,1)</f>
        <v>#REF!</v>
      </c>
      <c r="K4" s="59" t="e">
        <f>IF(I4=2,1)</f>
        <v>#REF!</v>
      </c>
      <c r="L4" s="59" t="e">
        <f>IF(I4=3,1)</f>
        <v>#REF!</v>
      </c>
      <c r="M4" s="59" t="e">
        <f>IF(I4=4,1)</f>
        <v>#REF!</v>
      </c>
      <c r="N4" s="59" t="e">
        <f>IF(I4=5,1)</f>
        <v>#REF!</v>
      </c>
      <c r="O4" s="59" t="e">
        <f>IF(I4=6,1)</f>
        <v>#REF!</v>
      </c>
      <c r="P4" s="59" t="e">
        <f>IF(I4=7,1)</f>
        <v>#REF!</v>
      </c>
      <c r="Q4" s="59" t="e">
        <f>IF(I4=8,1)</f>
        <v>#REF!</v>
      </c>
      <c r="R4" s="59" t="e">
        <f>IF(I4=9,1)</f>
        <v>#REF!</v>
      </c>
      <c r="S4" s="59" t="e">
        <f>IF(I4=10,1)</f>
        <v>#REF!</v>
      </c>
      <c r="T4" s="59" t="e">
        <f>IF(I4=11,1)</f>
        <v>#REF!</v>
      </c>
      <c r="U4" s="59" t="e">
        <f>IF(I4=12,1)</f>
        <v>#REF!</v>
      </c>
      <c r="V4" s="59"/>
      <c r="W4" s="68" t="e">
        <f>IF(Eingabe!#REF!="Schlüter®-BEKOTEC-Noppenplatte aus druckstabiler Tiefzieh-Folie",J4,0)</f>
        <v>#REF!</v>
      </c>
      <c r="X4" s="26" t="e">
        <f>IF(Eingabe!#REF!="Schlüter®-BEKOTEC-Noppenplatte aus druckstabiler Tiefzieh-Folie",K4,0)</f>
        <v>#REF!</v>
      </c>
      <c r="Y4" s="26" t="e">
        <f>IF(Eingabe!#REF!="Schlüter®-BEKOTEC-Noppenplatte aus druckstabiler Tiefzieh-Folie",L4,0)</f>
        <v>#REF!</v>
      </c>
      <c r="Z4" s="26" t="e">
        <f>IF(Eingabe!#REF!="Schlüter®-BEKOTEC-Noppenplatte aus druckstabiler Tiefzieh-Folie",M4,0)</f>
        <v>#REF!</v>
      </c>
      <c r="AA4" s="26" t="e">
        <f>IF(Eingabe!#REF!="Schlüter®-BEKOTEC-Noppenplatte aus druckstabiler Tiefzieh-Folie",N4,0)</f>
        <v>#REF!</v>
      </c>
      <c r="AB4" s="26" t="e">
        <f>IF(Eingabe!#REF!="Schlüter®-BEKOTEC-Noppenplatte aus druckstabiler Tiefzieh-Folie",O4,0)</f>
        <v>#REF!</v>
      </c>
      <c r="AC4" s="26" t="e">
        <f>IF(Eingabe!#REF!="Schlüter®-BEKOTEC-Noppenplatte aus druckstabiler Tiefzieh-Folie",P4,0)</f>
        <v>#REF!</v>
      </c>
      <c r="AD4" s="26" t="e">
        <f>IF(Eingabe!#REF!="Schlüter®-BEKOTEC-Noppenplatte aus druckstabiler Tiefzieh-Folie",Q4,0)</f>
        <v>#REF!</v>
      </c>
      <c r="AE4" s="26" t="e">
        <f>IF(Eingabe!#REF!="Schlüter®-BEKOTEC-Noppenplatte aus druckstabiler Tiefzieh-Folie",R4,0)</f>
        <v>#REF!</v>
      </c>
      <c r="AF4" s="26" t="e">
        <f>IF(Eingabe!#REF!="Schlüter®-BEKOTEC-Noppenplatte aus druckstabiler Tiefzieh-Folie",S4,0)</f>
        <v>#REF!</v>
      </c>
      <c r="AG4" s="26" t="e">
        <f>IF(Eingabe!#REF!="Schlüter®-BEKOTEC-Noppenplatte aus druckstabiler Tiefzieh-Folie",T4,0)</f>
        <v>#REF!</v>
      </c>
      <c r="AH4" s="69" t="e">
        <f>IF(Eingabe!#REF!="Schlüter®-BEKOTEC-Noppenplatte aus druckstabiler Tiefzieh-Folie",U4,0)</f>
        <v>#REF!</v>
      </c>
      <c r="AI4" s="39" t="e">
        <f>IF(Eingabe!#REF!="Regelung über RTB",0,W6)*(IF(Eingabe!#REF!="Regelung über RRB",0,W6))</f>
        <v>#REF!</v>
      </c>
      <c r="AJ4" s="39" t="e">
        <f>IF(Eingabe!#REF!="Regelung über RTB",0,X6)*(IF(Eingabe!#REF!="Regelung über RRB,",0,X6))</f>
        <v>#REF!</v>
      </c>
      <c r="AK4" s="39" t="e">
        <f>IF(Eingabe!#REF!="Regelung über RTB",0,Y6)*(IF(Eingabe!#REF!="Regelung über RRB",0,Y6))</f>
        <v>#REF!</v>
      </c>
      <c r="AL4" s="39" t="e">
        <f>IF(Eingabe!#REF!="Regelung über RTB",0,Z6)*(IF(Eingabe!#REF!="Regelung über RRB",0,Z6))</f>
        <v>#REF!</v>
      </c>
      <c r="AM4" s="39" t="e">
        <f>IF(Eingabe!#REF!="Regelung über RTB",0,AA6)*(IF(Eingabe!#REF!="Regelung über RRB",0,AA6))</f>
        <v>#REF!</v>
      </c>
      <c r="AN4" s="39" t="e">
        <f>IF(Eingabe!#REF!="Regelung über RTB",0,AB6)*(IF(Eingabe!#REF!="Regelung über RRB",0,AB6))</f>
        <v>#REF!</v>
      </c>
      <c r="AO4" s="39" t="e">
        <f>IF(Eingabe!#REF!="Regelung über RTB",0,AC6)*(IF(Eingabe!#REF!="Regelung über RRB",0,AC6))</f>
        <v>#REF!</v>
      </c>
      <c r="AP4" s="39" t="e">
        <f>IF(Eingabe!#REF!="Regelung über RTB",0,AD6)*(IF(Eingabe!#REF!="Regelung über RRB",0,AD6))</f>
        <v>#REF!</v>
      </c>
      <c r="AQ4" s="39" t="e">
        <f>IF(Eingabe!#REF!="Regelung über RTB",0,AE6)*(IF(Eingabe!#REF!="Regelung über RRB",0,AE6))</f>
        <v>#REF!</v>
      </c>
      <c r="AR4" s="39" t="e">
        <f>IF(Eingabe!#REF!="Regelung über RTB",0,AF6)*(IF(Eingabe!#REF!="Regelung über RTBR",0,AF6))</f>
        <v>#REF!</v>
      </c>
      <c r="AS4" s="39" t="e">
        <f>IF(Eingabe!#REF!="Regelung über RTB",0,AG6)*(IF(Eingabe!#REF!="Regelung über RTBR",0,AG6))</f>
        <v>#REF!</v>
      </c>
      <c r="AT4" s="39" t="e">
        <f>IF(Eingabe!#REF!="Regelung über RTB",0,AH6)*(IF(Eingabe!#REF!="Regelung über RTBR",0,AH6))</f>
        <v>#REF!</v>
      </c>
    </row>
    <row r="5" spans="1:46" ht="12.75" hidden="1">
      <c r="A5" s="58" t="s">
        <v>7</v>
      </c>
      <c r="B5" s="59" t="e">
        <f>IF(Eingabe!#REF!="Schlüter®-BEKOTEC-Noppenplatte aus druckstabiler Tiefzieh-Folie",1,0)</f>
        <v>#REF!</v>
      </c>
      <c r="C5" s="59" t="e">
        <f>Eingabe!#REF!</f>
        <v>#REF!</v>
      </c>
      <c r="D5" s="59" t="e">
        <f>Eingabe!#REF!</f>
        <v>#REF!</v>
      </c>
      <c r="E5" s="59"/>
      <c r="F5" s="59"/>
      <c r="G5" s="59" t="e">
        <f>Eingabe!#REF!</f>
        <v>#REF!</v>
      </c>
      <c r="H5" s="59" t="e">
        <f>C5</f>
        <v>#REF!</v>
      </c>
      <c r="I5" s="59" t="e">
        <f>Eingabe!#REF!</f>
        <v>#REF!</v>
      </c>
      <c r="J5" s="59" t="e">
        <f>IF(I5=1,1)</f>
        <v>#REF!</v>
      </c>
      <c r="K5" s="59" t="e">
        <f>IF(I5=2,1)</f>
        <v>#REF!</v>
      </c>
      <c r="L5" s="59" t="e">
        <f>IF(I5=3,1)</f>
        <v>#REF!</v>
      </c>
      <c r="M5" s="59" t="e">
        <f>IF(I5=4,1)</f>
        <v>#REF!</v>
      </c>
      <c r="N5" s="59" t="e">
        <f>IF(I5=5,1)</f>
        <v>#REF!</v>
      </c>
      <c r="O5" s="59" t="e">
        <f>IF(I5=6,1)</f>
        <v>#REF!</v>
      </c>
      <c r="P5" s="59" t="e">
        <f>IF(I5=7,1)</f>
        <v>#REF!</v>
      </c>
      <c r="Q5" s="59" t="e">
        <f>IF(I5=8,1)</f>
        <v>#REF!</v>
      </c>
      <c r="R5" s="59" t="e">
        <f>IF(I5=9,1)</f>
        <v>#REF!</v>
      </c>
      <c r="S5" s="59" t="e">
        <f>IF(I5=10,1)</f>
        <v>#REF!</v>
      </c>
      <c r="T5" s="59" t="e">
        <f>IF(I5=11,1)</f>
        <v>#REF!</v>
      </c>
      <c r="U5" s="59" t="e">
        <f>IF(I5=12,1)</f>
        <v>#REF!</v>
      </c>
      <c r="V5" s="59"/>
      <c r="W5" s="68" t="e">
        <f>IF(Eingabe!#REF!="Schlüter®-BEKOTEC-Noppenplatte aus druckstabiler Tiefzieh-Folie",J5,0)</f>
        <v>#REF!</v>
      </c>
      <c r="X5" s="26" t="e">
        <f>IF(Eingabe!#REF!="Schlüter®-BEKOTEC-Noppenplatte aus druckstabiler Tiefzieh-Folie",K5,0)</f>
        <v>#REF!</v>
      </c>
      <c r="Y5" s="26" t="e">
        <f>IF(Eingabe!#REF!="Schlüter®-BEKOTEC-Noppenplatte aus druckstabiler Tiefzieh-Folie",L5,0)</f>
        <v>#REF!</v>
      </c>
      <c r="Z5" s="26" t="e">
        <f>IF(Eingabe!#REF!="Schlüter®-BEKOTEC-Noppenplatte aus druckstabiler Tiefzieh-Folie",M5,0)</f>
        <v>#REF!</v>
      </c>
      <c r="AA5" s="26" t="e">
        <f>IF(Eingabe!#REF!="Schlüter®-BEKOTEC-Noppenplatte aus druckstabiler Tiefzieh-Folie",N5,0)</f>
        <v>#REF!</v>
      </c>
      <c r="AB5" s="26" t="e">
        <f>IF(Eingabe!#REF!="Schlüter®-BEKOTEC-Noppenplatte aus druckstabiler Tiefzieh-Folie",O5,0)</f>
        <v>#REF!</v>
      </c>
      <c r="AC5" s="26" t="e">
        <f>IF(Eingabe!#REF!="Schlüter®-BEKOTEC-Noppenplatte aus druckstabiler Tiefzieh-Folie",P5,0)</f>
        <v>#REF!</v>
      </c>
      <c r="AD5" s="26" t="e">
        <f>IF(Eingabe!#REF!="Schlüter®-BEKOTEC-Noppenplatte aus druckstabiler Tiefzieh-Folie",Q5,0)</f>
        <v>#REF!</v>
      </c>
      <c r="AE5" s="26" t="e">
        <f>IF(Eingabe!#REF!="Schlüter®-BEKOTEC-Noppenplatte aus druckstabiler Tiefzieh-Folie",R5,0)</f>
        <v>#REF!</v>
      </c>
      <c r="AF5" s="26" t="e">
        <f>IF(Eingabe!#REF!="Schlüter®-BEKOTEC-Noppenplatte aus druckstabiler Tiefzieh-Folie",S5,0)</f>
        <v>#REF!</v>
      </c>
      <c r="AG5" s="26" t="e">
        <f>IF(Eingabe!#REF!="Schlüter®-BEKOTEC-Noppenplatte aus druckstabiler Tiefzieh-Folie",T5,0)</f>
        <v>#REF!</v>
      </c>
      <c r="AH5" s="69" t="e">
        <f>IF(Eingabe!#REF!="Schlüter®-BEKOTEC-Noppenplatte aus druckstabiler Tiefzieh-Folie",U5,0)</f>
        <v>#REF!</v>
      </c>
      <c r="AI5" s="39" t="e">
        <f>IF(Eingabe!#REF!="Regelung über RTB",0,W6)*(IF(Eingabe!#REF!="Regelung über RRB",0,W6))</f>
        <v>#REF!</v>
      </c>
      <c r="AJ5" s="39" t="e">
        <f>IF(Eingabe!#REF!="Regelung über RTB",0,X6)*(IF(Eingabe!#REF!="Regelung über RRB",0,X6))</f>
        <v>#REF!</v>
      </c>
      <c r="AK5" s="39" t="e">
        <f>IF(Eingabe!#REF!="Regelung über RTB",0,Y6)*(IF(Eingabe!#REF!="Regelung über RRB",0,Y6))</f>
        <v>#REF!</v>
      </c>
      <c r="AL5" s="39" t="e">
        <f>IF(Eingabe!#REF!="Regelung über RTB",0,Z6)*(IF(Eingabe!#REF!="Regelung über RRB",0,Z6))</f>
        <v>#REF!</v>
      </c>
      <c r="AM5" s="39" t="e">
        <f>IF(Eingabe!#REF!="Regelung über RTB",0,AA6)*(IF(Eingabe!#REF!="Regelung über RRB",0,AA6))</f>
        <v>#REF!</v>
      </c>
      <c r="AN5" s="39" t="e">
        <f>IF(Eingabe!#REF!="Regelung über RTB",0,AB6)*(IF(Eingabe!#REF!="Regelung über RRB",0,AB6))</f>
        <v>#REF!</v>
      </c>
      <c r="AO5" s="39" t="e">
        <f>IF(Eingabe!#REF!="Regelung über RTB",0,AC6)*(IF(Eingabe!#REF!="Regelung über RRB",0,AC6))</f>
        <v>#REF!</v>
      </c>
      <c r="AP5" s="39" t="e">
        <f>IF(Eingabe!#REF!="Regelung über RTB",0,AD6)*(IF(Eingabe!#REF!="Regelung über RRB",0,AD6))</f>
        <v>#REF!</v>
      </c>
      <c r="AQ5" s="39" t="e">
        <f>IF(Eingabe!#REF!="Regelung über RTB",0,AE6)*(IF(Eingabe!#REF!="Regelung über RRB",0,AE6))</f>
        <v>#REF!</v>
      </c>
      <c r="AR5" s="39" t="e">
        <f>IF(Eingabe!#REF!="Regelung über RTB",0,AF6)*(IF(Eingabe!#REF!="Regelung über RTBR",0,AF6))</f>
        <v>#REF!</v>
      </c>
      <c r="AS5" s="39" t="e">
        <f>IF(Eingabe!#REF!="Regelung über RTB",0,AG6)*(IF(Eingabe!#REF!="Regelung über RTBR",0,AG6))</f>
        <v>#REF!</v>
      </c>
      <c r="AT5" s="39" t="e">
        <f>IF(Eingabe!#REF!="Regelung über RTB",0,AH6)*(IF(Eingabe!#REF!="Regelung über RTBR",0,AH6))</f>
        <v>#REF!</v>
      </c>
    </row>
    <row r="6" spans="1:46" ht="12.75" hidden="1">
      <c r="A6" s="58" t="s">
        <v>2</v>
      </c>
      <c r="B6" s="59" t="e">
        <f>V6</f>
        <v>#REF!</v>
      </c>
      <c r="C6" s="59" t="e">
        <f>SUM(C3:C5)</f>
        <v>#REF!</v>
      </c>
      <c r="D6" s="59" t="e">
        <f aca="true" t="shared" si="0" ref="D6:I6">SUM(D3:D5)</f>
        <v>#REF!</v>
      </c>
      <c r="E6" s="59">
        <f t="shared" si="0"/>
        <v>0</v>
      </c>
      <c r="F6" s="59">
        <f t="shared" si="0"/>
        <v>0</v>
      </c>
      <c r="G6" s="59" t="e">
        <f t="shared" si="0"/>
        <v>#REF!</v>
      </c>
      <c r="H6" s="59" t="e">
        <f>ROUNDUP(SUM(H3:H5),0)</f>
        <v>#REF!</v>
      </c>
      <c r="I6" s="61" t="e">
        <f t="shared" si="0"/>
        <v>#REF!</v>
      </c>
      <c r="J6" s="59" t="e">
        <f aca="true" t="shared" si="1" ref="J6:U6">J3+J4+J5</f>
        <v>#REF!</v>
      </c>
      <c r="K6" s="59" t="e">
        <f t="shared" si="1"/>
        <v>#REF!</v>
      </c>
      <c r="L6" s="59" t="e">
        <f t="shared" si="1"/>
        <v>#REF!</v>
      </c>
      <c r="M6" s="59" t="e">
        <f t="shared" si="1"/>
        <v>#REF!</v>
      </c>
      <c r="N6" s="59" t="e">
        <f t="shared" si="1"/>
        <v>#REF!</v>
      </c>
      <c r="O6" s="59" t="e">
        <f t="shared" si="1"/>
        <v>#REF!</v>
      </c>
      <c r="P6" s="59" t="e">
        <f t="shared" si="1"/>
        <v>#REF!</v>
      </c>
      <c r="Q6" s="59" t="e">
        <f t="shared" si="1"/>
        <v>#REF!</v>
      </c>
      <c r="R6" s="59" t="e">
        <f t="shared" si="1"/>
        <v>#REF!</v>
      </c>
      <c r="S6" s="59" t="e">
        <f t="shared" si="1"/>
        <v>#REF!</v>
      </c>
      <c r="T6" s="59" t="e">
        <f t="shared" si="1"/>
        <v>#REF!</v>
      </c>
      <c r="U6" s="59" t="e">
        <f t="shared" si="1"/>
        <v>#REF!</v>
      </c>
      <c r="V6" s="59" t="e">
        <f>SUM(J6:U6)</f>
        <v>#REF!</v>
      </c>
      <c r="W6" s="70" t="e">
        <f>SUM(W3:W5)</f>
        <v>#REF!</v>
      </c>
      <c r="X6" s="71" t="e">
        <f aca="true" t="shared" si="2" ref="X6:AT6">SUM(X3:X5)</f>
        <v>#REF!</v>
      </c>
      <c r="Y6" s="71" t="e">
        <f t="shared" si="2"/>
        <v>#REF!</v>
      </c>
      <c r="Z6" s="71" t="e">
        <f t="shared" si="2"/>
        <v>#REF!</v>
      </c>
      <c r="AA6" s="71" t="e">
        <f t="shared" si="2"/>
        <v>#REF!</v>
      </c>
      <c r="AB6" s="71" t="e">
        <f t="shared" si="2"/>
        <v>#REF!</v>
      </c>
      <c r="AC6" s="71" t="e">
        <f t="shared" si="2"/>
        <v>#REF!</v>
      </c>
      <c r="AD6" s="71" t="e">
        <f t="shared" si="2"/>
        <v>#REF!</v>
      </c>
      <c r="AE6" s="71" t="e">
        <f t="shared" si="2"/>
        <v>#REF!</v>
      </c>
      <c r="AF6" s="71" t="e">
        <f t="shared" si="2"/>
        <v>#REF!</v>
      </c>
      <c r="AG6" s="71" t="e">
        <f t="shared" si="2"/>
        <v>#REF!</v>
      </c>
      <c r="AH6" s="72" t="e">
        <f t="shared" si="2"/>
        <v>#REF!</v>
      </c>
      <c r="AI6" s="83" t="e">
        <f t="shared" si="2"/>
        <v>#REF!</v>
      </c>
      <c r="AJ6" s="83" t="e">
        <f t="shared" si="2"/>
        <v>#REF!</v>
      </c>
      <c r="AK6" s="83" t="e">
        <f t="shared" si="2"/>
        <v>#REF!</v>
      </c>
      <c r="AL6" s="83" t="e">
        <f t="shared" si="2"/>
        <v>#REF!</v>
      </c>
      <c r="AM6" s="83" t="e">
        <f t="shared" si="2"/>
        <v>#REF!</v>
      </c>
      <c r="AN6" s="83" t="e">
        <f t="shared" si="2"/>
        <v>#REF!</v>
      </c>
      <c r="AO6" s="83" t="e">
        <f t="shared" si="2"/>
        <v>#REF!</v>
      </c>
      <c r="AP6" s="83" t="e">
        <f t="shared" si="2"/>
        <v>#REF!</v>
      </c>
      <c r="AQ6" s="83" t="e">
        <f t="shared" si="2"/>
        <v>#REF!</v>
      </c>
      <c r="AR6" s="83" t="e">
        <f t="shared" si="2"/>
        <v>#REF!</v>
      </c>
      <c r="AS6" s="83" t="e">
        <f t="shared" si="2"/>
        <v>#REF!</v>
      </c>
      <c r="AT6" s="83" t="e">
        <f t="shared" si="2"/>
        <v>#REF!</v>
      </c>
    </row>
    <row r="7" spans="1:35" ht="12.75" hidden="1" thickBo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37" t="s">
        <v>92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I7" t="s">
        <v>96</v>
      </c>
    </row>
    <row r="8" spans="23:46" ht="13.5" hidden="1" thickBot="1" thickTop="1">
      <c r="W8" s="73" t="e">
        <f>IF(Eingabe!#REF!="Schlüter®-BEKOTEC-Noppenplatte ohne Folie",J3,0)</f>
        <v>#REF!</v>
      </c>
      <c r="X8" s="31" t="e">
        <f>IF(Eingabe!#REF!="Schlüter®-BEKOTEC-Noppenplatte ohne Folie",K3,0)</f>
        <v>#REF!</v>
      </c>
      <c r="Y8" s="31" t="e">
        <f>IF(Eingabe!#REF!="Schlüter®-BEKOTEC-Noppenplatte ohne Folie",L3,0)</f>
        <v>#REF!</v>
      </c>
      <c r="Z8" s="31" t="e">
        <f>IF(Eingabe!#REF!="Schlüter®-BEKOTEC-Noppenplatte ohne Folie",M3,0)</f>
        <v>#REF!</v>
      </c>
      <c r="AA8" s="31" t="e">
        <f>IF(Eingabe!#REF!="Schlüter®-BEKOTEC-Noppenplatte ohne Folie",N3,0)</f>
        <v>#REF!</v>
      </c>
      <c r="AB8" s="31" t="e">
        <f>IF(Eingabe!#REF!="Schlüter®-BEKOTEC-Noppenplatte ohne Folie",O3,0)</f>
        <v>#REF!</v>
      </c>
      <c r="AC8" s="31" t="e">
        <f>IF(Eingabe!#REF!="Schlüter®-BEKOTEC-Noppenplatte ohne Folie",P3,0)</f>
        <v>#REF!</v>
      </c>
      <c r="AD8" s="31" t="e">
        <f>IF(Eingabe!#REF!="Schlüter®-BEKOTEC-Noppenplatte ohne Folie",Q3,0)</f>
        <v>#REF!</v>
      </c>
      <c r="AE8" s="31" t="e">
        <f>IF(Eingabe!#REF!="Schlüter®-BEKOTEC-Noppenplatte ohne Folie",R3,0)</f>
        <v>#REF!</v>
      </c>
      <c r="AF8" s="31" t="e">
        <f>IF(Eingabe!#REF!="Schlüter®-BEKOTEC-Noppenplatte ohne Folie",S3,0)</f>
        <v>#REF!</v>
      </c>
      <c r="AG8" s="31" t="e">
        <f>IF(Eingabe!#REF!="Schlüter®-BEKOTEC-Noppenplatte ohne Folie",T3,0)</f>
        <v>#REF!</v>
      </c>
      <c r="AH8" s="74" t="e">
        <f>IF(Eingabe!#REF!="Schlüter®-BEKOTEC-Noppenplatte ohne Folie",U3,0)</f>
        <v>#REF!</v>
      </c>
      <c r="AI8" s="39" t="e">
        <f>IF(Eingabe!#REF!="Regelung über RTB",0,W11)*OR(IF(Eingabe!#REF!="Regelung über RRB",0,W11))</f>
        <v>#REF!</v>
      </c>
      <c r="AJ8" s="39" t="e">
        <f>IF(Eingabe!#REF!="Regelung über RTB",0,X11)*OR(IF(Eingabe!#REF!="Regelung über RRB",0,X11))</f>
        <v>#REF!</v>
      </c>
      <c r="AK8" s="39" t="e">
        <f>IF(Eingabe!#REF!="Regelung über RTB",0,Y11)*OR(IF(Eingabe!#REF!="Regelung über RRB",0,Y11))</f>
        <v>#REF!</v>
      </c>
      <c r="AL8" s="39" t="e">
        <f>IF(Eingabe!#REF!="Regelung über RTB",0,Z11)*OR(IF(Eingabe!#REF!="Regelung über RRB",0,Z11))</f>
        <v>#REF!</v>
      </c>
      <c r="AM8" s="39" t="e">
        <f>IF(Eingabe!#REF!="Regelung über RTB",0,AA11)*OR(IF(Eingabe!#REF!="Regelung über RRB",0,AA11))</f>
        <v>#REF!</v>
      </c>
      <c r="AN8" s="39" t="e">
        <f>IF(Eingabe!#REF!="Regelung über RTB",0,AB11)*OR(IF(Eingabe!#REF!="Regelung über RRB",0,AB11))</f>
        <v>#REF!</v>
      </c>
      <c r="AO8" s="39" t="e">
        <f>IF(Eingabe!#REF!="Regelung über RTB",0,AC11)*OR(IF(Eingabe!#REF!="Regelung über RRB",0,AC11))</f>
        <v>#REF!</v>
      </c>
      <c r="AP8" s="39" t="e">
        <f>IF(Eingabe!#REF!="Regelung über RTB",0,AD11)*OR(IF(Eingabe!#REF!="Regelung über RRB",0,AD11))</f>
        <v>#REF!</v>
      </c>
      <c r="AQ8" s="39" t="e">
        <f>IF(Eingabe!#REF!="Regelung über RTB",0,AE11)*OR(IF(Eingabe!#REF!="Regelung über RRB",0,AE11))</f>
        <v>#REF!</v>
      </c>
      <c r="AR8" s="39" t="e">
        <f>IF(Eingabe!#REF!="Regelung über RTB",0,AF11)*OR(IF(Eingabe!#REF!="Regelung über RTBR",0,AF11))</f>
        <v>#REF!</v>
      </c>
      <c r="AS8" s="39" t="e">
        <f>IF(Eingabe!#REF!="Regelung über RTB",0,AG11)*OR(IF(Eingabe!#REF!="Regelung über RTBR",0,AG11))</f>
        <v>#REF!</v>
      </c>
      <c r="AT8" s="39" t="e">
        <f>IF(Eingabe!#REF!="Regelung über RTB",0,AH11)*OR(IF(Eingabe!#REF!="Regelung über RTBR",0,AH11))</f>
        <v>#REF!</v>
      </c>
    </row>
    <row r="9" spans="1:46" ht="13.5" hidden="1" thickBot="1" thickTop="1">
      <c r="A9" s="45" t="s">
        <v>38</v>
      </c>
      <c r="B9" s="46"/>
      <c r="C9" s="35" t="s">
        <v>37</v>
      </c>
      <c r="D9" s="43"/>
      <c r="E9" s="43"/>
      <c r="F9" s="36"/>
      <c r="G9" s="34"/>
      <c r="H9" s="35"/>
      <c r="I9" s="35"/>
      <c r="J9" s="43"/>
      <c r="K9" s="43"/>
      <c r="L9" s="35" t="s">
        <v>57</v>
      </c>
      <c r="M9" s="43"/>
      <c r="N9" s="43"/>
      <c r="O9" s="43"/>
      <c r="P9" s="43"/>
      <c r="Q9" s="36"/>
      <c r="W9" s="73" t="e">
        <f>IF(Eingabe!#REF!="Schlüter®-BEKOTEC-Noppenplatte ohne Folie",J4,0)</f>
        <v>#REF!</v>
      </c>
      <c r="X9" s="31" t="e">
        <f>IF(Eingabe!#REF!="Schlüter®-BEKOTEC-Noppenplatte ohne Folie",K4,0)</f>
        <v>#REF!</v>
      </c>
      <c r="Y9" s="31" t="e">
        <f>IF(Eingabe!#REF!="Schlüter®-BEKOTEC-Noppenplatte ohne Folie",L4,0)</f>
        <v>#REF!</v>
      </c>
      <c r="Z9" s="31" t="e">
        <f>IF(Eingabe!#REF!="Schlüter®-BEKOTEC-Noppenplatte ohne Folie",M4,0)</f>
        <v>#REF!</v>
      </c>
      <c r="AA9" s="31" t="e">
        <f>IF(Eingabe!#REF!="Schlüter®-BEKOTEC-Noppenplatte ohne Folie",N4,0)</f>
        <v>#REF!</v>
      </c>
      <c r="AB9" s="31" t="e">
        <f>IF(Eingabe!#REF!="Schlüter®-BEKOTEC-Noppenplatte ohne Folie",O4,0)</f>
        <v>#REF!</v>
      </c>
      <c r="AC9" s="31" t="e">
        <f>IF(Eingabe!#REF!="Schlüter®-BEKOTEC-Noppenplatte ohne Folie",P4,0)</f>
        <v>#REF!</v>
      </c>
      <c r="AD9" s="31" t="e">
        <f>IF(Eingabe!#REF!="Schlüter®-BEKOTEC-Noppenplatte ohne Folie",Q4,0)</f>
        <v>#REF!</v>
      </c>
      <c r="AE9" s="31" t="e">
        <f>IF(Eingabe!#REF!="Schlüter®-BEKOTEC-Noppenplatte ohne Folie",R4,0)</f>
        <v>#REF!</v>
      </c>
      <c r="AF9" s="31" t="e">
        <f>IF(Eingabe!#REF!="Schlüter®-BEKOTEC-Noppenplatte ohne Folie",S4,0)</f>
        <v>#REF!</v>
      </c>
      <c r="AG9" s="31" t="e">
        <f>IF(Eingabe!#REF!="Schlüter®-BEKOTEC-Noppenplatte ohne Folie",T4,0)</f>
        <v>#REF!</v>
      </c>
      <c r="AH9" s="74" t="e">
        <f>IF(Eingabe!#REF!="Schlüter®-BEKOTEC-Noppenplatte ohne Folie",U4,0)</f>
        <v>#REF!</v>
      </c>
      <c r="AI9" s="39" t="e">
        <f>IF(Eingabe!#REF!="Regelung über RTB",0,W11)*(IF(Eingabe!#REF!="Regelung über RRB",0,W11))</f>
        <v>#REF!</v>
      </c>
      <c r="AJ9" s="39" t="e">
        <f>IF(Eingabe!#REF!="Regelung über RTB",0,X11)*(IF(Eingabe!#REF!="Regelung über RRB",0,X11))</f>
        <v>#REF!</v>
      </c>
      <c r="AK9" s="39" t="e">
        <f>IF(Eingabe!#REF!="Regelung über RTB",0,Y11)*(IF(Eingabe!#REF!="Regelung über RRB",0,Y11))</f>
        <v>#REF!</v>
      </c>
      <c r="AL9" s="39" t="e">
        <f>IF(Eingabe!#REF!="Regelung über RTB",0,Z11)*(IF(Eingabe!#REF!="Regelung über RRB",0,Z11))</f>
        <v>#REF!</v>
      </c>
      <c r="AM9" s="39" t="e">
        <f>IF(Eingabe!#REF!="Regelung über RTB",0,AA11)*(IF(Eingabe!#REF!="Regelung über RRB",0,AA11))</f>
        <v>#REF!</v>
      </c>
      <c r="AN9" s="39" t="e">
        <f>IF(Eingabe!#REF!="Regelung über RTB",0,AB11)*(IF(Eingabe!#REF!="Regelung über RRB",0,AB11))</f>
        <v>#REF!</v>
      </c>
      <c r="AO9" s="39" t="e">
        <f>IF(Eingabe!#REF!="Regelung über RTB",0,AC11)*(IF(Eingabe!#REF!="Regelung über RRB",0,AC11))</f>
        <v>#REF!</v>
      </c>
      <c r="AP9" s="39" t="e">
        <f>IF(Eingabe!#REF!="Regelung über RTB",0,AD11)*(IF(Eingabe!#REF!="Regelung über RRB",0,AD11))</f>
        <v>#REF!</v>
      </c>
      <c r="AQ9" s="39" t="e">
        <f>IF(Eingabe!#REF!="Regelung über RTB",0,AE11)*(IF(Eingabe!#REF!="Regelung über RRB",0,AE11))</f>
        <v>#REF!</v>
      </c>
      <c r="AR9" s="39" t="e">
        <f>IF(Eingabe!#REF!="Regelung über RTB",0,AF11)*(IF(Eingabe!#REF!="Regelung über RTBR",0,AF11))</f>
        <v>#REF!</v>
      </c>
      <c r="AS9" s="39" t="e">
        <f>IF(Eingabe!#REF!="Regelung über RTB",0,AG11)*(IF(Eingabe!#REF!="Regelung über RTBR",0,AG11))</f>
        <v>#REF!</v>
      </c>
      <c r="AT9" s="39" t="e">
        <f>IF(Eingabe!#REF!="Regelung über RTB",0,AH11)*(IF(Eingabe!#REF!="Regelung über RTBR",0,AH11))</f>
        <v>#REF!</v>
      </c>
    </row>
    <row r="10" spans="1:46" ht="13.5" hidden="1" thickBot="1" thickTop="1">
      <c r="A10" s="37"/>
      <c r="B10" s="38"/>
      <c r="C10" s="38"/>
      <c r="D10" s="38"/>
      <c r="E10" s="38"/>
      <c r="F10" s="39"/>
      <c r="G10" s="37"/>
      <c r="H10" s="38"/>
      <c r="I10" s="38"/>
      <c r="J10" s="38"/>
      <c r="K10" s="38"/>
      <c r="L10" s="38"/>
      <c r="M10" s="38"/>
      <c r="N10" s="38"/>
      <c r="O10" s="38" t="s">
        <v>60</v>
      </c>
      <c r="P10" s="38" t="s">
        <v>61</v>
      </c>
      <c r="Q10" s="34"/>
      <c r="R10" s="36"/>
      <c r="S10" s="38"/>
      <c r="W10" s="73" t="e">
        <f>IF(Eingabe!#REF!="Schlüter®-BEKOTEC-Noppenplatte ohne Folie",J5,0)</f>
        <v>#REF!</v>
      </c>
      <c r="X10" s="31" t="e">
        <f>IF(Eingabe!#REF!="Schlüter®-BEKOTEC-Noppenplatte ohne Folie",K5,0)</f>
        <v>#REF!</v>
      </c>
      <c r="Y10" s="31" t="e">
        <f>IF(Eingabe!#REF!="Schlüter®-BEKOTEC-Noppenplatte ohne Folie",L5,0)</f>
        <v>#REF!</v>
      </c>
      <c r="Z10" s="31" t="e">
        <f>IF(Eingabe!#REF!="Schlüter®-BEKOTEC-Noppenplatte ohne Folie",M5,0)</f>
        <v>#REF!</v>
      </c>
      <c r="AA10" s="31" t="e">
        <f>IF(Eingabe!#REF!="Schlüter®-BEKOTEC-Noppenplatte ohne Folie",N5,0)</f>
        <v>#REF!</v>
      </c>
      <c r="AB10" s="31" t="e">
        <f>IF(Eingabe!#REF!="Schlüter®-BEKOTEC-Noppenplatte ohne Folie",O5,0)</f>
        <v>#REF!</v>
      </c>
      <c r="AC10" s="31" t="e">
        <f>IF(Eingabe!#REF!="Schlüter®-BEKOTEC-Noppenplatte ohne Folie",P5,0)</f>
        <v>#REF!</v>
      </c>
      <c r="AD10" s="31" t="e">
        <f>IF(Eingabe!#REF!="Schlüter®-BEKOTEC-Noppenplatte ohne Folie",Q5,0)</f>
        <v>#REF!</v>
      </c>
      <c r="AE10" s="31" t="e">
        <f>IF(Eingabe!#REF!="Schlüter®-BEKOTEC-Noppenplatte ohne Folie",R5,0)</f>
        <v>#REF!</v>
      </c>
      <c r="AF10" s="31" t="e">
        <f>IF(Eingabe!#REF!="Schlüter®-BEKOTEC-Noppenplatte ohne Folie",S5,0)</f>
        <v>#REF!</v>
      </c>
      <c r="AG10" s="31" t="e">
        <f>IF(Eingabe!#REF!="Schlüter®-BEKOTEC-Noppenplatte ohne Folie",T5,0)</f>
        <v>#REF!</v>
      </c>
      <c r="AH10" s="74" t="e">
        <f>IF(Eingabe!#REF!="Schlüter®-BEKOTEC-Noppenplatte ohne Folie",U5,0)</f>
        <v>#REF!</v>
      </c>
      <c r="AI10" s="39" t="e">
        <f>IF(Eingabe!#REF!="Regelung über RTB",0,W11)*(IF(Eingabe!#REF!="Regelung über RRB",0,W11))</f>
        <v>#REF!</v>
      </c>
      <c r="AJ10" s="39" t="e">
        <f>IF(Eingabe!#REF!="Regelung über RTB",0,X11)*(IF(Eingabe!#REF!="Regelung über RRB",0,X11))</f>
        <v>#REF!</v>
      </c>
      <c r="AK10" s="39" t="e">
        <f>IF(Eingabe!#REF!="Regelung über RTB",0,Y11)*(IF(Eingabe!#REF!="Regelung über RRB",0,Y11))</f>
        <v>#REF!</v>
      </c>
      <c r="AL10" s="39" t="e">
        <f>IF(Eingabe!#REF!="Regelung über RTB",0,Z11)*(IF(Eingabe!#REF!="Regelung über RRB",0,Z11))</f>
        <v>#REF!</v>
      </c>
      <c r="AM10" s="39" t="e">
        <f>IF(Eingabe!#REF!="Regelung über RTB",0,AA11)*(IF(Eingabe!#REF!="Regelung über RRB",0,AA11))</f>
        <v>#REF!</v>
      </c>
      <c r="AN10" s="39" t="e">
        <f>IF(Eingabe!#REF!="Regelung über RTB",0,AB11)*(IF(Eingabe!#REF!="Regelung über RRB",0,AB11))</f>
        <v>#REF!</v>
      </c>
      <c r="AO10" s="39" t="e">
        <f>IF(Eingabe!#REF!="Regelung über RTB",0,AC11)*(IF(Eingabe!#REF!="Regelung über RRB",0,AC11))</f>
        <v>#REF!</v>
      </c>
      <c r="AP10" s="39" t="e">
        <f>IF(Eingabe!#REF!="Regelung über RTB",0,AD11)*(IF(Eingabe!#REF!="Regelung über RRB",0,AD11))</f>
        <v>#REF!</v>
      </c>
      <c r="AQ10" s="39" t="e">
        <f>IF(Eingabe!#REF!="Regelung über RTB",0,AE11)*(IF(Eingabe!#REF!="Regelung über RRB",0,AE11))</f>
        <v>#REF!</v>
      </c>
      <c r="AR10" s="39" t="e">
        <f>IF(Eingabe!#REF!="Regelung über RTB",0,AF11)*(IF(Eingabe!#REF!="Regelung über RTBR",0,AF11))</f>
        <v>#REF!</v>
      </c>
      <c r="AS10" s="39" t="e">
        <f>IF(Eingabe!#REF!="Regelung über RTB",0,AG11)*(IF(Eingabe!#REF!="Regelung über RTBR",0,AG11))</f>
        <v>#REF!</v>
      </c>
      <c r="AT10" s="39" t="e">
        <f>IF(Eingabe!#REF!="Regelung über RTB",0,AH11)*(IF(Eingabe!#REF!="Regelung über RTBR",0,AH11))</f>
        <v>#REF!</v>
      </c>
    </row>
    <row r="11" spans="1:46" ht="13.5" hidden="1" thickTop="1">
      <c r="A11" s="47" t="s">
        <v>39</v>
      </c>
      <c r="B11" s="38" t="s">
        <v>40</v>
      </c>
      <c r="C11" s="48" t="e">
        <f>IF(Massen!#REF!=1,1,0)+IF(Massen!#REF!=2,2,0)+IF(Massen!#REF!=3,3,0)+IF(Massen!#REF!=4,4,0)+IF(Massen!#REF!=5,5,0)+IF(Massen!#REF!=6,6,0)+IF(Massen!#REF!=7,7,0)+IF(Massen!#REF!=8,8,0)+IF(Massen!#REF!=9,9,0)+IF(Massen!#REF!=10,10,0)</f>
        <v>#REF!</v>
      </c>
      <c r="D11" s="34"/>
      <c r="E11" s="62" t="s">
        <v>53</v>
      </c>
      <c r="F11" s="36"/>
      <c r="G11" s="37"/>
      <c r="H11" s="38"/>
      <c r="I11" s="9"/>
      <c r="J11" s="38"/>
      <c r="K11" s="38"/>
      <c r="L11" s="38" t="s">
        <v>58</v>
      </c>
      <c r="M11" s="51" t="e">
        <f>W18+W19+W20</f>
        <v>#REF!</v>
      </c>
      <c r="N11" s="38"/>
      <c r="O11" s="38" t="e">
        <f>IF(M11=1,1,0)+IF(M11=2,2,0)+IF(M11=3,3,0)+IF(M11=4,4,0)+IF(M11=5,5,0)+IF(M11=6,6,0)+IF(M11=7,7,0)+IF(M11=8,8,0)+IF(M11=9,9,0)+IF(M11=10,10,0)</f>
        <v>#REF!</v>
      </c>
      <c r="P11" s="38" t="e">
        <f>IF(M11=1,1,0)+IF(M11=2,2,0)+IF(M11=3,3,0)+IF(M11=4,4,0)+IF(M11=5,5,0)+IF(M11=6,6,0)+IF(M11=7,7,0)+IF(M11=8,8,0)+IF(M11=9,9,0)+IF(M11=10,10,0)</f>
        <v>#REF!</v>
      </c>
      <c r="Q11" s="37"/>
      <c r="R11" s="39"/>
      <c r="W11" s="75" t="e">
        <f aca="true" t="shared" si="3" ref="W11:AT11">SUM(W8:W10)</f>
        <v>#REF!</v>
      </c>
      <c r="X11" s="57" t="e">
        <f t="shared" si="3"/>
        <v>#REF!</v>
      </c>
      <c r="Y11" s="57" t="e">
        <f t="shared" si="3"/>
        <v>#REF!</v>
      </c>
      <c r="Z11" s="57" t="e">
        <f t="shared" si="3"/>
        <v>#REF!</v>
      </c>
      <c r="AA11" s="57" t="e">
        <f t="shared" si="3"/>
        <v>#REF!</v>
      </c>
      <c r="AB11" s="57" t="e">
        <f t="shared" si="3"/>
        <v>#REF!</v>
      </c>
      <c r="AC11" s="57" t="e">
        <f t="shared" si="3"/>
        <v>#REF!</v>
      </c>
      <c r="AD11" s="57" t="e">
        <f t="shared" si="3"/>
        <v>#REF!</v>
      </c>
      <c r="AE11" s="57" t="e">
        <f t="shared" si="3"/>
        <v>#REF!</v>
      </c>
      <c r="AF11" s="57" t="e">
        <f t="shared" si="3"/>
        <v>#REF!</v>
      </c>
      <c r="AG11" s="57" t="e">
        <f t="shared" si="3"/>
        <v>#REF!</v>
      </c>
      <c r="AH11" s="76" t="e">
        <f t="shared" si="3"/>
        <v>#REF!</v>
      </c>
      <c r="AI11" s="84" t="e">
        <f t="shared" si="3"/>
        <v>#REF!</v>
      </c>
      <c r="AJ11" s="84" t="e">
        <f t="shared" si="3"/>
        <v>#REF!</v>
      </c>
      <c r="AK11" s="84" t="e">
        <f t="shared" si="3"/>
        <v>#REF!</v>
      </c>
      <c r="AL11" s="84" t="e">
        <f t="shared" si="3"/>
        <v>#REF!</v>
      </c>
      <c r="AM11" s="84" t="e">
        <f t="shared" si="3"/>
        <v>#REF!</v>
      </c>
      <c r="AN11" s="84" t="e">
        <f t="shared" si="3"/>
        <v>#REF!</v>
      </c>
      <c r="AO11" s="84" t="e">
        <f t="shared" si="3"/>
        <v>#REF!</v>
      </c>
      <c r="AP11" s="84" t="e">
        <f t="shared" si="3"/>
        <v>#REF!</v>
      </c>
      <c r="AQ11" s="84" t="e">
        <f t="shared" si="3"/>
        <v>#REF!</v>
      </c>
      <c r="AR11" s="84" t="e">
        <f t="shared" si="3"/>
        <v>#REF!</v>
      </c>
      <c r="AS11" s="84" t="e">
        <f t="shared" si="3"/>
        <v>#REF!</v>
      </c>
      <c r="AT11" s="84" t="e">
        <f t="shared" si="3"/>
        <v>#REF!</v>
      </c>
    </row>
    <row r="12" spans="1:46" ht="12.75" hidden="1">
      <c r="A12" s="37"/>
      <c r="B12" s="38" t="s">
        <v>41</v>
      </c>
      <c r="C12" s="48" t="e">
        <f>IF(Massen!#REF!=1,2,0)+IF(Massen!#REF!=2,3,0)+IF(Massen!#REF!=3,5,0)+IF(Massen!#REF!=4,6,0)+IF(Massen!#REF!=5,8,0)+IF(Massen!#REF!=6,9,0)+IF(Massen!#REF!=7,11,0)+IF(Massen!#REF!=8,12,0)+IF(Massen!#REF!=9,14,0)+IF(Massen!#REF!=10,15,0)</f>
        <v>#REF!</v>
      </c>
      <c r="D12" s="37"/>
      <c r="E12" s="38"/>
      <c r="F12" s="39"/>
      <c r="G12" s="37"/>
      <c r="H12" s="38"/>
      <c r="I12" s="9"/>
      <c r="J12" s="38"/>
      <c r="K12" s="38"/>
      <c r="L12" s="38" t="s">
        <v>59</v>
      </c>
      <c r="M12" s="51" t="e">
        <f>X18+X19+X20</f>
        <v>#REF!</v>
      </c>
      <c r="N12" s="38"/>
      <c r="O12" s="38" t="e">
        <f>IF(M12=1,1,0)+IF(M12=2,2,0)+IF(M12=3,3,0)+IF(M12=4,4,0)+IF(M12=5,5,0)+IF(M12=6,6,0)+IF(M12=7,7,0)+IF(M12=8,8,0)+IF(M12=9,9,0)+IF(M12=10,10,0)</f>
        <v>#REF!</v>
      </c>
      <c r="P12" s="38" t="e">
        <f>IF(M12=1,1,0)+IF(M12=2,2,0)+IF(M12=3,3,0)+IF(M12=4,4,0)+IF(M12=5,5,0)+IF(M12=6,6,0)+IF(M12=7,7,0)+IF(M12=8,8,0)+IF(M12=9,9,0)+IF(M12=10,10,0)</f>
        <v>#REF!</v>
      </c>
      <c r="Q12" s="37"/>
      <c r="R12" s="39"/>
      <c r="W12" s="73" t="e">
        <f>IF(Eingabe!#REF!="Schlüter®-BEKOTEC-Noppenplatte mit Folie",J3,0)</f>
        <v>#REF!</v>
      </c>
      <c r="X12" s="31" t="e">
        <f>IF(Eingabe!#REF!="Schlüter®-BEKOTEC-Noppenplatte mit Folie",K3,0)</f>
        <v>#REF!</v>
      </c>
      <c r="Y12" s="31" t="e">
        <f>IF(Eingabe!#REF!="Schlüter®-BEKOTEC-Noppenplatte mit Folie",L3,0)</f>
        <v>#REF!</v>
      </c>
      <c r="Z12" s="31" t="e">
        <f>IF(Eingabe!#REF!="Schlüter®-BEKOTEC-Noppenplatte mit Folie",M3,0)</f>
        <v>#REF!</v>
      </c>
      <c r="AA12" s="31" t="e">
        <f>IF(Eingabe!#REF!="Schlüter®-BEKOTEC-Noppenplatte mit Folie",N3,0)</f>
        <v>#REF!</v>
      </c>
      <c r="AB12" s="31" t="e">
        <f>IF(Eingabe!#REF!="Schlüter®-BEKOTEC-Noppenplatte mit Folie",O3,0)</f>
        <v>#REF!</v>
      </c>
      <c r="AC12" s="31" t="e">
        <f>IF(Eingabe!#REF!="Schlüter®-BEKOTEC-Noppenplatte mit Folie",P3,0)</f>
        <v>#REF!</v>
      </c>
      <c r="AD12" s="31" t="e">
        <f>IF(Eingabe!#REF!="Schlüter®-BEKOTEC-Noppenplatte mit Folie",Q3,0)</f>
        <v>#REF!</v>
      </c>
      <c r="AE12" s="31" t="e">
        <f>IF(Eingabe!#REF!="Schlüter®-BEKOTEC-Noppenplatte mit Folie",R3,0)</f>
        <v>#REF!</v>
      </c>
      <c r="AF12" s="31" t="e">
        <f>IF(Eingabe!#REF!="Schlüter®-BEKOTEC-Noppenplatte mit Folie",S3,0)</f>
        <v>#REF!</v>
      </c>
      <c r="AG12" s="31" t="e">
        <f>IF(Eingabe!#REF!="Schlüter®-BEKOTEC-Noppenplatte mit Folie",T3,0)</f>
        <v>#REF!</v>
      </c>
      <c r="AH12" s="74" t="e">
        <f>IF(Eingabe!#REF!="Schlüter®-BEKOTEC-Noppenplatte mit Folie",U3,0)</f>
        <v>#REF!</v>
      </c>
      <c r="AI12" s="39" t="e">
        <f>IF(Eingabe!#REF!="Regelung über RTB",0,W15)*OR(IF(Eingabe!#REF!="Regelung über RRB",0,W15))</f>
        <v>#REF!</v>
      </c>
      <c r="AJ12" s="39" t="e">
        <f>IF(Eingabe!#REF!="Regelung über RTB",0,X15)*OR(IF(Eingabe!#REF!="Regelung über RRB",0,X15))</f>
        <v>#REF!</v>
      </c>
      <c r="AK12" s="39" t="e">
        <f>IF(Eingabe!#REF!="Regelung über RTB",0,Y15)*OR(IF(Eingabe!#REF!="Regelung über RRB",0,Y15))</f>
        <v>#REF!</v>
      </c>
      <c r="AL12" s="39" t="e">
        <f>IF(Eingabe!#REF!="Regelung über RTB",0,Z15)*OR(IF(Eingabe!#REF!="Regelung über RRB",0,Z15))</f>
        <v>#REF!</v>
      </c>
      <c r="AM12" s="39" t="e">
        <f>IF(Eingabe!#REF!="Regelung über RTB",0,AA15)*OR(IF(Eingabe!#REF!="Regelung über RRB",0,AA15))</f>
        <v>#REF!</v>
      </c>
      <c r="AN12" s="39" t="e">
        <f>IF(Eingabe!#REF!="Regelung über RTB",0,AB15)*OR(IF(Eingabe!#REF!="Regelung über RRB",0,AB15))</f>
        <v>#REF!</v>
      </c>
      <c r="AO12" s="39" t="e">
        <f>IF(Eingabe!#REF!="Regelung über RTB",0,AC15)*OR(IF(Eingabe!#REF!="Regelung über RRB",0,AC15))</f>
        <v>#REF!</v>
      </c>
      <c r="AP12" s="39" t="e">
        <f>IF(Eingabe!#REF!="Regelung über RTB",0,AD15)*OR(IF(Eingabe!#REF!="Regelung über RRB",0,AD15))</f>
        <v>#REF!</v>
      </c>
      <c r="AQ12" s="39" t="e">
        <f>IF(Eingabe!#REF!="Regelung über RTB",0,AE15)*OR(IF(Eingabe!#REF!="Regelung über RRB",0,AE15))</f>
        <v>#REF!</v>
      </c>
      <c r="AR12" s="39" t="e">
        <f>IF(Eingabe!#REF!="Regelung über RTB",0,AF15)*OR(IF(Eingabe!#REF!="Regelung über RTBR",0,AF15))</f>
        <v>#REF!</v>
      </c>
      <c r="AS12" s="39" t="e">
        <f>IF(Eingabe!#REF!="Regelung über RTB",0,AG15)*OR(IF(Eingabe!#REF!="Regelung über RTBR",0,AG15))</f>
        <v>#REF!</v>
      </c>
      <c r="AT12" s="39" t="e">
        <f>IF(Eingabe!#REF!="Regelung über RTB",0,AH15)*OR(IF(Eingabe!#REF!="Regelung über RTBR",0,AH15))</f>
        <v>#REF!</v>
      </c>
    </row>
    <row r="13" spans="1:46" ht="12.75" hidden="1">
      <c r="A13" s="37"/>
      <c r="B13" s="38" t="s">
        <v>42</v>
      </c>
      <c r="C13" s="48" t="e">
        <f>IF(Massen!#REF!=1,2,0)+IF(Massen!#REF!=2,4,0)+IF(Massen!#REF!=3,6,0)+IF(Massen!#REF!=4,8,0)+IF(Massen!#REF!=5,10,0)+IF(Massen!#REF!=6,12,0)+IF(Massen!#REF!=7,14,0)+IF(Massen!#REF!=8,16,0)+IF(Massen!#REF!=9,18,0)+IF(Massen!#REF!=10,20,0)</f>
        <v>#REF!</v>
      </c>
      <c r="D13" s="37"/>
      <c r="E13" s="38" t="e">
        <f>B3+B4+B5</f>
        <v>#REF!</v>
      </c>
      <c r="F13" s="50" t="e">
        <f>IF(Eingabe!#REF!="Regelung über RTB",0,B3)*OR(IF(Eingabe!#REF!="Regelung über RTBR",0,B3)*OR(IF(Eingabe!#REF!="Beimischstation für einen Heizkreis",0,B3)*OR(IF(Eingabe!#REF!="Beimischstation für zwei Heizkreise",0,B3)*OR(IF(Eingabe!#REF!="Beimischstation mit Thermostat für einen Heizkreis",0,B3)*OR(IF(Eingabe!#REF!="Beimischstation mit Thermostat für zwei Heizkreise",0,B3))))))</f>
        <v>#REF!</v>
      </c>
      <c r="G13" s="52"/>
      <c r="H13" s="38"/>
      <c r="I13" s="9"/>
      <c r="J13" s="38"/>
      <c r="K13" s="38"/>
      <c r="L13" s="38"/>
      <c r="M13" s="38"/>
      <c r="N13" s="38"/>
      <c r="O13" s="38"/>
      <c r="P13" s="38"/>
      <c r="Q13" s="37"/>
      <c r="R13" s="39"/>
      <c r="W13" s="73" t="e">
        <f>IF(Eingabe!#REF!="Schlüter®-BEKOTEC-Noppenplatte mit Folie",J4,0)</f>
        <v>#REF!</v>
      </c>
      <c r="X13" s="31" t="e">
        <f>IF(Eingabe!#REF!="Schlüter®-BEKOTEC-Noppenplatte mit Folie",K4,0)</f>
        <v>#REF!</v>
      </c>
      <c r="Y13" s="31" t="e">
        <f>IF(Eingabe!#REF!="Schlüter®-BEKOTEC-Noppenplatte mit Folie",L4,0)</f>
        <v>#REF!</v>
      </c>
      <c r="Z13" s="31" t="e">
        <f>IF(Eingabe!#REF!="Schlüter®-BEKOTEC-Noppenplatte mit Folie",M4,0)</f>
        <v>#REF!</v>
      </c>
      <c r="AA13" s="31" t="e">
        <f>IF(Eingabe!#REF!="Schlüter®-BEKOTEC-Noppenplatte mit Folie",N4,0)</f>
        <v>#REF!</v>
      </c>
      <c r="AB13" s="31" t="e">
        <f>IF(Eingabe!#REF!="Schlüter®-BEKOTEC-Noppenplatte mit Folie",O4,0)</f>
        <v>#REF!</v>
      </c>
      <c r="AC13" s="31" t="e">
        <f>IF(Eingabe!#REF!="Schlüter®-BEKOTEC-Noppenplatte mit Folie",P4,0)</f>
        <v>#REF!</v>
      </c>
      <c r="AD13" s="31" t="e">
        <f>IF(Eingabe!#REF!="Schlüter®-BEKOTEC-Noppenplatte mit Folie",Q4,0)</f>
        <v>#REF!</v>
      </c>
      <c r="AE13" s="31" t="e">
        <f>IF(Eingabe!#REF!="Schlüter®-BEKOTEC-Noppenplatte mit Folie",R4,0)</f>
        <v>#REF!</v>
      </c>
      <c r="AF13" s="31" t="e">
        <f>IF(Eingabe!#REF!="Schlüter®-BEKOTEC-Noppenplatte mit Folie",S4,0)</f>
        <v>#REF!</v>
      </c>
      <c r="AG13" s="31" t="e">
        <f>IF(Eingabe!#REF!="Schlüter®-BEKOTEC-Noppenplatte mit Folie",T4,0)</f>
        <v>#REF!</v>
      </c>
      <c r="AH13" s="74" t="e">
        <f>IF(Eingabe!#REF!="Schlüter®-BEKOTEC-Noppenplatte mit Folie",U4,0)</f>
        <v>#REF!</v>
      </c>
      <c r="AI13" s="39" t="e">
        <f>IF(Eingabe!#REF!="Regelung über RTB",0,W15)*(IF(Eingabe!#REF!="Regelung über RRB",0,W15))</f>
        <v>#REF!</v>
      </c>
      <c r="AJ13" s="39" t="e">
        <f>IF(Eingabe!#REF!="Regelung über RTB",0,X15)*(IF(Eingabe!#REF!="Regelung über RRB",0,X15))</f>
        <v>#REF!</v>
      </c>
      <c r="AK13" s="39" t="e">
        <f>IF(Eingabe!#REF!="Regelung über RTB",0,Y15)*(IF(Eingabe!#REF!="Regelung über RRB",0,Y15))</f>
        <v>#REF!</v>
      </c>
      <c r="AL13" s="39" t="e">
        <f>IF(Eingabe!#REF!="Regelung über RTB",0,Z15)*(IF(Eingabe!#REF!="Regelung über RRB",0,Z15))</f>
        <v>#REF!</v>
      </c>
      <c r="AM13" s="39" t="e">
        <f>IF(Eingabe!#REF!="Regelung über RTB",0,AA15)*(IF(Eingabe!#REF!="Regelung über RRB",0,AA15))</f>
        <v>#REF!</v>
      </c>
      <c r="AN13" s="39" t="e">
        <f>IF(Eingabe!#REF!="Regelung über RTB",0,AB15)*(IF(Eingabe!#REF!="Regelung über RRB",0,AB15))</f>
        <v>#REF!</v>
      </c>
      <c r="AO13" s="39" t="e">
        <f>IF(Eingabe!#REF!="Regelung über RTB",0,AC15)*(IF(Eingabe!#REF!="Regelung über RRB",0,AC15))</f>
        <v>#REF!</v>
      </c>
      <c r="AP13" s="39" t="e">
        <f>IF(Eingabe!#REF!="Regelung über RTB",0,AD15)*(IF(Eingabe!#REF!="Regelung über RRB",0,AD15))</f>
        <v>#REF!</v>
      </c>
      <c r="AQ13" s="39" t="e">
        <f>IF(Eingabe!#REF!="Regelung über RTB",0,AE15)*(IF(Eingabe!#REF!="Regelung über RRB",0,AE15))</f>
        <v>#REF!</v>
      </c>
      <c r="AR13" s="39" t="e">
        <f>IF(Eingabe!#REF!="Regelung über RTB",0,AF15)*(IF(Eingabe!#REF!="Regelung über RTBR",0,AF15))</f>
        <v>#REF!</v>
      </c>
      <c r="AS13" s="39" t="e">
        <f>IF(Eingabe!#REF!="Regelung über RTB",0,AG15)*(IF(Eingabe!#REF!="Regelung über RTBR",0,AG15))</f>
        <v>#REF!</v>
      </c>
      <c r="AT13" s="39" t="e">
        <f>IF(Eingabe!#REF!="Regelung über RTB",0,AH15)*(IF(Eingabe!#REF!="Regelung über RTBR",0,AH15))</f>
        <v>#REF!</v>
      </c>
    </row>
    <row r="14" spans="1:46" ht="12.75" hidden="1" thickBot="1">
      <c r="A14" s="37"/>
      <c r="B14" s="38" t="s">
        <v>43</v>
      </c>
      <c r="C14" s="48" t="e">
        <f>IF(Massen!#REF!=1,3,0)+IF(Massen!#REF!=2,5,0)+IF(Massen!#REF!=3,8,0)+IF(Massen!#REF!=4,10,0)+IF(Massen!#REF!=5,13,0)+IF(Massen!#REF!=6,15,0)+IF(Massen!#REF!=7,18,0)+IF(Massen!#REF!=8,20,0)+IF(Massen!#REF!=9,23,0)+IF(Massen!#REF!=10,25,0)</f>
        <v>#REF!</v>
      </c>
      <c r="D14" s="37"/>
      <c r="E14" s="38" t="e">
        <f>IF(D3=1,1,0)+IF(D3=2,1,0)+IF(D3=3,1,0)+IF(D3=4,2,0)+IF(D3=4,2,0)+IF(D3=5,2,0)+IF(D3=6,2,0)+IF(D3=7,3,0)+IF(D3=8,3,0)+IF(D3=9,3,0)+IF(D3=10,4,0)+IF(D3=11,4,0)+IF(D3=12,4,0)+IF(D3=13,5,0)+IF(D3=14,5,0)+IF(D3=15,5,0)+IF(D3=16,6,0)+IF(D3=17,6,0)+IF(D3=18,6,0)+IF(D3=19,7,0)+IF(D3=20,7,0)+IF(D3=21,7,0)+IF(D3=22,8,0)+IF(D3=23,8,0)+IF(D3=28,8,0)+IF(D3=25,9,0)+IF(D3=26,9,0)+IF(D3=27,9,0)+IF(D3=28,10,0)+IF(D3=29,10,0)+IF(D3=30,10,0)</f>
        <v>#REF!</v>
      </c>
      <c r="F14" s="50" t="e">
        <f>IF(Eingabe!#REF!="Regelung über RTB",0,B4)*OR(IF(Eingabe!#REF!="Regelung über RTBR",0,B4)*OR(IF(Eingabe!#REF!="Beimischstation für einen Heizkreis",0,B4)*OR(IF(Eingabe!#REF!="Beimischstation für zwei Heizkreise",0,B4)*OR(IF(Eingabe!#REF!="Beimischstation mit Thermostat für einen Heizkreis",0,B4)*OR(IF(Eingabe!#REF!="Beimischstation mit Thermostat für zwei Heizkreise",0,B4))))))</f>
        <v>#REF!</v>
      </c>
      <c r="G14" s="40"/>
      <c r="H14" s="41"/>
      <c r="I14" s="41"/>
      <c r="J14" s="41"/>
      <c r="K14" s="41"/>
      <c r="L14" s="41" t="s">
        <v>54</v>
      </c>
      <c r="M14" s="41" t="e">
        <f>SUM(M11:M12)</f>
        <v>#REF!</v>
      </c>
      <c r="N14" s="41"/>
      <c r="O14" s="41" t="e">
        <f>SUM(O11:O12)</f>
        <v>#REF!</v>
      </c>
      <c r="P14" s="41" t="e">
        <f>SUM(P11:P12)</f>
        <v>#REF!</v>
      </c>
      <c r="Q14" s="40"/>
      <c r="R14" s="42"/>
      <c r="W14" s="73" t="e">
        <f>IF(Eingabe!#REF!="Schlüter®-BEKOTEC-Noppenplatte mit Folie",J5,0)</f>
        <v>#REF!</v>
      </c>
      <c r="X14" s="31" t="e">
        <f>IF(Eingabe!#REF!="Schlüter®-BEKOTEC-Noppenplatte mit Folie",K5,0)</f>
        <v>#REF!</v>
      </c>
      <c r="Y14" s="31" t="e">
        <f>IF(Eingabe!#REF!="Schlüter®-BEKOTEC-Noppenplatte mit Folie",L5,0)</f>
        <v>#REF!</v>
      </c>
      <c r="Z14" s="31" t="e">
        <f>IF(Eingabe!#REF!="Schlüter®-BEKOTEC-Noppenplatte mit Folie",M5,0)</f>
        <v>#REF!</v>
      </c>
      <c r="AA14" s="31" t="e">
        <f>IF(Eingabe!#REF!="Schlüter®-BEKOTEC-Noppenplatte mit Folie",N5,0)</f>
        <v>#REF!</v>
      </c>
      <c r="AB14" s="31" t="e">
        <f>IF(Eingabe!#REF!="Schlüter®-BEKOTEC-Noppenplatte mit Folie",O5,0)</f>
        <v>#REF!</v>
      </c>
      <c r="AC14" s="31" t="e">
        <f>IF(Eingabe!#REF!="Schlüter®-BEKOTEC-Noppenplatte mit Folie",P5,0)</f>
        <v>#REF!</v>
      </c>
      <c r="AD14" s="31" t="e">
        <f>IF(Eingabe!#REF!="Schlüter®-BEKOTEC-Noppenplatte mit Folie",Q5,0)</f>
        <v>#REF!</v>
      </c>
      <c r="AE14" s="31" t="e">
        <f>IF(Eingabe!#REF!="Schlüter®-BEKOTEC-Noppenplatte mit Folie",R5,0)</f>
        <v>#REF!</v>
      </c>
      <c r="AF14" s="31" t="e">
        <f>IF(Eingabe!#REF!="Schlüter®-BEKOTEC-Noppenplatte mit Folie",S5,0)</f>
        <v>#REF!</v>
      </c>
      <c r="AG14" s="31" t="e">
        <f>IF(Eingabe!#REF!="Schlüter®-BEKOTEC-Noppenplatte mit Folie",T5,0)</f>
        <v>#REF!</v>
      </c>
      <c r="AH14" s="74" t="e">
        <f>IF(Eingabe!#REF!="Schlüter®-BEKOTEC-Noppenplatte mit Folie",U5,0)</f>
        <v>#REF!</v>
      </c>
      <c r="AI14" s="39" t="e">
        <f>IF(Eingabe!#REF!="Regelung über RTB",0,W15)*(IF(Eingabe!#REF!="Regelung über RRB",0,W15))</f>
        <v>#REF!</v>
      </c>
      <c r="AJ14" s="39" t="e">
        <f>IF(Eingabe!#REF!="Regelung über RTB",0,X15)*(IF(Eingabe!#REF!="Regelung über RRB",0,X15))</f>
        <v>#REF!</v>
      </c>
      <c r="AK14" s="39" t="e">
        <f>IF(Eingabe!#REF!="Regelung über RTB",0,Y15)*(IF(Eingabe!#REF!="Regelung über RRB",0,Y15))</f>
        <v>#REF!</v>
      </c>
      <c r="AL14" s="39" t="e">
        <f>IF(Eingabe!#REF!="Regelung über RTB",0,Z15)*(IF(Eingabe!#REF!="Regelung über RRB",0,Z15))</f>
        <v>#REF!</v>
      </c>
      <c r="AM14" s="39" t="e">
        <f>IF(Eingabe!#REF!="Regelung über RTB",0,AA15)*(IF(Eingabe!#REF!="Regelung über RRB",0,AA15))</f>
        <v>#REF!</v>
      </c>
      <c r="AN14" s="39" t="e">
        <f>IF(Eingabe!#REF!="Regelung über RTB",0,AB15)*(IF(Eingabe!#REF!="Regelung über RRB",0,AB15))</f>
        <v>#REF!</v>
      </c>
      <c r="AO14" s="39" t="e">
        <f>IF(Eingabe!#REF!="Regelung über RTB",0,AC15)*(IF(Eingabe!#REF!="Regelung über RRB",0,AC15))</f>
        <v>#REF!</v>
      </c>
      <c r="AP14" s="39" t="e">
        <f>IF(Eingabe!#REF!="Regelung über RTB",0,AD15)*(IF(Eingabe!#REF!="Regelung über RRB",0,AD15))</f>
        <v>#REF!</v>
      </c>
      <c r="AQ14" s="39" t="e">
        <f>IF(Eingabe!#REF!="Regelung über RTB",0,AE15)*(IF(Eingabe!#REF!="Regelung über RRB",0,AE15))</f>
        <v>#REF!</v>
      </c>
      <c r="AR14" s="39" t="e">
        <f>IF(Eingabe!#REF!="Regelung über RTB",0,AF15)*(IF(Eingabe!#REF!="Regelung über RTBR",0,AF15))</f>
        <v>#REF!</v>
      </c>
      <c r="AS14" s="39" t="e">
        <f>IF(Eingabe!#REF!="Regelung über RTB",0,AG15)*(IF(Eingabe!#REF!="Regelung über RTBR",0,AG15))</f>
        <v>#REF!</v>
      </c>
      <c r="AT14" s="39" t="e">
        <f>IF(Eingabe!#REF!="Regelung über RTB",0,AH15)*(IF(Eingabe!#REF!="Regelung über RTBR",0,AH15))</f>
        <v>#REF!</v>
      </c>
    </row>
    <row r="15" spans="1:46" ht="13.5" hidden="1" thickBot="1" thickTop="1">
      <c r="A15" s="37"/>
      <c r="B15" s="38" t="s">
        <v>44</v>
      </c>
      <c r="C15" s="48" t="e">
        <f>IF(Massen!#REF!=1,3,0)+IF(Massen!#REF!=2,6,0)+IF(Massen!#REF!=3,9,0)+IF(Massen!#REF!=4,12,0)+IF(Massen!#REF!=5,15,0)+IF(Massen!#REF!=6,18,0)+IF(Massen!#REF!=7,21,0)+IF(Massen!#REF!=8,24,0)+IF(Massen!#REF!=9,27,0)+IF(Massen!#REF!=10,30,0)</f>
        <v>#REF!</v>
      </c>
      <c r="D15" s="37"/>
      <c r="E15" s="38" t="e">
        <f>IF(D4=1,1,0)+IF(D4=2,1,0)+IF(D4=3,1,0)+IF(D4=4,2,0)+IF(D4=4,2,0)+IF(D4=5,2,0)+IF(D4=6,2,0)+IF(D4=7,3,0)+IF(D4=8,3,0)+IF(D4=9,3,0)+IF(D4=10,4,0)+IF(D4=11,4,0)+IF(D4=12,4,0)+IF(D4=13,5,0)+IF(D4=14,5,0)+IF(D4=15,5,0)+IF(D4=16,6,0)+IF(D4=17,6,0)+IF(D4=18,6,0)+IF(D4=19,7,0)+IF(D4=20,7,0)+IF(D4=21,7,0)+IF(D4=22,8,0)+IF(D4=23,8,0)+IF(D4=28,8,0)+IF(D4=25,9,0)+IF(D4=26,9,0)+IF(D4=27,9,0)+IF(D4=28,10,0)+IF(D4=29,10,0)+IF(D4=30,10,0)</f>
        <v>#REF!</v>
      </c>
      <c r="F15" s="50" t="e">
        <f>IF(Eingabe!#REF!="Regelung über RTB",0,B5)*OR(IF(Eingabe!#REF!="Regelung über RTBR",0,B5)*OR(IF(Eingabe!#REF!="Beimischstation für einen Heizkreis",0,B5)*OR(IF(Eingabe!#REF!="Beimischstation für zwei Heizkreise",0,B5)*OR(IF(Eingabe!#REF!="Beimischstation mit Thermostat für einen Heizkreis",0,B5)*OR(IF(Eingabe!#REF!="Beimischstation mit Thermostat für zwei Heizkreise",0,B5))))))</f>
        <v>#REF!</v>
      </c>
      <c r="W15" s="77" t="e">
        <f aca="true" t="shared" si="4" ref="W15:AT15">SUM(W12:W14)</f>
        <v>#REF!</v>
      </c>
      <c r="X15" s="78" t="e">
        <f t="shared" si="4"/>
        <v>#REF!</v>
      </c>
      <c r="Y15" s="78" t="e">
        <f t="shared" si="4"/>
        <v>#REF!</v>
      </c>
      <c r="Z15" s="78" t="e">
        <f t="shared" si="4"/>
        <v>#REF!</v>
      </c>
      <c r="AA15" s="78" t="e">
        <f t="shared" si="4"/>
        <v>#REF!</v>
      </c>
      <c r="AB15" s="78" t="e">
        <f t="shared" si="4"/>
        <v>#REF!</v>
      </c>
      <c r="AC15" s="78" t="e">
        <f t="shared" si="4"/>
        <v>#REF!</v>
      </c>
      <c r="AD15" s="78" t="e">
        <f t="shared" si="4"/>
        <v>#REF!</v>
      </c>
      <c r="AE15" s="78" t="e">
        <f t="shared" si="4"/>
        <v>#REF!</v>
      </c>
      <c r="AF15" s="78" t="e">
        <f t="shared" si="4"/>
        <v>#REF!</v>
      </c>
      <c r="AG15" s="78" t="e">
        <f t="shared" si="4"/>
        <v>#REF!</v>
      </c>
      <c r="AH15" s="79" t="e">
        <f t="shared" si="4"/>
        <v>#REF!</v>
      </c>
      <c r="AI15" s="84" t="e">
        <f t="shared" si="4"/>
        <v>#REF!</v>
      </c>
      <c r="AJ15" s="84" t="e">
        <f t="shared" si="4"/>
        <v>#REF!</v>
      </c>
      <c r="AK15" s="84" t="e">
        <f t="shared" si="4"/>
        <v>#REF!</v>
      </c>
      <c r="AL15" s="84" t="e">
        <f t="shared" si="4"/>
        <v>#REF!</v>
      </c>
      <c r="AM15" s="84" t="e">
        <f t="shared" si="4"/>
        <v>#REF!</v>
      </c>
      <c r="AN15" s="84" t="e">
        <f t="shared" si="4"/>
        <v>#REF!</v>
      </c>
      <c r="AO15" s="84" t="e">
        <f t="shared" si="4"/>
        <v>#REF!</v>
      </c>
      <c r="AP15" s="84" t="e">
        <f t="shared" si="4"/>
        <v>#REF!</v>
      </c>
      <c r="AQ15" s="84" t="e">
        <f t="shared" si="4"/>
        <v>#REF!</v>
      </c>
      <c r="AR15" s="84" t="e">
        <f t="shared" si="4"/>
        <v>#REF!</v>
      </c>
      <c r="AS15" s="84" t="e">
        <f t="shared" si="4"/>
        <v>#REF!</v>
      </c>
      <c r="AT15" s="84" t="e">
        <f t="shared" si="4"/>
        <v>#REF!</v>
      </c>
    </row>
    <row r="16" spans="1:34" ht="13.5" hidden="1" thickTop="1">
      <c r="A16" s="37"/>
      <c r="B16" s="38" t="s">
        <v>45</v>
      </c>
      <c r="C16" s="48" t="e">
        <f>IF(Massen!#REF!=1,4,0)+IF(Massen!#REF!=2,7,0)+IF(Massen!#REF!=3,11,0)+IF(Massen!#REF!=4,14,0)+IF(Massen!#REF!=5,18,0)+IF(Massen!#REF!=6,21,0)+IF(Massen!#REF!=7,25,0)+IF(Massen!#REF!=8,28,0)+IF(Massen!#REF!=9,32,0)+IF(Massen!#REF!=10,35,0)</f>
        <v>#REF!</v>
      </c>
      <c r="D16" s="37"/>
      <c r="E16" s="38" t="e">
        <f>IF(D5=1,1,0)+IF(D5=2,1,0)+IF(D5=3,1,0)+IF(D5=4,2,0)+IF(D5=4,2,0)+IF(D5=5,2,0)+IF(D5=6,2,0)+IF(D5=7,3,0)+IF(D5=8,3,0)+IF(D5=9,3,0)+IF(D5=10,4,0)+IF(D5=11,4,0)+IF(D5=12,4,0)+IF(D5=13,5,0)+IF(D5=14,5,0)+IF(D5=15,5,0)+IF(D5=16,6,0)+IF(D5=17,6,0)+IF(D5=18,6,0)+IF(D5=19,7,0)+IF(D5=20,7,0)+IF(D5=21,7,0)+IF(D5=22,8,0)+IF(D5=23,8,0)+IF(D5=28,8,0)+IF(D5=25,9,0)+IF(D5=26,9,0)+IF(D5=27,9,0)+IF(D5=28,10,0)+IF(D5=29,10,0)+IF(D5=30,10,0)</f>
        <v>#REF!</v>
      </c>
      <c r="F16" s="39"/>
      <c r="G16" s="43"/>
      <c r="H16" s="35" t="s">
        <v>69</v>
      </c>
      <c r="I16" s="36"/>
      <c r="J16" s="34"/>
      <c r="K16" s="35" t="s">
        <v>70</v>
      </c>
      <c r="L16" s="43"/>
      <c r="M16" s="43"/>
      <c r="N16" s="35" t="s">
        <v>74</v>
      </c>
      <c r="O16" s="43"/>
      <c r="P16" s="43"/>
      <c r="Q16" s="43"/>
      <c r="R16" s="43"/>
      <c r="S16" s="43"/>
      <c r="T16" s="43"/>
      <c r="U16" s="43"/>
      <c r="V16" s="43"/>
      <c r="W16" s="43"/>
      <c r="X16" s="36"/>
      <c r="Y16" s="34"/>
      <c r="Z16" s="43"/>
      <c r="AA16" s="43"/>
      <c r="AB16" s="43"/>
      <c r="AC16" s="43"/>
      <c r="AD16" s="43"/>
      <c r="AE16" s="43"/>
      <c r="AF16" s="43"/>
      <c r="AG16" s="43"/>
      <c r="AH16" s="36"/>
    </row>
    <row r="17" spans="1:34" ht="12.75" hidden="1">
      <c r="A17" s="37"/>
      <c r="B17" s="38" t="s">
        <v>46</v>
      </c>
      <c r="C17" s="48" t="e">
        <f>IF(Massen!#REF!=1,4,0)+IF(Massen!#REF!=2,8,0)+IF(Massen!#REF!=3,12,0)+IF(Massen!#REF!=4,16,0)+IF(Massen!#REF!=5,20,0)+IF(Massen!#REF!=6,24,0)+IF(Massen!#REF!=7,28,0)+IF(Massen!#REF!=8,32,0)+IF(Massen!#REF!=9,36,0)+IF(Massen!#REF!=10,40,0)</f>
        <v>#REF!</v>
      </c>
      <c r="D17" s="37"/>
      <c r="E17" s="38"/>
      <c r="F17" s="39"/>
      <c r="G17" s="38"/>
      <c r="H17" s="38"/>
      <c r="I17" s="39"/>
      <c r="J17" s="37"/>
      <c r="K17" s="11" t="s">
        <v>71</v>
      </c>
      <c r="L17" s="11" t="s">
        <v>73</v>
      </c>
      <c r="M17" s="11" t="s">
        <v>37</v>
      </c>
      <c r="N17" s="11" t="s">
        <v>75</v>
      </c>
      <c r="O17" s="11" t="s">
        <v>76</v>
      </c>
      <c r="P17" s="11" t="s">
        <v>77</v>
      </c>
      <c r="Q17" s="11" t="s">
        <v>78</v>
      </c>
      <c r="R17" s="11" t="s">
        <v>79</v>
      </c>
      <c r="S17" s="11" t="s">
        <v>80</v>
      </c>
      <c r="T17" s="11" t="s">
        <v>81</v>
      </c>
      <c r="U17" s="11" t="s">
        <v>82</v>
      </c>
      <c r="V17" s="11" t="s">
        <v>83</v>
      </c>
      <c r="W17" s="11" t="s">
        <v>57</v>
      </c>
      <c r="X17" s="50" t="s">
        <v>84</v>
      </c>
      <c r="Y17" s="80" t="s">
        <v>93</v>
      </c>
      <c r="Z17" s="38"/>
      <c r="AA17" s="67"/>
      <c r="AB17" s="67" t="s">
        <v>94</v>
      </c>
      <c r="AC17" s="38"/>
      <c r="AD17" s="38"/>
      <c r="AE17" s="38"/>
      <c r="AF17" s="38"/>
      <c r="AG17" s="38"/>
      <c r="AH17" s="39"/>
    </row>
    <row r="18" spans="1:34" ht="12.75" hidden="1">
      <c r="A18" s="37"/>
      <c r="B18" s="38" t="s">
        <v>47</v>
      </c>
      <c r="C18" s="48" t="e">
        <f>IF(Massen!#REF!=1,5,0)+IF(Massen!#REF!=2,9,0)+IF(Massen!#REF!=3,14,0)+IF(Massen!#REF!=4,18,0)+IF(Massen!#REF!=5,23,0)+IF(Massen!#REF!=6,27,0)+IF(Massen!#REF!=7,32,0)+IF(Massen!#REF!=8,36,0)+IF(Massen!#REF!=9,41,0)+IF(Massen!#REF!=10,45,0)</f>
        <v>#REF!</v>
      </c>
      <c r="D18" s="37"/>
      <c r="E18" s="38"/>
      <c r="F18" s="39"/>
      <c r="G18" s="38"/>
      <c r="H18" s="38" t="e">
        <f>IF(Eingabe!#REF!=7,1,0)+IF(Eingabe!#REF!=8,1,0)+IF(Eingabe!#REF!=9,2,0)+IF(Eingabe!#REF!=10,2,0)+IF(Eingabe!#REF!=11,3,0)+IF(Eingabe!#REF!=12,3,0)+IF(Eingabe!#REF!=13,4,0)+IF(Eingabe!#REF!=14,4,0)</f>
        <v>#REF!</v>
      </c>
      <c r="I18" s="39"/>
      <c r="J18" s="37" t="s">
        <v>10</v>
      </c>
      <c r="K18" s="31" t="e">
        <f>IF(Eingabe!#REF!="Schlüter®-BEKOTEC-Noppenplatte ohne Folie",H3,0)</f>
        <v>#REF!</v>
      </c>
      <c r="L18" s="31" t="e">
        <f>IF(Eingabe!#REF!="Schlüter®-BEKOTEC-Noppenplatte mit Folie",H3,0)</f>
        <v>#REF!</v>
      </c>
      <c r="M18" s="26" t="e">
        <f>IF(Eingabe!#REF!="Schlüter®-BEKOTEC-Noppenplatte aus druckstabiler Tiefzieh-Folie",B!H3,0)</f>
        <v>#REF!</v>
      </c>
      <c r="N18" s="26" t="e">
        <f>IF(Eingabe!#REF!="Regelung Normalspannung",D3,0)</f>
        <v>#REF!</v>
      </c>
      <c r="O18" s="26" t="e">
        <f>IF(Eingabe!#REF!="Regelung Niederspannung",D3,0)</f>
        <v>#REF!</v>
      </c>
      <c r="P18" s="22" t="e">
        <f>IF(Eingabe!#REF!="Regelung Funk",D3,0)</f>
        <v>#REF!</v>
      </c>
      <c r="Q18" s="22" t="e">
        <f>IF(Eingabe!#REF!="Regelung Kühlen/Heizen",D3,0)</f>
        <v>#REF!</v>
      </c>
      <c r="R18" s="22" t="e">
        <f>IF(Eingabe!#REF!="Regelung Normalspannung",D3,0)+IF(Eingabe!#REF!="Regelung Niederspannung",D3,0)+IF(Eingabe!#REF!="Regelung Kühlen/Heizen",D3,0)</f>
        <v>#REF!</v>
      </c>
      <c r="S18" s="22" t="e">
        <f>IF(Eingabe!#REF!="Regelung Normalspannung",O33,0)</f>
        <v>#REF!</v>
      </c>
      <c r="T18" s="22" t="e">
        <f>IF(Eingabe!#REF!="Regelung Niederspannung",O33,0)+IF(Eingabe!#REF!="Regelung Kühlen/Heizen",O33,0)</f>
        <v>#REF!</v>
      </c>
      <c r="U18" s="22" t="e">
        <f>IF(Eingabe!#REF!="Regelung Normalspannung",I3,0)</f>
        <v>#REF!</v>
      </c>
      <c r="V18" s="22" t="e">
        <f>IF(Eingabe!#REF!="Regelung Niederspannung",I3,0)+IF(Eingabe!#REF!="Regelung Kühlen/Heizen",I3,0)</f>
        <v>#REF!</v>
      </c>
      <c r="W18" s="22" t="e">
        <f>IF(Eingabe!#REF!="Regelung über RTB",1,0)</f>
        <v>#REF!</v>
      </c>
      <c r="X18" s="53" t="e">
        <f>IF(Eingabe!#REF!="Regelung über RRB",1,0)</f>
        <v>#REF!</v>
      </c>
      <c r="Y18" s="81" t="e">
        <f>IF(Eingabe!#REF!="Regelung Funk",O33,0)</f>
        <v>#REF!</v>
      </c>
      <c r="Z18" s="38" t="e">
        <f>IF(Eingabe!#REF!=1,Y18,0)+IF(Eingabe!#REF!=2,Y18,0)+IF(Eingabe!#REF!=3,Y18,0)+IF(Eingabe!#REF!=4,Y18,0)+IF(Eingabe!#REF!=5,Y18,0)+IF(Eingabe!#REF!=6,Y18,0)</f>
        <v>#REF!</v>
      </c>
      <c r="AA18" s="38" t="e">
        <f>IF(Eingabe!#REF!=7,Y18,0)+IF(Eingabe!#REF!=8,Y18,0)+IF(Eingabe!#REF!=9,Y18,0)+IF(Eingabe!#REF!=10,Y18,0)+IF(Eingabe!#REF!=11,Y18,0)+IF(Eingabe!#REF!=12,Y18,0)</f>
        <v>#REF!</v>
      </c>
      <c r="AB18" s="22" t="e">
        <f>IF(Eingabe!#REF!="Regelung Funk",I3,0)</f>
        <v>#REF!</v>
      </c>
      <c r="AC18" s="38"/>
      <c r="AD18" s="38"/>
      <c r="AE18" s="38"/>
      <c r="AF18" s="38"/>
      <c r="AG18" s="38"/>
      <c r="AH18" s="39"/>
    </row>
    <row r="19" spans="1:34" ht="12.75" hidden="1">
      <c r="A19" s="37"/>
      <c r="B19" s="38" t="s">
        <v>48</v>
      </c>
      <c r="C19" s="48" t="e">
        <f>IF(Massen!#REF!=1,5,0)+IF(Massen!#REF!=2,10,0)+IF(Massen!#REF!=3,15,0)+IF(Massen!#REF!=4,20,0)+IF(Massen!#REF!=5,25,0)+IF(Massen!#REF!=6,30,0)+IF(Massen!#REF!=7,35,0)+IF(Massen!#REF!=8,40,0)+IF(Massen!#REF!=9,45,0)+IF(Massen!#REF!=10,50,0)</f>
        <v>#REF!</v>
      </c>
      <c r="D19" s="37"/>
      <c r="E19" s="38"/>
      <c r="F19" s="39"/>
      <c r="G19" s="38"/>
      <c r="H19" s="38" t="e">
        <f>IF(Eingabe!#REF!=7,1,0)+IF(Eingabe!#REF!=8,1,0)+IF(Eingabe!#REF!=9,2,0)+IF(Eingabe!#REF!=10,2,0)+IF(Eingabe!#REF!=11,3,0)+IF(Eingabe!#REF!=12,3,0)+IF(Eingabe!#REF!=13,4,0)+IF(Eingabe!#REF!=14,4,0)</f>
        <v>#REF!</v>
      </c>
      <c r="I19" s="39"/>
      <c r="J19" s="37" t="s">
        <v>14</v>
      </c>
      <c r="K19" s="31" t="e">
        <f>IF(Eingabe!#REF!="Schlüter®-BEKOTEC-Noppenplatte ohne Folie",H4,0)</f>
        <v>#REF!</v>
      </c>
      <c r="L19" s="31" t="e">
        <f>IF(Eingabe!#REF!="Schlüter®-BEKOTEC-Noppenplatte mit Folie",H4,0)</f>
        <v>#REF!</v>
      </c>
      <c r="M19" s="26" t="e">
        <f>IF(Eingabe!#REF!="Schlüter®-BEKOTEC-Noppenplatte aus druckstabiler Tiefzieh-Folie",B!H4,0)</f>
        <v>#REF!</v>
      </c>
      <c r="N19" s="26" t="e">
        <f>IF(Eingabe!#REF!="Regelung Normalspannung",D4,0)</f>
        <v>#REF!</v>
      </c>
      <c r="O19" s="26" t="e">
        <f>IF(Eingabe!#REF!="Regelung Niederspannung",D4,0)</f>
        <v>#REF!</v>
      </c>
      <c r="P19" s="22" t="e">
        <f>IF(Eingabe!#REF!="Regelung Funk",D4,0)</f>
        <v>#REF!</v>
      </c>
      <c r="Q19" s="22" t="e">
        <f>IF(Eingabe!#REF!="Regelung Kühlen/Heizen",D4,0)</f>
        <v>#REF!</v>
      </c>
      <c r="R19" s="22" t="e">
        <f>IF(Eingabe!#REF!="Regelung Normalspannung",D4,0)+IF(Eingabe!#REF!="Regelung Niederspannung",D4,0)+IF(Eingabe!#REF!="Regelung Kühlen/Heizen",D4,0)</f>
        <v>#REF!</v>
      </c>
      <c r="S19" s="22" t="e">
        <f>IF(Eingabe!#REF!="Regelung Normalspannung",O34,0)</f>
        <v>#REF!</v>
      </c>
      <c r="T19" s="22" t="e">
        <f>IF(Eingabe!#REF!="Regelung Niederspannung",O34,0)+IF(Eingabe!#REF!="Regelung Kühlen/Heizen",O34,0)</f>
        <v>#REF!</v>
      </c>
      <c r="U19" s="22" t="e">
        <f>IF(Eingabe!#REF!="Regelung Normalspannung",I4,0)</f>
        <v>#REF!</v>
      </c>
      <c r="V19" s="22" t="e">
        <f>IF(Eingabe!#REF!="Regelung Niederspannung",I4,0)+IF(Eingabe!#REF!="Regelung Kühlen/Heizen",I4,0)</f>
        <v>#REF!</v>
      </c>
      <c r="W19" s="22" t="e">
        <f>IF(Eingabe!#REF!="Regelung über RTB",1,0)</f>
        <v>#REF!</v>
      </c>
      <c r="X19" s="53" t="e">
        <f>IF(Eingabe!#REF!="Regelung über RRB",1,0)</f>
        <v>#REF!</v>
      </c>
      <c r="Y19" s="81" t="e">
        <f>IF(Eingabe!#REF!="Regelung Funk",O34,0)</f>
        <v>#REF!</v>
      </c>
      <c r="Z19" s="38" t="e">
        <f>IF(Eingabe!#REF!=1,Y19,0)+IF(Eingabe!#REF!=2,Y19,0)+IF(Eingabe!#REF!=3,Y19,0)+IF(Eingabe!#REF!=4,Y19,0)+IF(Eingabe!#REF!=5,Y19,0)+IF(Eingabe!#REF!=6,Y19,0)</f>
        <v>#REF!</v>
      </c>
      <c r="AA19" s="38" t="e">
        <f>IF(Eingabe!#REF!=7,Y19,0)+IF(Eingabe!#REF!=8,Y19,0)+IF(Eingabe!#REF!=9,Y19,0)+IF(Eingabe!#REF!=10,Y19,0)+IF(Eingabe!#REF!=11,Y19,0)+IF(Eingabe!#REF!=12,Y19,0)</f>
        <v>#REF!</v>
      </c>
      <c r="AB19" s="22" t="e">
        <f>IF(Eingabe!#REF!="Regelung Funk",I4,0)</f>
        <v>#REF!</v>
      </c>
      <c r="AC19" s="38"/>
      <c r="AD19" s="38"/>
      <c r="AE19" s="38"/>
      <c r="AF19" s="38"/>
      <c r="AG19" s="38"/>
      <c r="AH19" s="39"/>
    </row>
    <row r="20" spans="1:34" ht="12.75" hidden="1">
      <c r="A20" s="37"/>
      <c r="B20" s="38" t="s">
        <v>49</v>
      </c>
      <c r="C20" s="48" t="e">
        <f>IF(Massen!#REF!=1,6,0)+IF(Massen!#REF!=2,11,0)+IF(Massen!#REF!=3,17,0)+IF(Massen!#REF!=4,22,0)+IF(Massen!#REF!=5,28,0)+IF(Massen!#REF!=6,33,0)+IF(Massen!#REF!=7,39,0)+IF(Massen!#REF!=8,44,0)+IF(Massen!#REF!=9,50,0)+IF(Massen!#REF!=10,55,0)</f>
        <v>#REF!</v>
      </c>
      <c r="D20" s="37"/>
      <c r="E20" s="38"/>
      <c r="F20" s="39"/>
      <c r="G20" s="38"/>
      <c r="H20" s="38" t="e">
        <f>IF(Eingabe!#REF!=7,1,0)+IF(Eingabe!#REF!=8,1,0)+IF(Eingabe!#REF!=9,2,0)+IF(Eingabe!#REF!=10,2,0)+IF(Eingabe!#REF!=11,3,0)+IF(Eingabe!#REF!=12,3,0)+IF(Eingabe!#REF!=13,4,0)+IF(Eingabe!#REF!=14,4,0)</f>
        <v>#REF!</v>
      </c>
      <c r="I20" s="39"/>
      <c r="J20" s="37" t="s">
        <v>72</v>
      </c>
      <c r="K20" s="31" t="e">
        <f>IF(Eingabe!#REF!="Schlüter®-BEKOTEC-Noppenplatte ohne Folie",H5,0)</f>
        <v>#REF!</v>
      </c>
      <c r="L20" s="31" t="e">
        <f>IF(Eingabe!#REF!="Schlüter®-BEKOTEC-Noppenplatte mit Folie",H5,0)</f>
        <v>#REF!</v>
      </c>
      <c r="M20" s="26" t="e">
        <f>IF(Eingabe!#REF!="Schlüter®-BEKOTEC-Noppenplatte aus druckstabiler Tiefzieh-Folie",B!H5,0)</f>
        <v>#REF!</v>
      </c>
      <c r="N20" s="26" t="e">
        <f>IF(Eingabe!#REF!="Regelung Normalspannung",D5,0)</f>
        <v>#REF!</v>
      </c>
      <c r="O20" s="26" t="e">
        <f>IF(Eingabe!#REF!="Regelung Niederspannung",D5,0)</f>
        <v>#REF!</v>
      </c>
      <c r="P20" s="22" t="e">
        <f>IF(Eingabe!#REF!="Regelung Funk",D5,0)</f>
        <v>#REF!</v>
      </c>
      <c r="Q20" s="22" t="e">
        <f>IF(Eingabe!#REF!="Regelung Kühlen/Heizen",D5,0)</f>
        <v>#REF!</v>
      </c>
      <c r="R20" s="22" t="e">
        <f>IF(Eingabe!#REF!="Regelung Normalspannung",D5,0)+IF(Eingabe!#REF!="Regelung Niederspannung",D5,0)+IF(Eingabe!#REF!="Regelung Kühlen/Heizen",D5,0)</f>
        <v>#REF!</v>
      </c>
      <c r="S20" s="22" t="e">
        <f>IF(Eingabe!#REF!="Regelung Normalspannung",O35,0)</f>
        <v>#REF!</v>
      </c>
      <c r="T20" s="22" t="e">
        <f>IF(Eingabe!#REF!="Regelung Niederspannung",O35,0)+IF(Eingabe!#REF!="Regelung Kühlen/Heizen",O35,0)</f>
        <v>#REF!</v>
      </c>
      <c r="U20" s="22" t="e">
        <f>IF(Eingabe!#REF!="Regelung Normalspannung",I5,0)</f>
        <v>#REF!</v>
      </c>
      <c r="V20" s="22" t="e">
        <f>IF(Eingabe!#REF!="Regelung Niederspannung",I5,0)+IF(Eingabe!#REF!="Regelung Kühlen/Heizen",I5,0)</f>
        <v>#REF!</v>
      </c>
      <c r="W20" s="22" t="e">
        <f>IF(Eingabe!#REF!="Regelung über RTB",1,0)</f>
        <v>#REF!</v>
      </c>
      <c r="X20" s="53" t="e">
        <f>IF(Eingabe!#REF!="Regelung über RRB",1,0)</f>
        <v>#REF!</v>
      </c>
      <c r="Y20" s="81" t="e">
        <f>IF(Eingabe!#REF!="Regelung Funk",O35,0)</f>
        <v>#REF!</v>
      </c>
      <c r="Z20" s="38" t="e">
        <f>IF(Eingabe!#REF!=1,Y20,0)+IF(Eingabe!#REF!=2,Y20,0)+IF(Eingabe!#REF!=3,Y20,0)+IF(Eingabe!#REF!=4,Y20,0)+IF(Eingabe!#REF!=5,Y20,0)+IF(Eingabe!#REF!=6,Y20,0)</f>
        <v>#REF!</v>
      </c>
      <c r="AA20" s="38" t="e">
        <f>IF(Eingabe!#REF!=7,Y20,0)+IF(Eingabe!#REF!=8,Y20,0)+IF(Eingabe!#REF!=9,Y20,0)+IF(Eingabe!#REF!=10,Y20,0)+IF(Eingabe!#REF!=11,Y20,0)+IF(Eingabe!#REF!=12,Y20,0)</f>
        <v>#REF!</v>
      </c>
      <c r="AB20" s="22" t="e">
        <f>IF(Eingabe!#REF!="Regelung Funk",I5,0)</f>
        <v>#REF!</v>
      </c>
      <c r="AC20" s="38"/>
      <c r="AD20" s="38"/>
      <c r="AE20" s="38"/>
      <c r="AF20" s="38"/>
      <c r="AG20" s="38"/>
      <c r="AH20" s="39"/>
    </row>
    <row r="21" spans="1:34" ht="12.75" hidden="1" thickBot="1">
      <c r="A21" s="37"/>
      <c r="B21" s="38" t="s">
        <v>50</v>
      </c>
      <c r="C21" s="48" t="e">
        <f>IF(Massen!#REF!=1,6,0)+IF(Massen!#REF!=2,12,0)+IF(Massen!#REF!=3,18,0)+IF(Massen!#REF!=4,24,0)+IF(Massen!#REF!=5,30,0)+IF(Massen!#REF!=6,36,0)+IF(Massen!#REF!=7,42,0)+IF(Massen!#REF!=8,48,0)+IF(Massen!#REF!=9,54,0)+IF(Massen!#REF!=10,60,0)</f>
        <v>#REF!</v>
      </c>
      <c r="D21" s="37"/>
      <c r="E21" s="38"/>
      <c r="F21" s="39"/>
      <c r="G21" s="38"/>
      <c r="H21" s="38"/>
      <c r="I21" s="39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9"/>
      <c r="Y21" s="40"/>
      <c r="Z21" s="41" t="e">
        <f>SUM(Z18:Z20)</f>
        <v>#REF!</v>
      </c>
      <c r="AA21" s="41" t="e">
        <f>SUM(AA18:AA20)</f>
        <v>#REF!</v>
      </c>
      <c r="AB21" s="82" t="e">
        <f>SUM(AB18:AB20)</f>
        <v>#REF!</v>
      </c>
      <c r="AC21" s="41"/>
      <c r="AD21" s="41"/>
      <c r="AE21" s="41"/>
      <c r="AF21" s="41"/>
      <c r="AG21" s="41"/>
      <c r="AH21" s="42"/>
    </row>
    <row r="22" spans="1:25" ht="13.5" hidden="1" thickBot="1" thickTop="1">
      <c r="A22" s="37"/>
      <c r="B22" s="89"/>
      <c r="C22" s="11"/>
      <c r="D22" s="37"/>
      <c r="E22" s="38"/>
      <c r="F22" s="39"/>
      <c r="G22" s="38" t="s">
        <v>54</v>
      </c>
      <c r="H22" s="38" t="e">
        <f>SUM(H18:H21)</f>
        <v>#REF!</v>
      </c>
      <c r="I22" s="39"/>
      <c r="J22" s="54" t="s">
        <v>2</v>
      </c>
      <c r="K22" s="32" t="e">
        <f>SUM(K18:K21)</f>
        <v>#REF!</v>
      </c>
      <c r="L22" s="32" t="e">
        <f>SUM(L18:L21)</f>
        <v>#REF!</v>
      </c>
      <c r="M22" s="32" t="e">
        <f>SUM(M18:M20)</f>
        <v>#REF!</v>
      </c>
      <c r="N22" s="33" t="e">
        <f>SUM(N18:N20)</f>
        <v>#REF!</v>
      </c>
      <c r="O22" s="33" t="e">
        <f>SUM(O18:O20)</f>
        <v>#REF!</v>
      </c>
      <c r="P22" s="33" t="e">
        <f>SUM(P18:P20)</f>
        <v>#REF!</v>
      </c>
      <c r="Q22" s="33" t="e">
        <f>SUM(Q18:Q21)</f>
        <v>#REF!</v>
      </c>
      <c r="R22" s="33" t="e">
        <f>SUM(R18:R21)</f>
        <v>#REF!</v>
      </c>
      <c r="S22" s="33" t="e">
        <f>SUM(S33:S35)</f>
        <v>#REF!</v>
      </c>
      <c r="T22" s="33" t="e">
        <f>SUM(T33:T35)</f>
        <v>#REF!</v>
      </c>
      <c r="U22" s="33" t="e">
        <f>SUM(U18:U21)</f>
        <v>#REF!</v>
      </c>
      <c r="V22" s="33" t="e">
        <f>SUM(V18:V20)</f>
        <v>#REF!</v>
      </c>
      <c r="W22" s="86" t="e">
        <f>SUM(W18:W21)</f>
        <v>#REF!</v>
      </c>
      <c r="X22" s="87" t="e">
        <f>SUM(X18:X21)</f>
        <v>#REF!</v>
      </c>
      <c r="Y22" s="34"/>
    </row>
    <row r="23" spans="1:26" ht="12.75" hidden="1" thickTop="1">
      <c r="A23" s="37"/>
      <c r="B23" s="38" t="s">
        <v>51</v>
      </c>
      <c r="C23" s="51" t="e">
        <f>SUM(C11:C22)</f>
        <v>#REF!</v>
      </c>
      <c r="D23" s="37"/>
      <c r="E23" s="38"/>
      <c r="F23" s="39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4"/>
      <c r="X23" s="43"/>
      <c r="Y23" s="43"/>
      <c r="Z23" s="36"/>
    </row>
    <row r="24" spans="1:26" ht="12.75" hidden="1">
      <c r="A24" s="37"/>
      <c r="B24" s="38"/>
      <c r="C24" s="38"/>
      <c r="D24" s="37"/>
      <c r="E24" s="38"/>
      <c r="F24" s="39"/>
      <c r="G24" s="38"/>
      <c r="H24" s="38"/>
      <c r="I24" s="39"/>
      <c r="J24" s="37"/>
      <c r="K24" s="55" t="s">
        <v>85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7"/>
      <c r="X24" s="38"/>
      <c r="Y24" s="38"/>
      <c r="Z24" s="39"/>
    </row>
    <row r="25" spans="1:35" ht="12.75" hidden="1">
      <c r="A25" s="47" t="s">
        <v>52</v>
      </c>
      <c r="B25" s="38"/>
      <c r="C25" s="65" t="e">
        <f>C23</f>
        <v>#REF!</v>
      </c>
      <c r="D25" s="37"/>
      <c r="E25" s="49"/>
      <c r="F25" s="50"/>
      <c r="G25" s="44" t="e">
        <f>IF(Eingabe!#REF!="Regelung Normalspannung",H18,0)</f>
        <v>#REF!</v>
      </c>
      <c r="H25" s="38"/>
      <c r="I25" s="39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64"/>
      <c r="X25" s="38"/>
      <c r="Y25" s="38"/>
      <c r="Z25" s="39"/>
      <c r="AH25" s="37" t="e">
        <f>IF(AND(Eingabe!#REF!="Schlüter®-BEKOTEC-Noppenplatte ohne Folie",Eingabe!#REF!="Beimischstation für zwei Heizkreise"),2,0)</f>
        <v>#REF!</v>
      </c>
      <c r="AI25" s="37" t="e">
        <f>IF(AND(Eingabe!#REF!="Schlüter®-BEKOTEC-Noppenplatte ohne Folie",Eingabe!#REF!="Beimischstation mit Thermostat für zwei Heizkreise"),2,0)</f>
        <v>#REF!</v>
      </c>
    </row>
    <row r="26" spans="1:35" ht="12.75" hidden="1">
      <c r="A26" s="37"/>
      <c r="B26" s="38"/>
      <c r="C26" s="38"/>
      <c r="D26" s="37"/>
      <c r="E26" s="38"/>
      <c r="F26" s="39"/>
      <c r="G26" s="44" t="e">
        <f>IF(Eingabe!#REF!="Regelung Normalspannung",H19,0)</f>
        <v>#REF!</v>
      </c>
      <c r="H26" s="38"/>
      <c r="I26" s="39"/>
      <c r="J26" s="37" t="s">
        <v>10</v>
      </c>
      <c r="K26" s="24" t="e">
        <f>IF(Eingabe!#REF!="Regelung Normalspannung",J3+K3,0)+IF(Eingabe!#REF!="Regelung Niederspannung",J3+K3,0)+IF(Eingabe!#REF!="Regelung Funk",J3+K3,0)+IF(Eingabe!#REF!="Regelung Kühlen/Heizen",J3+K3,0)</f>
        <v>#REF!</v>
      </c>
      <c r="L26" s="22" t="e">
        <f>IF(Eingabe!#REF!="Regelung Normalspannung",L3,0)+IF(Eingabe!#REF!="Regelung Niederspannung",L3,0)+IF(Eingabe!#REF!="Regelung Funk",L3,0)+IF(Eingabe!#REF!="Regelung Kühlen/Heizen",L3,0)</f>
        <v>#REF!</v>
      </c>
      <c r="M26" s="22" t="e">
        <f>IF(Eingabe!#REF!="Regelung Normalspannung",M3,0)+IF(Eingabe!#REF!="Regelung Niederspannung",M3,0)+IF(Eingabe!#REF!="Regelung Funk",M3,0)+IF(Eingabe!#REF!="Regelung Kühlen/Heizen",M3,0)</f>
        <v>#REF!</v>
      </c>
      <c r="N26" s="22" t="e">
        <f>IF(Eingabe!#REF!="Regelung Normalspannung",N3,0)+IF(Eingabe!#REF!="Regelung Niederspannung",N3,0)+IF(Eingabe!#REF!="Regelung Funk",N3,0)+IF(Eingabe!#REF!="Regelung Kühlen/Heizen",N3,0)</f>
        <v>#REF!</v>
      </c>
      <c r="O26" s="22" t="e">
        <f>IF(Eingabe!#REF!="Regelung Normalspannung",O3,0)+IF(Eingabe!#REF!="Regelung Niederspannung",O3,0)+IF(Eingabe!#REF!="Regelung Funk",O3,0)+IF(Eingabe!#REF!="Regelung Kühlen/Heizen",O3,0)</f>
        <v>#REF!</v>
      </c>
      <c r="P26" s="22" t="e">
        <f>IF(Eingabe!#REF!="Regelung Normalspannung",P3,0)+IF(Eingabe!#REF!="Regelung Niederspannung",P3,0)+IF(Eingabe!#REF!="Regelung Funk",P3,0)+IF(Eingabe!#REF!="Regelung Kühlen/Heizen",P3,0)</f>
        <v>#REF!</v>
      </c>
      <c r="Q26" s="22" t="e">
        <f>IF(Eingabe!#REF!="Regelung Normalspannung",Q3,0)+IF(Eingabe!#REF!="Regelung Niederspannung",Q3,0)+IF(Eingabe!#REF!="Regelung Funk",Q3,0)+IF(Eingabe!#REF!="Regelung Kühlen/Heizen",Q3,0)</f>
        <v>#REF!</v>
      </c>
      <c r="R26" s="22" t="e">
        <f>IF(Eingabe!#REF!="Regelung Normalspannung",R3,0)+IF(Eingabe!#REF!="Regelung Niederspannung",R3,0)+IF(Eingabe!#REF!="Regelung Funk",R3,0)+IF(Eingabe!#REF!="Regelung Kühlen/Heizen",R3,0)</f>
        <v>#REF!</v>
      </c>
      <c r="S26" s="22" t="e">
        <f>IF(Eingabe!#REF!="Regelung Normalspannung",S3,0)+IF(Eingabe!#REF!="Regelung Niederspannung",S3,0)+IF(Eingabe!#REF!="Regelung Funk",S3,0)+IF(Eingabe!#REF!="Regelung Kühlen/Heizen",B!S3,0)</f>
        <v>#REF!</v>
      </c>
      <c r="T26" s="22" t="e">
        <f>IF(Eingabe!#REF!="Regelung Normalspannung",T3,0)+IF(Eingabe!#REF!="Regelung Niederspannung",T3,0)+IF(Eingabe!#REF!="Regelung Funk",T3,0)+IF(Eingabe!#REF!="Regelung Kühlen/Heizen",B!T3,0)</f>
        <v>#REF!</v>
      </c>
      <c r="U26" s="22" t="e">
        <f>IF(Eingabe!#REF!="Regelung Normalspannung",U3,0)+IF(Eingabe!#REF!="Regelung Niederspannung",U3,0)+IF(Eingabe!#REF!="Regelung Funk",U3,0)+IF(Eingabe!#REF!="Regelung Kühlen/Heizen",U3,0)</f>
        <v>#REF!</v>
      </c>
      <c r="V26" s="38"/>
      <c r="W26" s="64"/>
      <c r="X26" s="38"/>
      <c r="Y26" s="38"/>
      <c r="Z26" s="39"/>
      <c r="AH26" s="37" t="e">
        <f>IF(AND(Eingabe!#REF!="Schlüter®-BEKOTEC-Noppenplatte ohne Folie",Eingabe!#REF!="Beimischstation für zwei Heizkreise"),2,0)</f>
        <v>#REF!</v>
      </c>
      <c r="AI26" s="37" t="e">
        <f>IF(AND(Eingabe!#REF!="Schlüter®-BEKOTEC-Noppenplatte ohne Folie",Eingabe!#REF!="Beimischstation mit Thermostat für zwei Heizkreise"),2,0)</f>
        <v>#REF!</v>
      </c>
    </row>
    <row r="27" spans="1:35" ht="12.75" hidden="1">
      <c r="A27" s="37"/>
      <c r="B27" s="38"/>
      <c r="C27" s="64"/>
      <c r="D27" s="37" t="s">
        <v>10</v>
      </c>
      <c r="E27" s="31" t="e">
        <f>IF(Eingabe!#REF!="Schlüter®-BEKOTEC-Noppenplatte aus druckstabiler Tiefzieh-Folie",E14,0)</f>
        <v>#REF!</v>
      </c>
      <c r="F27" s="39" t="e">
        <f>IF(Eingabe!#REF!="Regelung über RTB",0,E27)*OR(IF(Eingabe!#REF!="Regelung über RTBR",0,E27))</f>
        <v>#REF!</v>
      </c>
      <c r="G27" s="38" t="e">
        <f>+IF(Eingabe!#REF!="Regelung Normalspannung",H20,0)</f>
        <v>#REF!</v>
      </c>
      <c r="H27" s="38"/>
      <c r="I27" s="39"/>
      <c r="J27" s="37" t="s">
        <v>14</v>
      </c>
      <c r="K27" s="24" t="e">
        <f>IF(Eingabe!#REF!="Regelung Normalspannung",J4+K4,0)+IF(Eingabe!#REF!="Regelung Niederspannung",J4+K4,0)+IF(Eingabe!#REF!="Regelung Funk",J4+K4,0)+IF(Eingabe!#REF!="Regelung Kühlen/Heizen",J4+K4,0)</f>
        <v>#REF!</v>
      </c>
      <c r="L27" s="22" t="e">
        <f>IF(Eingabe!#REF!="Regelung Normalspannung",L4,0)+IF(Eingabe!#REF!="Regelung Niederspannung",L4,0)+IF(Eingabe!#REF!="Regelung Funk",L4,0)+IF(Eingabe!#REF!="Regelung Kühlen/Heizen",L4,0)</f>
        <v>#REF!</v>
      </c>
      <c r="M27" s="22" t="e">
        <f>IF(Eingabe!#REF!="Regelung Normalspannung",M4,0)+IF(Eingabe!#REF!="Regelung Niederspannung",M4,0)+IF(Eingabe!#REF!="Regelung Funk",M4,0)+IF(Eingabe!#REF!="Regelung Kühlen/Heizen",M4,0)</f>
        <v>#REF!</v>
      </c>
      <c r="N27" s="22" t="e">
        <f>IF(Eingabe!#REF!="Regelung Normalspannung",N4,0)+IF(Eingabe!#REF!="Regelung Niederspannung",N4,0)+IF(Eingabe!#REF!="Regelung Funk",N4,0)+IF(Eingabe!#REF!="Regelung Kühlen/Heizen",N4,0)</f>
        <v>#REF!</v>
      </c>
      <c r="O27" s="22" t="e">
        <f>IF(Eingabe!#REF!="Regelung Normalspannung",O4,0)+IF(Eingabe!#REF!="Regelung Niederspannung",O4,0)+IF(Eingabe!#REF!="Regelung Funk",O4,0)+IF(Eingabe!#REF!="Regelung Kühlen/Heizen",O4,0)</f>
        <v>#REF!</v>
      </c>
      <c r="P27" s="22" t="e">
        <f>IF(Eingabe!#REF!="Regelung Normalspannung",P4,0)+IF(Eingabe!#REF!="Regelung Niederspannung",P4,0)+IF(Eingabe!#REF!="Regelung Funk",P4,0)+IF(Eingabe!#REF!="Regelung Kühlen/Heizen",P4,0)</f>
        <v>#REF!</v>
      </c>
      <c r="Q27" s="22" t="e">
        <f>IF(Eingabe!#REF!="Regelung Normalspannung",Q4,0)+IF(Eingabe!#REF!="Regelung Niederspannung",Q4,0)+IF(Eingabe!#REF!="Regelung Funk",Q4,0)+IF(Eingabe!#REF!="Regelung Kühlen/Heizen",Q4,0)</f>
        <v>#REF!</v>
      </c>
      <c r="R27" s="22" t="e">
        <f>IF(Eingabe!#REF!="Regelung Normalspannung",R4,0)+IF(Eingabe!#REF!="Regelung Niederspannung",R4,0)+IF(Eingabe!#REF!="Regelung Funk",R4,0)+IF(Eingabe!#REF!="Regelung Kühlen/Heizen",R4,0)</f>
        <v>#REF!</v>
      </c>
      <c r="S27" s="22" t="e">
        <f>IF(Eingabe!#REF!="Regelung Normalspannung",S4,0)+IF(Eingabe!#REF!="Regelung Niederspannung",S4,0)+IF(Eingabe!#REF!="Regelung Funk",S4,0)+IF(Eingabe!#REF!="Regelung Kühlen/Heizen",B!S4,0)</f>
        <v>#REF!</v>
      </c>
      <c r="T27" s="22" t="e">
        <f>IF(Eingabe!#REF!="Regelung Normalspannung",T4,0)+IF(Eingabe!#REF!="Regelung Niederspannung",T4,0)+IF(Eingabe!#REF!="Regelung Funk",T4,0)+IF(Eingabe!#REF!="Regelung Kühlen/Heizen",T4,0)</f>
        <v>#REF!</v>
      </c>
      <c r="U27" s="22" t="e">
        <f>IF(Eingabe!#REF!="Regelung Normalspannung",U4,0)+IF(Eingabe!#REF!="Regelung Niederspannung",U4,0)+IF(Eingabe!#REF!="Regelung Funk",U4,0)+IF(Eingabe!#REF!="Regelung Kühlen/Heizen",U4,0)</f>
        <v>#REF!</v>
      </c>
      <c r="V27" s="38"/>
      <c r="W27" s="64"/>
      <c r="X27" s="38"/>
      <c r="Y27" s="38"/>
      <c r="Z27" s="39"/>
      <c r="AH27" s="37" t="e">
        <f>IF(AND(Eingabe!#REF!="Schlüter®-BEKOTEC-Noppenplatte ohne Folie",Eingabe!#REF!="Beimischstation für zwei Heizkreise"),2,0)</f>
        <v>#REF!</v>
      </c>
      <c r="AI27" s="37" t="e">
        <f>IF(AND(Eingabe!#REF!="Schlüter®-BEKOTEC-Noppenplatte ohne Folie",Eingabe!#REF!="Beimischstation mit Thermostat für zwei Heizkreise"),2,0)</f>
        <v>#REF!</v>
      </c>
    </row>
    <row r="28" spans="1:35" ht="12.75" hidden="1">
      <c r="A28" s="37"/>
      <c r="B28" s="38"/>
      <c r="C28" s="38"/>
      <c r="D28" s="37" t="s">
        <v>14</v>
      </c>
      <c r="E28" s="31" t="e">
        <f>IF(Eingabe!#REF!="Schlüter®-BEKOTEC-Noppenplatte aus druckstabiler Tiefzieh-Folie",E15,0)</f>
        <v>#REF!</v>
      </c>
      <c r="F28" s="39" t="e">
        <f>IF(Eingabe!#REF!="Regelung über RTB",0,E28)*OR(IF(Eingabe!#REF!="Regelung über RTBR",0,E28))</f>
        <v>#REF!</v>
      </c>
      <c r="G28" s="51" t="e">
        <f>SUM(G25:G27)</f>
        <v>#REF!</v>
      </c>
      <c r="H28" s="38"/>
      <c r="I28" s="39"/>
      <c r="J28" s="37" t="s">
        <v>72</v>
      </c>
      <c r="K28" s="24" t="e">
        <f>IF(Eingabe!#REF!="Regelung Normalspannung",J5+K5,0)+IF(Eingabe!#REF!="Regelung Niederspannung",J5+K5,0)+IF(Eingabe!#REF!="Regelung Funk",J5+K5,0)+IF(Eingabe!#REF!="Regelung Kühlen/Heizen",J5+K5,0)</f>
        <v>#REF!</v>
      </c>
      <c r="L28" s="22" t="e">
        <f>IF(Eingabe!#REF!="Regelung Normalspannung",L5,0)+IF(Eingabe!#REF!="Regelung Niederspannung",L5,0)+IF(Eingabe!#REF!="Regelung Funk",L5,0)+IF(Eingabe!#REF!="Regelung Kühlen/Heizen",L5,0)</f>
        <v>#REF!</v>
      </c>
      <c r="M28" s="22" t="e">
        <f>IF(Eingabe!#REF!="Regelung Normalspannung",M5,0)+IF(Eingabe!#REF!="Regelung Niederspannung",M5,0)+IF(Eingabe!#REF!="Regelung Funk",M5,0)+IF(Eingabe!#REF!="Regelung Kühlen/Heizen",M5,0)</f>
        <v>#REF!</v>
      </c>
      <c r="N28" s="22" t="e">
        <f>IF(Eingabe!#REF!="Regelung Normalspannung",N5,0)+IF(Eingabe!#REF!="Regelung Niederspannung",N5,0)+IF(Eingabe!#REF!="Regelung Funk",N5,0)+IF(Eingabe!#REF!="Regelung Kühlen/Heizen",N5,0)</f>
        <v>#REF!</v>
      </c>
      <c r="O28" s="22" t="e">
        <f>IF(Eingabe!#REF!="Regelung Normalspannung",O5,0)+IF(Eingabe!#REF!="Regelung Niederspannung",O5,0)+IF(Eingabe!#REF!="Regelung Funk",O5,0)+IF(Eingabe!#REF!="Regelung Kühlen/Heizen",O5,0)</f>
        <v>#REF!</v>
      </c>
      <c r="P28" s="22" t="e">
        <f>IF(Eingabe!#REF!="Regelung Normalspannung",P5,0)+IF(Eingabe!#REF!="Regelung Niederspannung",P5,0)+IF(Eingabe!#REF!="Regelung Funk",P5,0)+IF(Eingabe!#REF!="Regelung Kühlen/Heizen",P5,0)</f>
        <v>#REF!</v>
      </c>
      <c r="Q28" s="22" t="e">
        <f>IF(Eingabe!#REF!="Regelung Normalspannung",Q5,0)+IF(Eingabe!#REF!="Regelung Niederspannung",Q5,0)+IF(Eingabe!#REF!="Regelung Funk",Q5,0)+IF(Eingabe!#REF!="Regelung Kühlen/Heizen",Q5,0)</f>
        <v>#REF!</v>
      </c>
      <c r="R28" s="22" t="e">
        <f>IF(Eingabe!#REF!="Regelung Normalspannung",R5,0)+IF(Eingabe!#REF!="Regelung Niederspannung",R5,0)+IF(Eingabe!#REF!="Regelung Funk",R5,0)+IF(Eingabe!#REF!="Regelung Kühlen/Heizen",R5,0)</f>
        <v>#REF!</v>
      </c>
      <c r="S28" s="22" t="e">
        <f>IF(Eingabe!#REF!="Regelung Normalspannung",S5,0)+IF(Eingabe!#REF!="Regelung Niederspannung",S5,0)+IF(Eingabe!#REF!="Regelung Funk",S5,0)+IF(Eingabe!#REF!="Regelung Kühlen/Heizen",B!S5,0)</f>
        <v>#REF!</v>
      </c>
      <c r="T28" s="22" t="e">
        <f>IF(Eingabe!#REF!="Regelung Normalspannung",T5,0)+IF(Eingabe!#REF!="Regelung Niederspannung",T5,0)+IF(Eingabe!#REF!="Regelung Funk",T5,0)+IF(Eingabe!#REF!="Regelung Kühlen/Heizen",T5,0)</f>
        <v>#REF!</v>
      </c>
      <c r="U28" s="22" t="e">
        <f>IF(Eingabe!#REF!="Regelung Normalspannung",U5,0)+IF(Eingabe!#REF!="Regelung Niederspannung",U5,0)+IF(Eingabe!#REF!="Regelung Funk",U5,0)+IF(Eingabe!#REF!="Regelung Kühlen/Heizen",U5,0)</f>
        <v>#REF!</v>
      </c>
      <c r="V28" s="38"/>
      <c r="W28" s="37"/>
      <c r="X28" s="38"/>
      <c r="Y28" s="38"/>
      <c r="Z28" s="39"/>
      <c r="AH28" s="37" t="e">
        <f>IF(AND(Eingabe!#REF!="Schlüter®-BEKOTEC-Noppenplatte mit Folie",Eingabe!#REF!="Beimischstation für zwei Heizkreise"),2,0)</f>
        <v>#REF!</v>
      </c>
      <c r="AI28" s="88" t="e">
        <f>IF(AND(Eingabe!#REF!="Schlüter®-BEKOTEC-Noppenplatte mit Folie",Eingabe!#REF!="Beimischstation mit Thermostat für zwei Heizkreise"),2,0)</f>
        <v>#REF!</v>
      </c>
    </row>
    <row r="29" spans="1:35" ht="12.75" hidden="1">
      <c r="A29" s="37"/>
      <c r="B29" s="38"/>
      <c r="C29" s="38"/>
      <c r="D29" s="37" t="s">
        <v>72</v>
      </c>
      <c r="E29" s="31" t="e">
        <f>IF(Eingabe!#REF!="Schlüter®-BEKOTEC-Noppenplatte aus druckstabiler Tiefzieh-Folie",E16,0)</f>
        <v>#REF!</v>
      </c>
      <c r="F29" s="39" t="e">
        <f>IF(Eingabe!#REF!="Regelung über RTB",0,E29)*OR(IF(Eingabe!#REF!="Regelung über RTBR",0,E29))</f>
        <v>#REF!</v>
      </c>
      <c r="G29" s="38"/>
      <c r="H29" s="38"/>
      <c r="I29" s="39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/>
      <c r="X29" s="38"/>
      <c r="Y29" s="38"/>
      <c r="Z29" s="39"/>
      <c r="AA29" t="s">
        <v>100</v>
      </c>
      <c r="AF29" s="55" t="s">
        <v>101</v>
      </c>
      <c r="AH29" s="37" t="e">
        <f>IF(AND(Eingabe!#REF!="Schlüter®-BEKOTEC-Noppenplatte mit Folie",Eingabe!#REF!="Beimischstation für zwei Heizkreise"),2,0)</f>
        <v>#REF!</v>
      </c>
      <c r="AI29" s="88" t="e">
        <f>IF(AND(Eingabe!#REF!="Schlüter®-BEKOTEC-Noppenplatte mit Folie",Eingabe!#REF!="Beimischstation mit Thermostat für zwei Heizkreise"),2,0)</f>
        <v>#REF!</v>
      </c>
    </row>
    <row r="30" spans="1:35" ht="12.75" hidden="1">
      <c r="A30" s="37"/>
      <c r="B30" s="38"/>
      <c r="C30" s="38"/>
      <c r="D30" s="37"/>
      <c r="E30" s="38"/>
      <c r="F30" s="39"/>
      <c r="G30" s="44" t="e">
        <f>IF(Eingabe!#REF!="Regelung Niederspannung",H18,0)+IF(Eingabe!#REF!="Regelung Kühlen/Heizen",H18,0)</f>
        <v>#REF!</v>
      </c>
      <c r="H30" s="38"/>
      <c r="I30" s="39"/>
      <c r="J30" s="37" t="s">
        <v>54</v>
      </c>
      <c r="K30" s="51" t="e">
        <f>SUM(K26:K29)</f>
        <v>#REF!</v>
      </c>
      <c r="L30" s="51" t="e">
        <f>SUM(L26:L29)</f>
        <v>#REF!</v>
      </c>
      <c r="M30" s="51" t="e">
        <f>SUM(M26:M28)</f>
        <v>#REF!</v>
      </c>
      <c r="N30" s="51" t="e">
        <f aca="true" t="shared" si="5" ref="N30:U30">SUM(N26:N29)</f>
        <v>#REF!</v>
      </c>
      <c r="O30" s="51" t="e">
        <f t="shared" si="5"/>
        <v>#REF!</v>
      </c>
      <c r="P30" s="51" t="e">
        <f t="shared" si="5"/>
        <v>#REF!</v>
      </c>
      <c r="Q30" s="51" t="e">
        <f t="shared" si="5"/>
        <v>#REF!</v>
      </c>
      <c r="R30" s="51" t="e">
        <f t="shared" si="5"/>
        <v>#REF!</v>
      </c>
      <c r="S30" s="51" t="e">
        <f t="shared" si="5"/>
        <v>#REF!</v>
      </c>
      <c r="T30" s="51" t="e">
        <f t="shared" si="5"/>
        <v>#REF!</v>
      </c>
      <c r="U30" s="51" t="e">
        <f t="shared" si="5"/>
        <v>#REF!</v>
      </c>
      <c r="V30" s="38"/>
      <c r="W30" s="37" t="s">
        <v>97</v>
      </c>
      <c r="X30" s="38"/>
      <c r="Y30" s="38" t="s">
        <v>98</v>
      </c>
      <c r="Z30" s="39"/>
      <c r="AA30" t="s">
        <v>99</v>
      </c>
      <c r="AC30" t="s">
        <v>98</v>
      </c>
      <c r="AH30" s="37" t="e">
        <f>IF(AND(Eingabe!#REF!="Schlüter®-BEKOTEC-Noppenplatte mit Folie",Eingabe!#REF!="Beimischstation für zwei Heizkreise"),2,0)</f>
        <v>#REF!</v>
      </c>
      <c r="AI30" s="88" t="e">
        <f>IF(AND(Eingabe!#REF!="Schlüter®-BEKOTEC-Noppenplatte mit Folie",Eingabe!#REF!="Beimischstation mit Thermostat für zwei Heizkreise"),2,0)</f>
        <v>#REF!</v>
      </c>
    </row>
    <row r="31" spans="1:37" ht="12.75" hidden="1">
      <c r="A31" s="37"/>
      <c r="B31" s="38"/>
      <c r="C31" s="38"/>
      <c r="D31" s="37"/>
      <c r="E31" s="57"/>
      <c r="F31" s="39"/>
      <c r="G31" s="44" t="e">
        <f>IF(Eingabe!#REF!="Regelung Niederspannung",H19,0)+IF(Eingabe!#REF!="Regelung Kühlen/Heizen",H19,0)</f>
        <v>#REF!</v>
      </c>
      <c r="H31" s="38"/>
      <c r="I31" s="39"/>
      <c r="J31" s="37"/>
      <c r="K31" s="38"/>
      <c r="L31" s="38"/>
      <c r="M31" s="38"/>
      <c r="N31" s="38"/>
      <c r="O31" s="38"/>
      <c r="P31" s="38"/>
      <c r="Q31" s="38"/>
      <c r="R31" s="38"/>
      <c r="S31" s="38" t="s">
        <v>103</v>
      </c>
      <c r="T31" s="38" t="s">
        <v>103</v>
      </c>
      <c r="U31" s="38"/>
      <c r="V31" s="38"/>
      <c r="W31" s="37" t="e">
        <f>IF(AND(Eingabe!#REF!="Schlüter®-BEKOTEC-Noppenplatte ohne Folie",Eingabe!#REF!="Regelung über RTB"),(W18*2),0)</f>
        <v>#REF!</v>
      </c>
      <c r="X31" s="37" t="e">
        <f>IF(AND(Eingabe!#REF!="Schlüter®-BEKOTEC-Noppenplatte ohne Folie",Eingabe!#REF!="Regelung über RRB"),(X18*2),0)</f>
        <v>#REF!</v>
      </c>
      <c r="Y31" s="37" t="e">
        <f>IF(AND(Eingabe!#REF!="Schlüter®-BEKOTEC-Noppenplatte aus druckstabiler Tiefzieh-Folie",Eingabe!#REF!="Regelung über RTB"),(W18*2),0)</f>
        <v>#REF!</v>
      </c>
      <c r="Z31" s="37" t="e">
        <f>IF(AND(Eingabe!#REF!="Schlüter®-BEKOTEC-Noppenplatte aus druckstabiler Tiefzieh-Folie",Eingabe!#REF!="Regelung über RRB"),(X18*2),0)</f>
        <v>#REF!</v>
      </c>
      <c r="AA31" s="37" t="e">
        <f>IF(AND(Eingabe!#REF!="Schlüter®-BEKOTEC-Noppenplatte ohne Folie",Eingabe!#REF!="Regelung über RTB"),W18,0)</f>
        <v>#REF!</v>
      </c>
      <c r="AB31" s="88" t="e">
        <f>IF(AND(Eingabe!#REF!="Schlüter®-BEKOTEC-Noppenplatte ohne Folie",Eingabe!#REF!="Regelung über RRB"),X18,0)</f>
        <v>#REF!</v>
      </c>
      <c r="AC31" s="37" t="e">
        <f>IF(AND(Eingabe!#REF!="Schlüter®-BEKOTEC-Noppenplatte aus druckstabiler Tiefzieh-Folie",Eingabe!#REF!="Regelung über RTB"),W18,0)</f>
        <v>#REF!</v>
      </c>
      <c r="AD31" s="39" t="e">
        <f>IF(AND(Eingabe!#REF!="Schlüter®-BEKOTEC-Noppenplatte aus druckstabiler Tiefzieh-Folie",Eingabe!#REF!="Regelung über RRB"),X18,0)</f>
        <v>#REF!</v>
      </c>
      <c r="AF31" s="22" t="e">
        <f>IF(Eingabe!#REF!="Beimischstation für einen Heizkreis",1,0)+IF(Eingabe!#REF!="Beimischstation für zwei Heizkreise",1,0)</f>
        <v>#REF!</v>
      </c>
      <c r="AG31" s="22" t="e">
        <f>IF(Eingabe!#REF!="Beimischstation mit Thermostat für einen Heizkreis",1,0)+IF(Eingabe!#REF!="Beimischstation mit Thermostat für zwei Heizkreise",1,0)</f>
        <v>#REF!</v>
      </c>
      <c r="AH31" s="37" t="e">
        <f>IF(AND(Eingabe!#REF!="Schlüter®-BEKOTEC-Noppenplatte ohne Folie",Eingabe!#REF!="Beimischstation für einen Heizkreis"),1,0)</f>
        <v>#REF!</v>
      </c>
      <c r="AI31" s="37" t="e">
        <f>IF(AND(Eingabe!#REF!="Schlüter®-BEKOTEC-Noppenplatte ohne Folie",Eingabe!#REF!="Beimischstation mit Thermostat für einen Heizkreis"),1,0)</f>
        <v>#REF!</v>
      </c>
      <c r="AJ31" s="37" t="e">
        <f>IF(AND(Eingabe!#REF!="Schlüter®-BEKOTEC-Noppenplatte aus druckstabiler Tiefzieh-Folie",Eingabe!#REF!="Beimischstation für einen Heizkreis"),1,0)</f>
        <v>#REF!</v>
      </c>
      <c r="AK31" s="37" t="e">
        <f>IF(AND(Eingabe!#REF!="Schlüter®-BEKOTEC-Noppenplatte aus druckstabiler Tiefzieh-Folie",Eingabe!#REF!="Beimischstation mit Thermostat für einen Heizkreis"),1,0)</f>
        <v>#REF!</v>
      </c>
    </row>
    <row r="32" spans="1:37" ht="12.75" hidden="1">
      <c r="A32" s="37"/>
      <c r="B32" s="38"/>
      <c r="C32" s="38"/>
      <c r="D32" s="37"/>
      <c r="E32" s="38"/>
      <c r="F32" s="39"/>
      <c r="G32" s="44" t="e">
        <f>IF(Eingabe!#REF!="Regelung Niederspannung",H20,0)+IF(Eingabe!#REF!="Regelung Kühlen/Heizen",H20,0)</f>
        <v>#REF!</v>
      </c>
      <c r="H32" s="38"/>
      <c r="I32" s="39"/>
      <c r="J32" s="56" t="s">
        <v>86</v>
      </c>
      <c r="K32" s="38" t="s">
        <v>87</v>
      </c>
      <c r="L32" s="38" t="s">
        <v>88</v>
      </c>
      <c r="M32" s="38" t="s">
        <v>89</v>
      </c>
      <c r="N32" s="38"/>
      <c r="O32" s="66" t="s">
        <v>9</v>
      </c>
      <c r="P32" s="38"/>
      <c r="Q32" s="38"/>
      <c r="R32" s="38"/>
      <c r="S32" s="38" t="s">
        <v>104</v>
      </c>
      <c r="T32" s="38" t="s">
        <v>105</v>
      </c>
      <c r="U32" s="38"/>
      <c r="V32" s="38"/>
      <c r="W32" s="37" t="e">
        <f>IF(AND(Eingabe!#REF!="Schlüter®-BEKOTEC-Noppenplatte ohne Folie",Eingabe!#REF!="Regelung über RTB"),(W19*2),0)</f>
        <v>#REF!</v>
      </c>
      <c r="X32" s="37" t="e">
        <f>IF(AND(Eingabe!#REF!="Schlüter®-BEKOTEC-Noppenplatte ohne Folie",Eingabe!#REF!="Regelung über RRB"),(X19*2),0)</f>
        <v>#REF!</v>
      </c>
      <c r="Y32" s="37" t="e">
        <f>IF(AND(Eingabe!#REF!="Schlüter®-BEKOTEC-Noppenplatte aus druckstabiler Tiefzieh-Folie",Eingabe!#REF!="Regelung über RTB"),(W19*2),0)</f>
        <v>#REF!</v>
      </c>
      <c r="Z32" s="37" t="e">
        <f>IF(AND(Eingabe!#REF!="Schlüter®-BEKOTEC-Noppenplatte aus druckstabiler Tiefzieh-Folie",Eingabe!#REF!="Regelung über RRB"),(X19*2),0)</f>
        <v>#REF!</v>
      </c>
      <c r="AA32" s="37" t="e">
        <f>IF(AND(Eingabe!#REF!="Schlüter®-BEKOTEC-Noppenplatte ohne Folie",Eingabe!#REF!="Regelung über RTB"),W19,0)</f>
        <v>#REF!</v>
      </c>
      <c r="AB32" s="88" t="e">
        <f>IF(AND(Eingabe!#REF!="Schlüter®-BEKOTEC-Noppenplatte ohne Folie",Eingabe!#REF!="Regelung über RRB"),X19,0)</f>
        <v>#REF!</v>
      </c>
      <c r="AC32" s="37" t="e">
        <f>IF(AND(Eingabe!#REF!="Schlüter®-BEKOTEC-Noppenplatte aus druckstabiler Tiefzieh-Folie",Eingabe!#REF!="Regelung über RTB"),W19,0)</f>
        <v>#REF!</v>
      </c>
      <c r="AD32" s="39" t="e">
        <f>IF(AND(Eingabe!#REF!="Schlüter®-BEKOTEC-Noppenplatte aus druckstabiler Tiefzieh-Folie",Eingabe!#REF!="Regelung über RRB"),X19,0)</f>
        <v>#REF!</v>
      </c>
      <c r="AF32" s="22" t="e">
        <f>IF(Eingabe!#REF!="Beimischstation für einen Heizkreis",1,0)+IF(Eingabe!#REF!="Beimischstation für zwei Heizkreise",1,0)</f>
        <v>#REF!</v>
      </c>
      <c r="AG32" s="22" t="e">
        <f>IF(Eingabe!#REF!="Beimischstation mit Thermostat für einen Heizkreis",1,0)+IF(Eingabe!#REF!="Beimischstation mit Thermostat für zwei Heizkreise",1,0)</f>
        <v>#REF!</v>
      </c>
      <c r="AH32" s="37" t="e">
        <f>IF(AND(Eingabe!#REF!="Schlüter®-BEKOTEC-Noppenplatte ohne Folie",Eingabe!#REF!="Beimischstation für einen Heizkreis"),1,0)</f>
        <v>#REF!</v>
      </c>
      <c r="AI32" s="37" t="e">
        <f>IF(AND(Eingabe!#REF!="Schlüter®-BEKOTEC-Noppenplatte ohne Folie",Eingabe!#REF!="Beimischstation mit Thermostat für einen Heizkreis"),1,0)</f>
        <v>#REF!</v>
      </c>
      <c r="AJ32" s="37" t="e">
        <f>IF(AND(Eingabe!#REF!="Schlüter®-BEKOTEC-Noppenplatte aus druckstabiler Tiefzieh-Folie",Eingabe!#REF!="Beimischstation für einen Heizkreis"),1,0)</f>
        <v>#REF!</v>
      </c>
      <c r="AK32" s="37" t="e">
        <f>IF(AND(Eingabe!#REF!="Schlüter®-BEKOTEC-Noppenplatte aus druckstabiler Tiefzieh-Folie",Eingabe!#REF!="Beimischstation mit Thermostat für einen Heizkreis"),1,0)</f>
        <v>#REF!</v>
      </c>
    </row>
    <row r="33" spans="1:37" ht="13.5" hidden="1" thickBot="1">
      <c r="A33" s="37"/>
      <c r="B33" s="38"/>
      <c r="C33" s="38"/>
      <c r="D33" s="49"/>
      <c r="E33" s="63"/>
      <c r="F33" s="39"/>
      <c r="G33" s="51" t="e">
        <f>SUM(G30:G32)</f>
        <v>#REF!</v>
      </c>
      <c r="H33" s="38"/>
      <c r="I33" s="39"/>
      <c r="J33" s="37" t="s">
        <v>10</v>
      </c>
      <c r="K33" s="31" t="e">
        <f>IF(Eingabe!#REF!="Schlüter®-BEKOTEC-Noppenplatte ohne Folie",G3,0)</f>
        <v>#REF!</v>
      </c>
      <c r="L33" s="31" t="e">
        <f>IF(Eingabe!#REF!="Schlüter®-BEKOTEC-Noppenplatte mit Folie",G3,0)</f>
        <v>#REF!</v>
      </c>
      <c r="M33" s="31" t="e">
        <f>IF(Eingabe!#REF!="Schlüter®-BEKOTEC-Noppenplatte aus druckstabiler Tiefzieh-Folie",G3,0)</f>
        <v>#REF!</v>
      </c>
      <c r="N33" s="38" t="s">
        <v>10</v>
      </c>
      <c r="O33" s="38" t="e">
        <f>IF(Eingabe!#REF!="Schlüter®-BEKOTEC-Noppenplatte ohne Folie",1,0)+IF(Eingabe!#REF!="Schlüter®-BEKOTEC-Noppenplatte mit Folie",1,0)+IF(Eingabe!#REF!="Schlüter®-BEKOTEC-Noppenplatte aus druckstabiler Tiefzieh-Folie",1,0)</f>
        <v>#REF!</v>
      </c>
      <c r="P33" s="38"/>
      <c r="Q33" s="38"/>
      <c r="R33" s="38"/>
      <c r="S33" s="38" t="e">
        <f>IF(Eingabe!#REF!=1,0,S18)</f>
        <v>#REF!</v>
      </c>
      <c r="T33" s="38" t="e">
        <f>IF(Eingabe!#REF!=1,0,T18)</f>
        <v>#REF!</v>
      </c>
      <c r="U33" s="38"/>
      <c r="V33" s="38"/>
      <c r="W33" s="37" t="e">
        <f>IF(AND(Eingabe!#REF!="Schlüter®-BEKOTEC-Noppenplatte ohne Folie",Eingabe!#REF!="Regelung über RTB"),(W20*2),0)</f>
        <v>#REF!</v>
      </c>
      <c r="X33" s="37" t="e">
        <f>IF(AND(Eingabe!#REF!="Schlüter®-BEKOTEC-Noppenplatte ohne Folie",Eingabe!#REF!="Regelung über RRB"),(X20*2),0)</f>
        <v>#REF!</v>
      </c>
      <c r="Y33" s="37" t="e">
        <f>IF(AND(Eingabe!#REF!="Schlüter®-BEKOTEC-Noppenplatte aus druckstabiler Tiefzieh-Folie",Eingabe!#REF!="Regelung über RTB"),(W20*2),0)</f>
        <v>#REF!</v>
      </c>
      <c r="Z33" s="37" t="e">
        <f>IF(AND(Eingabe!#REF!="Schlüter®-BEKOTEC-Noppenplatte aus druckstabiler Tiefzieh-Folie",Eingabe!#REF!="Regelung über RRB"),(X20*2),0)</f>
        <v>#REF!</v>
      </c>
      <c r="AA33" s="37" t="e">
        <f>IF(AND(Eingabe!#REF!="Schlüter®-BEKOTEC-Noppenplatte ohne Folie",Eingabe!#REF!="Regelung über RTB"),W20,0)</f>
        <v>#REF!</v>
      </c>
      <c r="AB33" s="88" t="e">
        <f>IF(AND(Eingabe!#REF!="Schlüter®-BEKOTEC-Noppenplatte ohne Folie",Eingabe!#REF!="Regelung über RRB"),X20,0)</f>
        <v>#REF!</v>
      </c>
      <c r="AC33" s="37" t="e">
        <f>IF(AND(Eingabe!#REF!="Schlüter®-BEKOTEC-Noppenplatte aus druckstabiler Tiefzieh-Folie",Eingabe!#REF!="Regelung über RTB"),W20,0)</f>
        <v>#REF!</v>
      </c>
      <c r="AD33" s="39" t="e">
        <f>IF(AND(Eingabe!#REF!="Schlüter®-BEKOTEC-Noppenplatte aus druckstabiler Tiefzieh-Folie",Eingabe!#REF!="Regelung über RRB"),X20,0)</f>
        <v>#REF!</v>
      </c>
      <c r="AF33" s="22" t="e">
        <f>IF(Eingabe!#REF!="Beimischstation für einen Heizkreis",1,0)+IF(Eingabe!#REF!="Beimischstation für zwei Heizkreise",1,0)</f>
        <v>#REF!</v>
      </c>
      <c r="AG33" s="22" t="e">
        <f>IF(Eingabe!#REF!="Beimischstation mit Thermostat für einen Heizkreis",1,0)+IF(Eingabe!#REF!="Beimischstation mit Thermostat für zwei Heizkreise",1,0)</f>
        <v>#REF!</v>
      </c>
      <c r="AH33" s="37" t="e">
        <f>IF(AND(Eingabe!#REF!="Schlüter®-BEKOTEC-Noppenplatte ohne Folie",Eingabe!#REF!="Beimischstation für einen Heizkreis"),1,0)</f>
        <v>#REF!</v>
      </c>
      <c r="AI33" s="37" t="e">
        <f>IF(AND(Eingabe!#REF!="Schlüter®-BEKOTEC-Noppenplatte ohne Folie",Eingabe!#REF!="Beimischstation mit Thermostat für einen Heizkreis"),1,0)</f>
        <v>#REF!</v>
      </c>
      <c r="AJ33" s="37" t="e">
        <f>IF(AND(Eingabe!#REF!="Schlüter®-BEKOTEC-Noppenplatte aus druckstabiler Tiefzieh-Folie",Eingabe!#REF!="Beimischstation für einen Heizkreis"),1,0)</f>
        <v>#REF!</v>
      </c>
      <c r="AK33" s="37" t="e">
        <f>IF(AND(Eingabe!#REF!="Schlüter®-BEKOTEC-Noppenplatte aus druckstabiler Tiefzieh-Folie",Eingabe!#REF!="Beimischstation mit Thermostat für einen Heizkreis"),1,0)</f>
        <v>#REF!</v>
      </c>
    </row>
    <row r="34" spans="1:37" ht="12.75" hidden="1" thickTop="1">
      <c r="A34" s="37"/>
      <c r="B34" s="38"/>
      <c r="C34" s="38"/>
      <c r="D34" s="37" t="s">
        <v>90</v>
      </c>
      <c r="E34" s="63" t="e">
        <f>SUM(F13:F29)</f>
        <v>#REF!</v>
      </c>
      <c r="F34" s="39"/>
      <c r="G34" s="38"/>
      <c r="H34" s="38"/>
      <c r="I34" s="39"/>
      <c r="J34" s="37" t="s">
        <v>14</v>
      </c>
      <c r="K34" s="31" t="e">
        <f>IF(Eingabe!#REF!="Schlüter®-BEKOTEC-Noppenplatte ohne Folie",G4,0)</f>
        <v>#REF!</v>
      </c>
      <c r="L34" s="31" t="e">
        <f>IF(Eingabe!#REF!="Schlüter®-BEKOTEC-Noppenplatte mit Folie",G4,0)</f>
        <v>#REF!</v>
      </c>
      <c r="M34" s="31" t="e">
        <f>IF(Eingabe!#REF!="Schlüter®-BEKOTEC-Noppenplatte aus druckstabiler Tiefzieh-Folie",G4,0)</f>
        <v>#REF!</v>
      </c>
      <c r="N34" s="38" t="s">
        <v>14</v>
      </c>
      <c r="O34" s="38" t="e">
        <f>IF(Eingabe!#REF!="Schlüter®-BEKOTEC-Noppenplatte ohne Folie",1,0)+IF(Eingabe!#REF!="Schlüter®-BEKOTEC-Noppenplatte mit Folie",1,0)+IF(Eingabe!#REF!="Schlüter®-BEKOTEC-Noppenplatte aus druckstabiler Tiefzieh-Folie",1,0)</f>
        <v>#REF!</v>
      </c>
      <c r="P34" s="38"/>
      <c r="Q34" s="38"/>
      <c r="R34" s="38"/>
      <c r="S34" s="38" t="e">
        <f>IF(Eingabe!#REF!=1,0,S19)</f>
        <v>#REF!</v>
      </c>
      <c r="T34" s="38" t="e">
        <f>IF(Eingabe!#REF!=1,0,T19)</f>
        <v>#REF!</v>
      </c>
      <c r="U34" s="38"/>
      <c r="V34" s="38"/>
      <c r="W34" s="37" t="e">
        <f>IF(AND(Eingabe!#REF!="Schlüter®-BEKOTEC-Noppenplatte mit Folie",Eingabe!#REF!="Regelung über RTB"),(W18*2),0)</f>
        <v>#REF!</v>
      </c>
      <c r="X34" s="37" t="e">
        <f>IF(AND(Eingabe!#REF!="Schlüter®-BEKOTEC-Noppenplatte mit Folie",Eingabe!#REF!="Regelung über RRB"),(X18*2),0)</f>
        <v>#REF!</v>
      </c>
      <c r="Y34" s="37"/>
      <c r="Z34" s="39"/>
      <c r="AA34" s="37" t="e">
        <f>IF(AND(Eingabe!#REF!="Schlüter®-BEKOTEC-Noppenplatte mit Folie",Eingabe!#REF!="Regelung über RTB"),W18,0)</f>
        <v>#REF!</v>
      </c>
      <c r="AB34" s="88" t="e">
        <f>IF(AND(Eingabe!#REF!="Schlüter®-BEKOTEC-Noppenplatte mit Folie",Eingabe!#REF!="Regelung über RRB"),X18,0)</f>
        <v>#REF!</v>
      </c>
      <c r="AC34" s="37"/>
      <c r="AD34" s="39"/>
      <c r="AF34" s="86" t="e">
        <f>SUM(AF31:AF33)</f>
        <v>#REF!</v>
      </c>
      <c r="AG34" s="86" t="e">
        <f>SUM(AG31:AG33)</f>
        <v>#REF!</v>
      </c>
      <c r="AH34" s="37" t="e">
        <f>IF(AND(Eingabe!#REF!="Schlüter®-BEKOTEC-Noppenplatte mit Folie",Eingabe!#REF!="Beimischstation für einen Heizkreis"),1,0)</f>
        <v>#REF!</v>
      </c>
      <c r="AI34" s="88" t="e">
        <f>IF(AND(Eingabe!#REF!="Schlüter®-BEKOTEC-Noppenplatte mit Folie",Eingabe!#REF!="Beimischstation mit Thermostat für einen Heizkreis"),1,0)</f>
        <v>#REF!</v>
      </c>
      <c r="AJ34" s="37" t="e">
        <f>IF(AND(Eingabe!#REF!="Schlüter®-BEKOTEC-Noppenplatte aus druckstabiler Tiefzieh-Folie",Eingabe!#REF!="Beimischstation für zwei Heizkreise"),2,0)</f>
        <v>#REF!</v>
      </c>
      <c r="AK34" s="37" t="e">
        <f>IF(AND(Eingabe!#REF!="Schlüter®-BEKOTEC-Noppenplatte aus druckstabiler Tiefzieh-Folie",Eingabe!#REF!="Beimischstation mit Thermostat für zwei Heizkreise"),2,0)</f>
        <v>#REF!</v>
      </c>
    </row>
    <row r="35" spans="1:37" ht="12.75" hidden="1">
      <c r="A35" s="37"/>
      <c r="B35" s="38"/>
      <c r="C35" s="38"/>
      <c r="D35" s="37"/>
      <c r="E35" s="11"/>
      <c r="F35" s="39"/>
      <c r="G35" s="37"/>
      <c r="H35" s="38"/>
      <c r="I35" s="39"/>
      <c r="J35" s="37" t="s">
        <v>72</v>
      </c>
      <c r="K35" s="31" t="e">
        <f>IF(Eingabe!#REF!="Schlüter®-BEKOTEC-Noppenplatte ohne Folie",G5,0)</f>
        <v>#REF!</v>
      </c>
      <c r="L35" s="31" t="e">
        <f>IF(Eingabe!#REF!="Schlüter®-BEKOTEC-Noppenplatte mit Folie",G5,0)</f>
        <v>#REF!</v>
      </c>
      <c r="M35" s="31" t="e">
        <f>IF(Eingabe!#REF!="Schlüter®-BEKOTEC-Noppenplatte aus druckstabiler Tiefzieh-Folie",G5,0)</f>
        <v>#REF!</v>
      </c>
      <c r="N35" s="38" t="s">
        <v>72</v>
      </c>
      <c r="O35" s="38" t="e">
        <f>IF(Eingabe!#REF!="Schlüter®-BEKOTEC-Noppenplatte ohne Folie",1,0)+IF(Eingabe!#REF!="Schlüter®-BEKOTEC-Noppenplatte mit Folie",1,0)+IF(Eingabe!#REF!="Schlüter®-BEKOTEC-Noppenplatte aus druckstabiler Tiefzieh-Folie",1,0)</f>
        <v>#REF!</v>
      </c>
      <c r="P35" s="38"/>
      <c r="Q35" s="38"/>
      <c r="R35" s="38"/>
      <c r="S35" s="38" t="e">
        <f>IF(Eingabe!#REF!=1,0,S20)</f>
        <v>#REF!</v>
      </c>
      <c r="T35" s="38" t="e">
        <f>IF(Eingabe!#REF!=1,0,T20)</f>
        <v>#REF!</v>
      </c>
      <c r="U35" s="38"/>
      <c r="V35" s="38"/>
      <c r="W35" s="37" t="e">
        <f>IF(AND(Eingabe!#REF!="Schlüter®-BEKOTEC-Noppenplatte mit Folie",Eingabe!#REF!="Regelung über RTB"),(W19*2),0)</f>
        <v>#REF!</v>
      </c>
      <c r="X35" s="37" t="e">
        <f>IF(AND(Eingabe!#REF!="Schlüter®-BEKOTEC-Noppenplatte mit Folie",Eingabe!#REF!="Regelung über RRB"),(X19*2),0)</f>
        <v>#REF!</v>
      </c>
      <c r="Y35" s="37"/>
      <c r="Z35" s="39"/>
      <c r="AA35" s="37" t="e">
        <f>IF(AND(Eingabe!#REF!="Schlüter®-BEKOTEC-Noppenplatte mit Folie",Eingabe!#REF!="Regelung über RTB"),W19,0)</f>
        <v>#REF!</v>
      </c>
      <c r="AB35" s="88" t="e">
        <f>IF(AND(Eingabe!#REF!="Schlüter®-BEKOTEC-Noppenplatte mit Folie",Eingabe!#REF!="Regelung über RRB"),X19,0)</f>
        <v>#REF!</v>
      </c>
      <c r="AC35" s="37"/>
      <c r="AD35" s="39"/>
      <c r="AH35" s="37" t="e">
        <f>IF(AND(Eingabe!#REF!="Schlüter®-BEKOTEC-Noppenplatte mit Folie",Eingabe!#REF!="Beimischstation für einen Heizkreis"),1,0)</f>
        <v>#REF!</v>
      </c>
      <c r="AI35" s="88" t="e">
        <f>IF(AND(Eingabe!#REF!="Schlüter®-BEKOTEC-Noppenplatte mit Folie",Eingabe!#REF!="Beimischstation mit Thermostat für einen Heizkreis"),1,0)</f>
        <v>#REF!</v>
      </c>
      <c r="AJ35" s="37" t="e">
        <f>IF(AND(Eingabe!#REF!="Schlüter®-BEKOTEC-Noppenplatte aus druckstabiler Tiefzieh-Folie",Eingabe!#REF!="Beimischstation für zwei Heizkreise"),2,0)</f>
        <v>#REF!</v>
      </c>
      <c r="AK35" s="37" t="e">
        <f>IF(AND(Eingabe!#REF!="Schlüter®-BEKOTEC-Noppenplatte aus druckstabiler Tiefzieh-Folie",Eingabe!#REF!="Beimischstation mit Thermostat für zwei Heizkreise"),2,0)</f>
        <v>#REF!</v>
      </c>
    </row>
    <row r="36" spans="1:37" ht="12.75" hidden="1" thickBot="1">
      <c r="A36" s="37"/>
      <c r="B36" s="38"/>
      <c r="C36" s="38"/>
      <c r="D36" s="37"/>
      <c r="E36" s="11"/>
      <c r="F36" s="39"/>
      <c r="G36" s="22" t="e">
        <f>IF(Eingabe!#REF!="Regelung Kühlen/Heizen",T18,0)</f>
        <v>#REF!</v>
      </c>
      <c r="H36" s="38"/>
      <c r="I36" s="39"/>
      <c r="J36" s="37"/>
      <c r="K36" s="38"/>
      <c r="L36" s="38"/>
      <c r="M36" s="38"/>
      <c r="N36" s="38"/>
      <c r="O36" s="38"/>
      <c r="P36" s="38"/>
      <c r="Q36" s="38"/>
      <c r="R36" s="38"/>
      <c r="S36" s="38" t="s">
        <v>103</v>
      </c>
      <c r="T36" s="38" t="s">
        <v>103</v>
      </c>
      <c r="U36" s="38"/>
      <c r="V36" s="38"/>
      <c r="W36" s="37" t="e">
        <f>IF(AND(Eingabe!#REF!="Schlüter®-BEKOTEC-Noppenplatte mit Folie",Eingabe!#REF!="Regelung über RTB"),(W20*2),0)</f>
        <v>#REF!</v>
      </c>
      <c r="X36" s="37" t="e">
        <f>IF(AND(Eingabe!#REF!="Schlüter®-BEKOTEC-Noppenplatte mit Folie",Eingabe!#REF!="Regelung über RRB"),(X20*2),0)</f>
        <v>#REF!</v>
      </c>
      <c r="Y36" s="37"/>
      <c r="Z36" s="39"/>
      <c r="AA36" s="37" t="e">
        <f>IF(AND(Eingabe!#REF!="Schlüter®-BEKOTEC-Noppenplatte mit Folie",Eingabe!#REF!="Regelung über RTB"),W20,0)</f>
        <v>#REF!</v>
      </c>
      <c r="AB36" s="88" t="e">
        <f>IF(AND(Eingabe!#REF!="Schlüter®-BEKOTEC-Noppenplatte mit Folie",Eingabe!#REF!="Regelung über RRB"),X20,0)</f>
        <v>#REF!</v>
      </c>
      <c r="AC36" s="40"/>
      <c r="AD36" s="42"/>
      <c r="AH36" s="37" t="e">
        <f>IF(AND(Eingabe!#REF!="Schlüter®-BEKOTEC-Noppenplatte mit Folie",Eingabe!#REF!="Beimischstation für einen Heizkreis"),1,0)</f>
        <v>#REF!</v>
      </c>
      <c r="AI36" s="88" t="e">
        <f>IF(AND(Eingabe!#REF!="Schlüter®-BEKOTEC-Noppenplatte mit Folie",Eingabe!#REF!="Beimischstation mit Thermostat für einen Heizkreis"),1,0)</f>
        <v>#REF!</v>
      </c>
      <c r="AJ36" s="37" t="e">
        <f>IF(AND(Eingabe!#REF!="Schlüter®-BEKOTEC-Noppenplatte aus druckstabiler Tiefzieh-Folie",Eingabe!#REF!="Beimischstation für zwei Heizkreise"),2,0)</f>
        <v>#REF!</v>
      </c>
      <c r="AK36" s="37" t="e">
        <f>IF(AND(Eingabe!#REF!="Schlüter®-BEKOTEC-Noppenplatte aus druckstabiler Tiefzieh-Folie",Eingabe!#REF!="Beimischstation mit Thermostat für zwei Heizkreise"),2,0)</f>
        <v>#REF!</v>
      </c>
    </row>
    <row r="37" spans="1:37" ht="13.5" hidden="1" thickBot="1" thickTop="1">
      <c r="A37" s="37"/>
      <c r="B37" s="38"/>
      <c r="C37" s="38"/>
      <c r="D37" s="37"/>
      <c r="E37" s="38"/>
      <c r="F37" s="39"/>
      <c r="G37" s="22" t="e">
        <f>IF(Eingabe!#REF!="Regelung Kühlen/Heizen",T19,0)</f>
        <v>#REF!</v>
      </c>
      <c r="H37" s="38"/>
      <c r="I37" s="39"/>
      <c r="J37" s="37" t="s">
        <v>54</v>
      </c>
      <c r="K37" s="57" t="e">
        <f>SUM(K33:K35)</f>
        <v>#REF!</v>
      </c>
      <c r="L37" s="57" t="e">
        <f>SUM(L33:L35)</f>
        <v>#REF!</v>
      </c>
      <c r="M37" s="57" t="e">
        <f>SUM(M33:M35)</f>
        <v>#REF!</v>
      </c>
      <c r="N37" s="38"/>
      <c r="O37" s="38"/>
      <c r="P37" s="38"/>
      <c r="Q37" s="38"/>
      <c r="R37" s="38"/>
      <c r="S37" s="38" t="e">
        <f>IF(Eingabe!#REF!=1,S18,0)</f>
        <v>#REF!</v>
      </c>
      <c r="T37" s="38" t="e">
        <f>IF(Eingabe!#REF!=1,T18,0)</f>
        <v>#REF!</v>
      </c>
      <c r="U37" s="38"/>
      <c r="V37" s="38"/>
      <c r="W37" s="54" t="e">
        <f aca="true" t="shared" si="6" ref="W37:AD37">SUM(W31:W36)</f>
        <v>#REF!</v>
      </c>
      <c r="X37" s="85" t="e">
        <f t="shared" si="6"/>
        <v>#REF!</v>
      </c>
      <c r="Y37" s="54" t="e">
        <f t="shared" si="6"/>
        <v>#REF!</v>
      </c>
      <c r="Z37" s="85" t="e">
        <f t="shared" si="6"/>
        <v>#REF!</v>
      </c>
      <c r="AA37" s="54" t="e">
        <f t="shared" si="6"/>
        <v>#REF!</v>
      </c>
      <c r="AB37" s="85" t="e">
        <f t="shared" si="6"/>
        <v>#REF!</v>
      </c>
      <c r="AC37" s="89" t="e">
        <f t="shared" si="6"/>
        <v>#REF!</v>
      </c>
      <c r="AD37" s="89" t="e">
        <f t="shared" si="6"/>
        <v>#REF!</v>
      </c>
      <c r="AH37" s="54" t="e">
        <f>SUM(AH25:AH36)</f>
        <v>#REF!</v>
      </c>
      <c r="AI37" s="85" t="e">
        <f>SUM(AI25:AI36)</f>
        <v>#REF!</v>
      </c>
      <c r="AJ37" s="90" t="e">
        <f>SUM(AJ31:AJ36)</f>
        <v>#REF!</v>
      </c>
      <c r="AK37" s="91" t="e">
        <f>SUM(AK31:AK36)</f>
        <v>#REF!</v>
      </c>
    </row>
    <row r="38" spans="1:36" ht="12.75" hidden="1" thickTop="1">
      <c r="A38" s="37"/>
      <c r="B38" s="38"/>
      <c r="C38" s="38"/>
      <c r="D38" s="37"/>
      <c r="E38" s="38"/>
      <c r="F38" s="39"/>
      <c r="G38" s="22" t="e">
        <f>IF(Eingabe!#REF!="Regelung Kühlen/Heizen",T20,0)</f>
        <v>#REF!</v>
      </c>
      <c r="H38" s="38"/>
      <c r="I38" s="39"/>
      <c r="J38" s="37"/>
      <c r="K38" s="38"/>
      <c r="L38" s="38"/>
      <c r="M38" s="38"/>
      <c r="N38" s="38"/>
      <c r="O38" s="38"/>
      <c r="P38" s="38"/>
      <c r="Q38" s="38"/>
      <c r="R38" s="38"/>
      <c r="S38" s="38" t="e">
        <f>IF(Eingabe!#REF!=1,S19,0)</f>
        <v>#REF!</v>
      </c>
      <c r="T38" s="38" t="e">
        <f>IF(Eingabe!#REF!=1,T19,0)</f>
        <v>#REF!</v>
      </c>
      <c r="U38" s="38"/>
      <c r="V38" s="38"/>
      <c r="W38" s="34" t="e">
        <f>W37+X37+Y37+Z37</f>
        <v>#REF!</v>
      </c>
      <c r="X38" s="43"/>
      <c r="Y38" s="34"/>
      <c r="Z38" s="36"/>
      <c r="AA38" t="e">
        <f>AA37+AB37</f>
        <v>#REF!</v>
      </c>
      <c r="AC38" t="e">
        <f>AC37+AD37</f>
        <v>#REF!</v>
      </c>
      <c r="AH38" s="96" t="e">
        <f>AH37+AI37</f>
        <v>#REF!</v>
      </c>
      <c r="AJ38" t="e">
        <f>AJ37+AK37</f>
        <v>#REF!</v>
      </c>
    </row>
    <row r="39" spans="1:32" ht="12.75" hidden="1" thickBot="1">
      <c r="A39" s="37"/>
      <c r="B39" s="38"/>
      <c r="C39" s="38"/>
      <c r="D39" s="37"/>
      <c r="E39" s="38"/>
      <c r="F39" s="39"/>
      <c r="G39" s="64" t="e">
        <f>SUM(G36:G38)</f>
        <v>#REF!</v>
      </c>
      <c r="H39" s="38"/>
      <c r="I39" s="39"/>
      <c r="J39" s="37"/>
      <c r="K39" s="38"/>
      <c r="L39" s="38"/>
      <c r="M39" s="38"/>
      <c r="N39" s="38"/>
      <c r="O39" s="38"/>
      <c r="P39" s="38"/>
      <c r="Q39" s="38"/>
      <c r="R39" s="38"/>
      <c r="S39" s="38" t="e">
        <f>IF(Eingabe!#REF!=1,S20,0)</f>
        <v>#REF!</v>
      </c>
      <c r="T39" s="38" t="e">
        <f>IF(Eingabe!#REF!=1,T20,0)</f>
        <v>#REF!</v>
      </c>
      <c r="U39" s="38"/>
      <c r="V39" s="38"/>
      <c r="W39" s="93" t="e">
        <f>(AF34+AG34)*2</f>
        <v>#REF!</v>
      </c>
      <c r="X39" s="41"/>
      <c r="Y39" s="40"/>
      <c r="Z39" s="42"/>
      <c r="AF39" s="22" t="e">
        <f>IF(Eingabe!#REF!="Beimischstation für zwei Heizkreise",1,0)</f>
        <v>#REF!</v>
      </c>
    </row>
    <row r="40" spans="1:32" ht="12.75" hidden="1" thickTop="1">
      <c r="A40" s="37"/>
      <c r="B40" s="38"/>
      <c r="C40" s="38"/>
      <c r="D40" s="37"/>
      <c r="E40" s="38"/>
      <c r="F40" s="39"/>
      <c r="G40" s="37"/>
      <c r="H40" s="38"/>
      <c r="I40" s="39"/>
      <c r="J40" s="37"/>
      <c r="K40" s="38"/>
      <c r="L40" s="38"/>
      <c r="M40" s="38"/>
      <c r="N40" s="38"/>
      <c r="O40" s="38"/>
      <c r="P40" s="38"/>
      <c r="Q40" s="38"/>
      <c r="R40" s="38"/>
      <c r="S40" s="38" t="e">
        <f>SUM(S37:S39)</f>
        <v>#REF!</v>
      </c>
      <c r="T40" s="38" t="e">
        <f>SUM(T37:T39)</f>
        <v>#REF!</v>
      </c>
      <c r="U40" s="38"/>
      <c r="V40" s="38"/>
      <c r="W40" s="37" t="e">
        <f>SUM(W38:W39)</f>
        <v>#REF!</v>
      </c>
      <c r="X40" s="38"/>
      <c r="Y40" s="38"/>
      <c r="Z40" s="39"/>
      <c r="AF40" s="22" t="e">
        <f>IF(Eingabe!#REF!="Beimischstation für zwei Heizkreise",1,0)</f>
        <v>#REF!</v>
      </c>
    </row>
    <row r="41" spans="1:32" ht="12.75" hidden="1" thickBot="1">
      <c r="A41" s="40"/>
      <c r="B41" s="41"/>
      <c r="C41" s="41"/>
      <c r="D41" s="40"/>
      <c r="E41" s="41"/>
      <c r="F41" s="42"/>
      <c r="G41" s="40"/>
      <c r="H41" s="41"/>
      <c r="I41" s="42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7" t="e">
        <f>IF(Eingabe!#REF!="Beimischstation für zwei Heizkreise",2,0)+IF(Eingabe!#REF!="Beimischstation mit Thermostat für zwei Heizkreise",2,0)</f>
        <v>#REF!</v>
      </c>
      <c r="X41" s="38"/>
      <c r="Y41" s="38"/>
      <c r="Z41" s="39"/>
      <c r="AF41" s="22" t="e">
        <f>IF(Eingabe!#REF!="Beimischstation für zwei Heizkreise",1,0)</f>
        <v>#REF!</v>
      </c>
    </row>
    <row r="42" spans="8:32" ht="12.75" hidden="1" thickTop="1">
      <c r="H42" t="s">
        <v>55</v>
      </c>
      <c r="W42" s="37" t="e">
        <f>IF(Eingabe!#REF!="Beimischstation für zwei Heizkreise",2,0)+IF(Eingabe!#REF!="Beimischstation mit Thermostat für zwei Heizkreise",2,0)</f>
        <v>#REF!</v>
      </c>
      <c r="X42" s="38"/>
      <c r="Y42" s="38"/>
      <c r="Z42" s="39"/>
      <c r="AF42" s="22" t="e">
        <f>IF(Eingabe!#REF!="Beimischstation mit Thermostat für zwei Heizkreise",1,0)</f>
        <v>#REF!</v>
      </c>
    </row>
    <row r="43" spans="10:34" ht="12.75" hidden="1"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W43" s="37" t="e">
        <f>+IF(Eingabe!#REF!="Beimischstation für zwei Heizkreise",2,0)+IF(Eingabe!#REF!="Beimischstation mit Thermostat für zwei Heizkreise",2,0)</f>
        <v>#REF!</v>
      </c>
      <c r="X43" s="38"/>
      <c r="Y43" s="38"/>
      <c r="Z43" s="39"/>
      <c r="AF43" s="22" t="e">
        <f>IF(Eingabe!#REF!="Beimischstation mit Thermostat für zwei Heizkreise",1,0)</f>
        <v>#REF!</v>
      </c>
      <c r="AG43" s="37" t="e">
        <f>IF(Eingabe!#REF!="Schlüter®-BEKOTEC-Noppenplatte mit Folie",AF45,0)+IF(Eingabe!#REF!="Schlüter®-BEKOTEC-Noppenplatte ohne Folie",AF45,0)+IF(Eingabe!#REF!="Schlüter®-BEKOTEC-Noppenplatte mit Folie",AF45,0)+IF(Eingabe!#REF!="Schlüter®-BEKOTEC-Noppenplatte ohne Folie",AF45,0)+IF(Eingabe!#REF!="Schlüter®-BEKOTEC-Noppenplatte mit Folie",AF45,0)+IF(Eingabe!#REF!="Schlüter®-BEKOTEC-Noppenplatte ohne Folie",AF45,0)</f>
        <v>#REF!</v>
      </c>
      <c r="AH43" s="37" t="e">
        <f>IF(Eingabe!#REF!="Schlüter®-BEKOTEC-Noppenplatte aus druckstabiler Tiefzieh-Folie",AF45,0)+IF(Eingabe!#REF!="Schlüter®-BEKOTEC-Noppenplatte aus druckstabiler Tiefzieh-Folie",AF45,0)+IF(Eingabe!#REF!="Schlüter®-BEKOTEC-Noppenplatte aus druckstabiler Tiefzieh-Folie",AF45,0)</f>
        <v>#REF!</v>
      </c>
    </row>
    <row r="44" spans="8:32" ht="12.75" hidden="1">
      <c r="H44" s="38" t="s">
        <v>102</v>
      </c>
      <c r="I44" s="38" t="s">
        <v>56</v>
      </c>
      <c r="J44" s="38" t="s">
        <v>32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W44" s="37" t="e">
        <f>SUM(W40:W43)</f>
        <v>#REF!</v>
      </c>
      <c r="X44" s="38"/>
      <c r="Y44" s="38"/>
      <c r="Z44" s="39"/>
      <c r="AF44" s="22" t="e">
        <f>IF(Eingabe!#REF!="Beimischstation mit Thermostat für zwei Heizkreise",1,0)</f>
        <v>#REF!</v>
      </c>
    </row>
    <row r="45" spans="8:32" ht="12.75" hidden="1">
      <c r="H45" s="31" t="e">
        <f>IF(Eingabe!#REF!="Schlüter®-BEKOTEC-Noppenplatte ohne Folie",(H3*1.2),0)</f>
        <v>#REF!</v>
      </c>
      <c r="I45" s="31" t="e">
        <f>IF(Eingabe!#REF!="Schlüter®-BEKOTEC-Noppenplatte mit Folie",(H3*1.2),0)</f>
        <v>#REF!</v>
      </c>
      <c r="J45" s="31" t="e">
        <f>IF(Eingabe!#REF!="schlüter®-BEKOTEC-Noppenplatte aus druckstabiler Tiefzieh-Folie",(H3*1.2),0)</f>
        <v>#REF!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W45" s="37"/>
      <c r="X45" s="38"/>
      <c r="Y45" s="38"/>
      <c r="Z45" s="39"/>
      <c r="AF45" s="92" t="e">
        <f>SUM(AF39:AF44)</f>
        <v>#REF!</v>
      </c>
    </row>
    <row r="46" spans="8:26" ht="12.75" hidden="1">
      <c r="H46" s="31" t="e">
        <f>IF(Eingabe!#REF!="Schlüter®-BEKOTEC-Noppenplatte ohne Folie",(H4*1.2),0)</f>
        <v>#REF!</v>
      </c>
      <c r="I46" s="31" t="e">
        <f>IF(Eingabe!#REF!="Schlüter®-BEKOTEC-Noppenplatte mit Folie",(H4*1.2),0)</f>
        <v>#REF!</v>
      </c>
      <c r="J46" s="31" t="e">
        <f>IF(Eingabe!#REF!="schlüter®-BEKOTEC-Noppenplatte aus druckstabiler Tiefzieh-Folie",(H4*1.2),0)</f>
        <v>#REF!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W46" s="37"/>
      <c r="X46" s="38"/>
      <c r="Y46" s="38"/>
      <c r="Z46" s="39"/>
    </row>
    <row r="47" spans="8:32" ht="12.75" hidden="1">
      <c r="H47" s="31" t="e">
        <f>IF(Eingabe!#REF!="Schlüter®-BEKOTEC-Noppenplatte ohne Folie",(H5*1.2),0)</f>
        <v>#REF!</v>
      </c>
      <c r="I47" s="31" t="e">
        <f>IF(Eingabe!#REF!="Schlüter®-BEKOTEC-Noppenplatte mit Folie",(H5*1.2),0)</f>
        <v>#REF!</v>
      </c>
      <c r="J47" s="31" t="e">
        <f>IF(Eingabe!#REF!="schlüter®-BEKOTEC-Noppenplatte aus druckstabiler Tiefzieh-Folie",(H5*1.2),0)</f>
        <v>#REF!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W47" s="37"/>
      <c r="X47" s="38"/>
      <c r="Y47" s="38"/>
      <c r="Z47" s="39"/>
      <c r="AF47" s="95" t="e">
        <f>AF34+AF45+AG34</f>
        <v>#REF!</v>
      </c>
    </row>
    <row r="48" spans="8:26" ht="12.75" hidden="1" thickBot="1">
      <c r="H48" s="94" t="e">
        <f>SUM(H45:H47)</f>
        <v>#REF!</v>
      </c>
      <c r="I48" s="94" t="e">
        <f>SUM(I45:I47)</f>
        <v>#REF!</v>
      </c>
      <c r="J48" s="94" t="e">
        <f>SUM(J45:J47)</f>
        <v>#REF!</v>
      </c>
      <c r="W48" s="40"/>
      <c r="X48" s="41"/>
      <c r="Y48" s="38"/>
      <c r="Z48" s="39"/>
    </row>
    <row r="49" spans="23:26" ht="12.75" hidden="1" thickTop="1">
      <c r="W49" s="37" t="e">
        <f>SUM(W31:W48)</f>
        <v>#REF!</v>
      </c>
      <c r="X49" s="38" t="e">
        <f>SUM(X31:X48)</f>
        <v>#REF!</v>
      </c>
      <c r="Y49" s="43" t="e">
        <f>SUM(Y31:Y48)</f>
        <v>#REF!</v>
      </c>
      <c r="Z49" s="36"/>
    </row>
    <row r="50" spans="23:34" ht="12.75" hidden="1" thickBot="1">
      <c r="W50" s="40"/>
      <c r="X50" s="41" t="e">
        <f>W49+X49</f>
        <v>#REF!</v>
      </c>
      <c r="Y50" s="41"/>
      <c r="Z50" s="42"/>
      <c r="AH50" s="38"/>
    </row>
    <row r="51" ht="12.75" hidden="1" thickTop="1"/>
  </sheetData>
  <sheetProtection password="C334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Schlüter-Systems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Cronauge</dc:creator>
  <cp:keywords/>
  <dc:description/>
  <cp:lastModifiedBy>Miroslav Krasny</cp:lastModifiedBy>
  <cp:lastPrinted>2018-02-07T17:44:14Z</cp:lastPrinted>
  <dcterms:created xsi:type="dcterms:W3CDTF">2003-01-30T08:43:43Z</dcterms:created>
  <dcterms:modified xsi:type="dcterms:W3CDTF">2018-02-07T20:37:33Z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00080088050000000000010250300207f7000400038000</vt:lpwstr>
  </property>
</Properties>
</file>