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8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2">'Rozpocet'!$6:$8</definedName>
  </definedNames>
  <calcPr fullCalcOnLoad="1"/>
</workbook>
</file>

<file path=xl/sharedStrings.xml><?xml version="1.0" encoding="utf-8"?>
<sst xmlns="http://schemas.openxmlformats.org/spreadsheetml/2006/main" count="516" uniqueCount="385">
  <si>
    <t>TITULNÍ LIST ROZPOČTU</t>
  </si>
  <si>
    <t>Název stavby</t>
  </si>
  <si>
    <t>Rekonstrukce bytu na ul. Nerudova v Brně</t>
  </si>
  <si>
    <t>Název objektu</t>
  </si>
  <si>
    <t>Název části</t>
  </si>
  <si>
    <t>Dodavatel:</t>
  </si>
  <si>
    <t xml:space="preserve">                Měrné a účelové jednotky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</si>
  <si>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</si>
  <si>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</si>
  <si>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</si>
  <si>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</si>
  <si>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</si>
  <si>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</si>
  <si>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</si>
  <si>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</si>
  <si>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</si>
  <si>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</si>
  <si>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8</t>
  </si>
  <si>
    <t>Práce přesčas</t>
  </si>
  <si>
    <t>13</t>
  </si>
  <si>
    <t>Zařízení staveniště</t>
  </si>
  <si>
    <t>2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</si>
  <si>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</si>
  <si>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</si>
  <si>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</si>
  <si>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</si>
  <si>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</si>
  <si>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</si>
  <si>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</si>
  <si>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</si>
  <si>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</si>
  <si>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</si>
  <si>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</si>
  <si>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</si>
  <si>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</si>
  <si>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</si>
  <si>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</si>
  <si>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M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</si>
  <si>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</si>
  <si>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</si>
  <si>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</si>
  <si>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</si>
  <si>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</si>
  <si>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</si>
  <si>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</si>
  <si>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</si>
  <si>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</si>
  <si>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</si>
  <si>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</si>
  <si>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</si>
  <si>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</si>
  <si>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</si>
  <si>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</si>
  <si>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</si>
  <si>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</si>
  <si>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</si>
  <si>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</si>
  <si>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Vypracoval:</t>
  </si>
  <si>
    <t>23</t>
  </si>
  <si>
    <t>Součet 7, 12, 19-22</t>
  </si>
  <si>
    <t>24</t>
  </si>
  <si>
    <t>%</t>
  </si>
  <si>
    <t>DPH</t>
  </si>
  <si>
    <t>25</t>
  </si>
  <si>
    <t>26</t>
  </si>
  <si>
    <t>Cena s DPH (ř. 23-25)</t>
  </si>
  <si>
    <t>Datum a podpis</t>
  </si>
  <si>
    <t>Razítko</t>
  </si>
  <si>
    <t>REKAPITULACE ROZPOČTU</t>
  </si>
  <si>
    <t>Stavba:</t>
  </si>
  <si>
    <t>Objekt:</t>
  </si>
  <si>
    <t>Datum:</t>
  </si>
  <si>
    <t>18.11.2014</t>
  </si>
  <si>
    <t>Kód</t>
  </si>
  <si>
    <t>Popis</t>
  </si>
  <si>
    <t>Cena celkem</t>
  </si>
  <si>
    <t>Hmotnost celkem</t>
  </si>
  <si>
    <t>Suť celkem</t>
  </si>
  <si>
    <t>Celkem</t>
  </si>
  <si>
    <t>ROZPOČET</t>
  </si>
  <si>
    <t>P.Č.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</si>
  <si>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</si>
  <si>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</si>
  <si>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</si>
  <si>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</si>
  <si>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</si>
  <si>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</si>
  <si>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</si>
  <si>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Práce a dodávky HSV</t>
  </si>
  <si>
    <t>Svislé a kompletní konstrukce</t>
  </si>
  <si>
    <t>340239233</t>
  </si>
  <si>
    <t>Zazdívka otvorů pl do 4 m2 v příčkách nebo stěnách z příčkovek Ytong tl 100 mm</t>
  </si>
  <si>
    <t>m2</t>
  </si>
  <si>
    <t>" Vybourané dveře mezi M 106-108 " 0,72*2,05</t>
  </si>
  <si>
    <t>" zazdívka dveří mezi M 102-103 dvoustranná " 1.0*2.05*2</t>
  </si>
  <si>
    <t>Součet</t>
  </si>
  <si>
    <t>Zazdívka otvorů pl do 4 m2 v příčkách nebo stěnách z příčkovek Ytong tl 125 mm</t>
  </si>
  <si>
    <t>" dveře z koupelny do pokoje " 0,85*2,1</t>
  </si>
  <si>
    <t>342272323</t>
  </si>
  <si>
    <t>Příčky tl 100 mm z pórobetonových přesných hladkých příčkovek objemové hmotnosti 500 kg/m3</t>
  </si>
  <si>
    <t>" příčka nové koupelny M 106 " (0,60+2,01)*3,20-0,8*2,05</t>
  </si>
  <si>
    <t>" nová příčka M 104 a 105 " (1,50+2,20)*3,20-0,9*2,05</t>
  </si>
  <si>
    <t>342291121</t>
  </si>
  <si>
    <t>Ukotvení příček k cihelným konstrukcím kovovými kotvami tl příčky do 100 mm</t>
  </si>
  <si>
    <t>m</t>
  </si>
  <si>
    <t>" Vybourané dveře mezi M 106-108 " 2*2,05</t>
  </si>
  <si>
    <t>" nové příčky " 3,20*4</t>
  </si>
  <si>
    <t>340291122</t>
  </si>
  <si>
    <t>Dodatečné ukotvení příček k cihelným konstrukcím kovovými kotvami tl příčky přes 100 mm</t>
  </si>
  <si>
    <t>" dveře z koupelny do pokoje " 2*2,1</t>
  </si>
  <si>
    <t>Přizdívka ostění z tvárnic YTONG tl  100 mm</t>
  </si>
  <si>
    <t>" dveře do M 108 " 2,1*2+0,8</t>
  </si>
  <si>
    <t>346244352</t>
  </si>
  <si>
    <t>Obezdívka koupelnových van a ploch rovných z pórobetonových příčkovek tl. do 150 Ytong</t>
  </si>
  <si>
    <t>" obezdívka vany " (0,7+1,8)*2*0,6</t>
  </si>
  <si>
    <t>" podezdívka sprchového koutu " 1,0</t>
  </si>
  <si>
    <t>" obezdívka závěsných WC " 0,8*1,2*3</t>
  </si>
  <si>
    <t>Úpravy povrchů, podlahy a osazování výplní</t>
  </si>
  <si>
    <t>611403399</t>
  </si>
  <si>
    <t>Hrubá výplň rýh ve stropech maltou</t>
  </si>
  <si>
    <t xml:space="preserve"> " zapravení stropů po vybouraných příčkách " (1,91+1,63+1,76)*0,2</t>
  </si>
  <si>
    <t>612142001</t>
  </si>
  <si>
    <t>Potažení vnitřních stěn sklovláknitým pletivem vtlačeným do tenkovrstvé hmoty</t>
  </si>
  <si>
    <t>" viz přeštukování " 243.32</t>
  </si>
  <si>
    <t>612321122</t>
  </si>
  <si>
    <t>Vápenocementová omítka hladká jednovrstvá vnitřních stěn ze suché směsi</t>
  </si>
  <si>
    <t xml:space="preserve">pod obklady na stávajícím zdivu </t>
  </si>
  <si>
    <t>" koupelna " (3,09*2+1,91-0,72-0,6)*2,1</t>
  </si>
  <si>
    <t>" M 104 - po odsekaných obkladech " (0,3+0,7*2+0,6+2,3)*2,1</t>
  </si>
  <si>
    <t>" stávající WC " (0,82+1,15)*2*1,5-0,7*1,5</t>
  </si>
  <si>
    <t>" po vybouraných parapetech u balkonové stěny " 0,6*0,8*2</t>
  </si>
  <si>
    <t>612403399</t>
  </si>
  <si>
    <t>Hrubá výplň rýh ve vnitřních stěnách maltou</t>
  </si>
  <si>
    <t>" po vybouraných příčkách " 3,2*0,15*4</t>
  </si>
  <si>
    <t>612471413</t>
  </si>
  <si>
    <t>Tenkovrstvá úprava vnitřních stěn tl do 3 mm aktivovaným štukem s disperzní přilnavou přísadou</t>
  </si>
  <si>
    <t xml:space="preserve">stěny - nové přeštukování </t>
  </si>
  <si>
    <t>" M 101 " (2,70*2+4,325*2)*3,2-(1,25*2,1+0,53*0,8+0,7*2,05+0,8*2,05*2+1,14*2,2*2)</t>
  </si>
  <si>
    <t>" M 102 " (3,32+5,61+0,75)*2*3,2-(1,14*2,2+1,0*2,2+2,75*2,5)</t>
  </si>
  <si>
    <t>" M 103 " (4,22+5,61+0,75)*2*3,2-(1,14*2,2+1,0*2,2+1,82*2,5)</t>
  </si>
  <si>
    <t>" M 104 " (0,35+0,68*2+0,3+0,6+2,2*2)*3,2-0,94*1,2</t>
  </si>
  <si>
    <t>" M 105 " (4,25*2+1,5+0,5+0,87*2+0,8*2)*3,2-0,8*2,05</t>
  </si>
  <si>
    <t>" M 106 nad obklady " (1,91+3,09)*2*(3,2-2,1)</t>
  </si>
  <si>
    <t>" M 107 nad stávajícími obklady " (0,82+1,15)*2*(3,2-1,5)-0,7*0,5</t>
  </si>
  <si>
    <t>" M 108 " (1,91+1,63)*2*3,2-0,8*2,05</t>
  </si>
  <si>
    <t>Potažení vnějších stěn sklovláknitým pletivem vtlačeným do tenkovrstvé hmoty</t>
  </si>
  <si>
    <t>" lodžie do dvora " (4,1+1,5*2)*3,8-2.0*2.20+4.1*1.2</t>
  </si>
  <si>
    <t>Fasádní nátěr včetně penetrace</t>
  </si>
  <si>
    <t>Mazanina tl do 80 mm z betonu prostého tř. C 20/25</t>
  </si>
  <si>
    <t>m3</t>
  </si>
  <si>
    <t>" podlaha pro novou koupelnu " (22,56+0,60)*1,91*0,08</t>
  </si>
  <si>
    <t>Příplatek k mazanině tl do 80 mm za přehlazení povrchu</t>
  </si>
  <si>
    <t>631311131</t>
  </si>
  <si>
    <t>Doplnění dosavadních mazanin betonem prostým pl do 1 m2 tl přes 80 mm</t>
  </si>
  <si>
    <t>" pro založení nových příček " (0,6+2,01+1,5+2,2)*0,3*0,2</t>
  </si>
  <si>
    <t>" po vybourané příčce " (1,63+0,72+1,76+0,85)*0,2*0,2</t>
  </si>
  <si>
    <t>631362021</t>
  </si>
  <si>
    <t>Výztuž mazanin svařovanými sítěmi Kari</t>
  </si>
  <si>
    <t>t</t>
  </si>
  <si>
    <t>KARI 150/150/9 mm, hm. 3,03kg/m2</t>
  </si>
  <si>
    <t>" koupelna " 5,9*1,15*3,03*0,001</t>
  </si>
  <si>
    <t>Ostatní konstrukce a práce-bourání</t>
  </si>
  <si>
    <t>949101111</t>
  </si>
  <si>
    <t>Lešení pomocné pro objekty pozemních staveb s lešeňovou podlahou v do 1,2m zatížení do 150 kg/m2</t>
  </si>
  <si>
    <t>952901111</t>
  </si>
  <si>
    <t>Vyčištění budov bytové a občanské výstavby při výšce podlaží do 4 m</t>
  </si>
  <si>
    <t>952901115</t>
  </si>
  <si>
    <t>Průběžnýúklid a umývání podlahy v chodbě</t>
  </si>
  <si>
    <t>kpl</t>
  </si>
  <si>
    <t>952901116</t>
  </si>
  <si>
    <t>Zakrytí stávajících podlah proti poškození</t>
  </si>
  <si>
    <t>962031132</t>
  </si>
  <si>
    <t>Bourání příček z cihel pálených na MVC tl do 100 mm</t>
  </si>
  <si>
    <t>" příčka mezi M101-104 " 2,18*(3,20-0,80)-0,7*2,05</t>
  </si>
  <si>
    <t>" mezi 104 - 105 " (1,5+1,76)*(3,20-0,80)-0,90*2,05</t>
  </si>
  <si>
    <t>" mezi M101-106 " 1,91*(3,20-0,80)</t>
  </si>
  <si>
    <t>" mezi M106-108 " 1,63*3,20-0,8*2,05</t>
  </si>
  <si>
    <t>962032231</t>
  </si>
  <si>
    <t>Bourání zdiva z cihel pálených nebo vápenopískových na MV nebo MVC</t>
  </si>
  <si>
    <t>" parapety u balkonové stěny " 0,5*0,6*0,8*2</t>
  </si>
  <si>
    <t>965082923</t>
  </si>
  <si>
    <t>Odstranění násypů pod podlahy tl do 100 mm pl přes 2 m2</t>
  </si>
  <si>
    <t>" vyrovnání podlahy pro novou koupelnu " (22,56+0,60)*1,91*0,08</t>
  </si>
  <si>
    <t>965081213</t>
  </si>
  <si>
    <t>Bourání podlah z dlaždic keramických do 10 mm pl přes 1 m2</t>
  </si>
  <si>
    <t>" koupelna " 4,92</t>
  </si>
  <si>
    <t>" WC " 1,06</t>
  </si>
  <si>
    <t>968061125</t>
  </si>
  <si>
    <t>Vyvěšení dřevěných dveřních křídel pl. do 2 m2</t>
  </si>
  <si>
    <t>kus</t>
  </si>
  <si>
    <t>" všechny dveře pro cemontáže nebo repasi " 9</t>
  </si>
  <si>
    <t>968062245</t>
  </si>
  <si>
    <t>Vybourání dřevěných rámů oken jednoduch. pl. 2 m2</t>
  </si>
  <si>
    <t>" prosklené nadsvětlíky " (1,76+1,50+1,91)*0,80</t>
  </si>
  <si>
    <t>" okno v koupelně " 0,935*0,8</t>
  </si>
  <si>
    <t>Vybourání dřevěných rámů oken jednoduch. pl. nad 2 m2</t>
  </si>
  <si>
    <t>" stěna na balkon " 1,0*2,1+0,5*1,2*2</t>
  </si>
  <si>
    <t>968072455</t>
  </si>
  <si>
    <t>Vybourání dřevěných dveřních zárubní pl. do 2 m2</t>
  </si>
  <si>
    <t>" v bouraných příčkách a z koupelny do pokoje " 0,8*2,05*6</t>
  </si>
  <si>
    <t>" dveře mezi 102-103 zazděny " 1,0*2,05</t>
  </si>
  <si>
    <t>978013191</t>
  </si>
  <si>
    <t>Otlučení vnitřních omítek stěn MV nebo MVC stěn o rozsahu do 100 %</t>
  </si>
  <si>
    <t>840," stávající omítky pro podklad nových obkladů " 29,70-1,10-4,86</t>
  </si>
  <si>
    <t>978059541</t>
  </si>
  <si>
    <t>Odsekání a odebrání obkladů stěn z vnitřních obkládaček pl přes 1 m2</t>
  </si>
  <si>
    <t>" nebourané stěny v koupelně " (0,35+0,68*2+0,3+0,6+2,2)*2,1</t>
  </si>
  <si>
    <t>979011111</t>
  </si>
  <si>
    <t>Svislá doprava suti a vybouraných hmot ruční vynošením</t>
  </si>
  <si>
    <t>979081111</t>
  </si>
  <si>
    <t>Odvoz suti a vybouraných hmot na skládku do 1 km</t>
  </si>
  <si>
    <t>979081121</t>
  </si>
  <si>
    <t>Odvoz suti a vybouraných hmot na skládku ZKD 1 km přes 1 km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</si>
  <si>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</si>
  <si>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</si>
  <si>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</si>
  <si>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</si>
  <si>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979098203</t>
  </si>
  <si>
    <t>Poplatek za uložení stavebního odpadu</t>
  </si>
  <si>
    <t>979098211</t>
  </si>
  <si>
    <t>Poplatek za uložení stavebního dřevěného odpadu na skládce (skládkovné)</t>
  </si>
  <si>
    <t>979098231</t>
  </si>
  <si>
    <t>Poplatek za uložení stavebního směsného odpadu na skládce (skládkovné)</t>
  </si>
  <si>
    <t>99</t>
  </si>
  <si>
    <t>Přesun hmot</t>
  </si>
  <si>
    <t>999281111</t>
  </si>
  <si>
    <t>Přesun hmot pro opravy a údržbu budov ruční vynošením</t>
  </si>
  <si>
    <t>Práce a dodávky PSV</t>
  </si>
  <si>
    <t>722</t>
  </si>
  <si>
    <t>Zdravotechnika - vnitřní vodovod</t>
  </si>
  <si>
    <t>722173500</t>
  </si>
  <si>
    <t>Zdravotechnické instalace - samostatný rozpočet</t>
  </si>
  <si>
    <t>soubor</t>
  </si>
  <si>
    <t>722173510</t>
  </si>
  <si>
    <t>Stevbní výpomoci</t>
  </si>
  <si>
    <t>722173520</t>
  </si>
  <si>
    <t>Kompletace</t>
  </si>
  <si>
    <t>722173600</t>
  </si>
  <si>
    <t>Demontáž stávajících rozvodů a zařizovacích předmětů, odvoz a likvidace suti</t>
  </si>
  <si>
    <t>733</t>
  </si>
  <si>
    <t>Ústřední vytápění - potrubí</t>
  </si>
  <si>
    <t>733221300</t>
  </si>
  <si>
    <t>Ústřední vytápění - samostatný rozpočet</t>
  </si>
  <si>
    <t>733221310</t>
  </si>
  <si>
    <t>Stavební výpomoci</t>
  </si>
  <si>
    <t>733221350</t>
  </si>
  <si>
    <t>Demontáž stávajících rozvodů a radiátorů, odvoz a likvidace suti</t>
  </si>
  <si>
    <t>762</t>
  </si>
  <si>
    <t>Konstrukce tesařské</t>
  </si>
  <si>
    <t>762526811</t>
  </si>
  <si>
    <t>Demontáž podlah z podlah dřevěných z prken tl. do 25 mm včetně polštářů</t>
  </si>
  <si>
    <t>" pro novou koupelnu " 22,56+0,60)*1,91</t>
  </si>
  <si>
    <t>763</t>
  </si>
  <si>
    <t>Konstrukce montované z desek, dílců a panelů</t>
  </si>
  <si>
    <t>SDK podhled deska 1xA 12,5 bez TI dvouvrstvá spodní kce profil CD+UD</t>
  </si>
  <si>
    <t>" M 101 " 11,4</t>
  </si>
  <si>
    <t>" M 102 " 23,1</t>
  </si>
  <si>
    <t>" M 103 " 24,2</t>
  </si>
  <si>
    <t>" M 104 " 4,6</t>
  </si>
  <si>
    <t>" M 105 " 16,4</t>
  </si>
  <si>
    <t>" M 107 " 0,9</t>
  </si>
  <si>
    <t>" M 108 " 3,0</t>
  </si>
  <si>
    <t>763131451</t>
  </si>
  <si>
    <t>SDK podhled deska 1xH2 12,5 bez TI dvouvrstvá spodní kce profil CD+UD</t>
  </si>
  <si>
    <t>" M 106 koupelna " 5,9</t>
  </si>
  <si>
    <t>763164111</t>
  </si>
  <si>
    <t>SDK kastl š do 0,5 m desky 1xA 12,5</t>
  </si>
  <si>
    <t>" kastl pro světelnou rampu v M 105 " 3,75</t>
  </si>
  <si>
    <t>998763402</t>
  </si>
  <si>
    <t>Přesun hmot pro sádrokartonové konstrukce ruční</t>
  </si>
  <si>
    <t>766</t>
  </si>
  <si>
    <t>Konstrukce truhlářské - předběžné ceny</t>
  </si>
  <si>
    <t>D+M okno plastové otevíravé - sklápěcí 2000x2200mm - lodžie</t>
  </si>
  <si>
    <t>D+M okno plastové otevíravé - sklápěcí 900x1800mm - nová koupelna</t>
  </si>
  <si>
    <t>D+M okno plastové otevíravé - sklápěcí 950x800mm - nová kuchyně</t>
  </si>
  <si>
    <t>766660102</t>
  </si>
  <si>
    <t>Montáž dveřních křídel otvíravých 1křídlových do dřevěné rámové zárubně</t>
  </si>
  <si>
    <t>nové dveře</t>
  </si>
  <si>
    <t>" M 105+106 80/197 " 2</t>
  </si>
  <si>
    <t>" M 107 60/197 " 1</t>
  </si>
  <si>
    <t>" M 108 70/197 "1</t>
  </si>
  <si>
    <t>611116015</t>
  </si>
  <si>
    <t>Dveře dřevěné fóliované vč. kování š. 60-80 cm</t>
  </si>
  <si>
    <t>766663921</t>
  </si>
  <si>
    <t>Oprava dveřních křídel - repase včetně zárubní, nátěru a kování</t>
  </si>
  <si>
    <t>" M 101,102,103 " 3</t>
  </si>
  <si>
    <t>766682111</t>
  </si>
  <si>
    <t>Montáž zárubní obložkových pro dveře jednokřídlové tl stěny do 170 mm</t>
  </si>
  <si>
    <t>611822585</t>
  </si>
  <si>
    <t>Obložkové zárubně fóliované</t>
  </si>
  <si>
    <t>766695212</t>
  </si>
  <si>
    <t>Montáž truhlářských prahů dveří 1křídlových šířky do 10 cm</t>
  </si>
  <si>
    <t>611871760</t>
  </si>
  <si>
    <t>prah dveřní dřevěný dubový tl 2 cm dl.do 92 cm š 10 cm vč. nátěru</t>
  </si>
  <si>
    <t>998766202</t>
  </si>
  <si>
    <t>Přesun hmot procentní pro konstrukce truhlářské ruční</t>
  </si>
  <si>
    <t>771</t>
  </si>
  <si>
    <t>Podlahy z dlaždic</t>
  </si>
  <si>
    <t>771573113</t>
  </si>
  <si>
    <t>Montáž podlah keramických režných hladkých lepených do 12 ks/m2</t>
  </si>
  <si>
    <t>" M 107 WC " 0,90</t>
  </si>
  <si>
    <t>597614335</t>
  </si>
  <si>
    <t>dlaždice keramické dle výběru investora</t>
  </si>
  <si>
    <t>771591111</t>
  </si>
  <si>
    <t>Podlahy penetrace podkladu</t>
  </si>
  <si>
    <t>771591115</t>
  </si>
  <si>
    <t>Podlahy spárování silikonem</t>
  </si>
  <si>
    <t>771591131</t>
  </si>
  <si>
    <t>Podlahy izolace ve spojení s dlažbou - stěrková</t>
  </si>
  <si>
    <t>" koupelna " 5,9</t>
  </si>
  <si>
    <t>771591133</t>
  </si>
  <si>
    <t>Podlahy izolace ve spojení s dlažbou vnitřní kouty pásu lepeného v ploše</t>
  </si>
  <si>
    <t>771591135</t>
  </si>
  <si>
    <t>Podlahy izolace ve spojení s dlažbou vnitřní kouty pásu lepeného bodově</t>
  </si>
  <si>
    <t>771591146</t>
  </si>
  <si>
    <t>Podlahy průnik dlažbou kruhový s izolací DN do 90</t>
  </si>
  <si>
    <t>771591147</t>
  </si>
  <si>
    <t>Podlahy průnik dlažbou kruhový s izolací DN přes 90</t>
  </si>
  <si>
    <t>Vyrovnání podkladu pod podlahy tmelem tl. do 5 mm včetně penetrace</t>
  </si>
  <si>
    <t>998771202</t>
  </si>
  <si>
    <t>Přesun hmot procentní pro podlahy z dlaždic ruční</t>
  </si>
  <si>
    <t>776</t>
  </si>
  <si>
    <t>Podlahy povlakové</t>
  </si>
  <si>
    <t>776511810</t>
  </si>
  <si>
    <t>Demontáž povlakových podlah lepených bez podložky</t>
  </si>
  <si>
    <t>781</t>
  </si>
  <si>
    <t>Dokončovací práce - obklady keramické</t>
  </si>
  <si>
    <t>781473113</t>
  </si>
  <si>
    <t>Montáž obkladů vnitřních keramických hladkých do 19 ks/m2 lepených standardním lepidlem</t>
  </si>
  <si>
    <t>koupelna M 005</t>
  </si>
  <si>
    <t>" M 106 " (1,91+3,09)*2*2,1-0,8*2,1</t>
  </si>
  <si>
    <t>" M 107 " (0,82+1,15)*2*2,1-0,7*2,1</t>
  </si>
  <si>
    <t>" za kuchyňskou linkou " (2,2+0,6)*0,7</t>
  </si>
  <si>
    <t>597610025</t>
  </si>
  <si>
    <t>obkládačky keramické dle výběru investora</t>
  </si>
  <si>
    <t>781493111</t>
  </si>
  <si>
    <t>Plastové profily rohové lepené standardním lepidlem</t>
  </si>
  <si>
    <t>781493211</t>
  </si>
  <si>
    <t>Plastové profily vanové lepené standardním lepidlem</t>
  </si>
  <si>
    <t>2,1+0,8</t>
  </si>
  <si>
    <t>781493511</t>
  </si>
  <si>
    <t>Plastové profily ukončovací lepené standardním lepidlem</t>
  </si>
  <si>
    <t>(1,91+3,09+0,82+1,15)*2</t>
  </si>
  <si>
    <t>781493611</t>
  </si>
  <si>
    <t>Montáž vanových plastových dvířek s rámem lepených</t>
  </si>
  <si>
    <t>590307105</t>
  </si>
  <si>
    <t>dvířka plastová bílá 200 x 200 mm</t>
  </si>
  <si>
    <t>781495111</t>
  </si>
  <si>
    <t>Penetrace podkladu vnitřních obkladů</t>
  </si>
  <si>
    <t>781495115</t>
  </si>
  <si>
    <t>Spárování vnitřních obkladů silikonem</t>
  </si>
  <si>
    <t>781495131</t>
  </si>
  <si>
    <t>Izolace ve spojení s obkladem - stěrková</t>
  </si>
  <si>
    <t>" za vanou a sprchovým koutem " (1,0*2+3,09)*2,1</t>
  </si>
  <si>
    <t>781495133</t>
  </si>
  <si>
    <t>Izolace ve spojení s obkladem - pás lepený ve vnitřním koutu</t>
  </si>
  <si>
    <t>2,1*2</t>
  </si>
  <si>
    <t>781495145</t>
  </si>
  <si>
    <t>Průnik obkladem kruhový do DN 30 s izolací</t>
  </si>
  <si>
    <t>781543210</t>
  </si>
  <si>
    <t>Montáž obkladů ostění  š. do 200 mm lepenými standardním lepidlem</t>
  </si>
  <si>
    <t>M 106 koupelna " (1,2*2+0,8)</t>
  </si>
  <si>
    <t>" M 107 WC " (0,6+0,8*2)</t>
  </si>
  <si>
    <t>998781202</t>
  </si>
  <si>
    <t>Přesun hmot procentní pro obklady keramické v objektech v do 12 m</t>
  </si>
  <si>
    <t>784</t>
  </si>
  <si>
    <t>Dokončovací práce - malby</t>
  </si>
  <si>
    <t>784402801</t>
  </si>
  <si>
    <t>Odstranění maleb oškrabáním v místnostech v do 3,8 m</t>
  </si>
  <si>
    <t>" pro přeštukování " 250-14.74-14.96</t>
  </si>
  <si>
    <t>Odstranění nátěrů vnějších stěn a podhledů oškrabáním</t>
  </si>
  <si>
    <t>784412301</t>
  </si>
  <si>
    <t>Penetrace stěn v místnostech v do 3,8 m</t>
  </si>
  <si>
    <t>784453631</t>
  </si>
  <si>
    <t>Malby ze směsi tekuté disperzní bílé otěruvzdorné dvojnásobné s penetrací místnost v do 3,8 m</t>
  </si>
  <si>
    <t>784453638</t>
  </si>
  <si>
    <t>Malby směsi tekuté disperzní bílé otěruvzdorné dvojnásobné s penetrací místnost v do 3,8 m na SDK</t>
  </si>
  <si>
    <t>" stropy "  89,5</t>
  </si>
  <si>
    <t>Práce a dodávky M</t>
  </si>
  <si>
    <t>21-M</t>
  </si>
  <si>
    <t>Elektromontáže</t>
  </si>
  <si>
    <t>2100101</t>
  </si>
  <si>
    <t>Elektroinstalace - samostatný rozpočet</t>
  </si>
  <si>
    <t>2100105</t>
  </si>
  <si>
    <t>2100107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</si>
</sst>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###;\-####"/>
    <numFmt numFmtId="177" formatCode="#,##0.00;\-#,##0.00"/>
    <numFmt numFmtId="178" formatCode="#,##0.000;\-#,##0.000"/>
    <numFmt numFmtId="179" formatCode="#,##0.00000;\-#,##0.00000"/>
    <numFmt numFmtId="180" formatCode="###0;\-###0"/>
    <numFmt numFmtId="181" formatCode="#,##0;\-#,##0"/>
    <numFmt numFmtId="182" formatCode="0.00%;\-0.00%"/>
  </numFmts>
  <fonts count="40">
    <font>
      <sz val="10"/>
      <name val="Arial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sz val="11"/>
      <color indexed="20"/>
      <name val="Calibri"/>
      <family val="0"/>
    </font>
    <font>
      <sz val="11"/>
      <color indexed="8"/>
      <name val="Calibri"/>
      <family val="0"/>
    </font>
    <font>
      <sz val="8"/>
      <name val="MS Sans Serif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12"/>
      <name val="Arial CE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sz val="8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sz val="10"/>
      <color indexed="53"/>
      <name val="Arial"/>
      <family val="0"/>
    </font>
    <font>
      <b/>
      <u val="single"/>
      <sz val="8"/>
      <color indexed="53"/>
      <name val="Arial"/>
      <family val="0"/>
    </font>
    <font>
      <sz val="8"/>
      <color indexed="53"/>
      <name val="Arial"/>
      <family val="0"/>
    </font>
    <font>
      <b/>
      <sz val="8"/>
      <color indexed="53"/>
      <name val="Arial"/>
      <family val="0"/>
    </font>
    <font>
      <sz val="8"/>
      <color indexed="53"/>
      <name val="Arial CE"/>
      <family val="0"/>
    </font>
    <font>
      <b/>
      <sz val="18"/>
      <name val="Arial CE"/>
      <family val="0"/>
    </font>
    <font>
      <sz val="10"/>
      <color indexed="63"/>
      <name val="Arial"/>
      <family val="0"/>
    </font>
    <font>
      <sz val="10"/>
      <color indexed="63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5" fillId="0" borderId="0" applyAlignment="0">
      <protection locked="0"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7" borderId="8" applyNumberFormat="0" applyAlignment="0" applyProtection="0"/>
    <xf numFmtId="0" fontId="9" fillId="19" borderId="8" applyNumberFormat="0" applyAlignment="0" applyProtection="0"/>
    <xf numFmtId="0" fontId="2" fillId="19" borderId="9" applyNumberFormat="0" applyAlignment="0" applyProtection="0"/>
    <xf numFmtId="0" fontId="11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77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14" xfId="0" applyNumberFormat="1" applyFont="1" applyFill="1" applyBorder="1" applyAlignment="1" applyProtection="1">
      <alignment horizontal="center" vertical="center"/>
      <protection/>
    </xf>
    <xf numFmtId="176" fontId="24" fillId="0" borderId="15" xfId="0" applyNumberFormat="1" applyFont="1" applyFill="1" applyBorder="1" applyAlignment="1" applyProtection="1">
      <alignment horizontal="center" vertical="center"/>
      <protection/>
    </xf>
    <xf numFmtId="176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top"/>
      <protection/>
    </xf>
    <xf numFmtId="177" fontId="23" fillId="0" borderId="0" xfId="0" applyNumberFormat="1" applyFont="1" applyFill="1" applyAlignment="1" applyProtection="1">
      <alignment horizontal="right" vertical="center"/>
      <protection/>
    </xf>
    <xf numFmtId="178" fontId="23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177" fontId="22" fillId="0" borderId="0" xfId="0" applyNumberFormat="1" applyFont="1" applyFill="1" applyAlignment="1" applyProtection="1">
      <alignment horizontal="right" vertical="center"/>
      <protection/>
    </xf>
    <xf numFmtId="178" fontId="22" fillId="0" borderId="0" xfId="0" applyNumberFormat="1" applyFont="1" applyFill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left" vertical="center"/>
      <protection/>
    </xf>
    <xf numFmtId="178" fontId="21" fillId="0" borderId="0" xfId="0" applyNumberFormat="1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left"/>
      <protection/>
    </xf>
    <xf numFmtId="179" fontId="21" fillId="0" borderId="0" xfId="0" applyNumberFormat="1" applyFont="1" applyFill="1" applyAlignment="1" applyProtection="1">
      <alignment horizontal="right" vertical="center"/>
      <protection/>
    </xf>
    <xf numFmtId="177" fontId="21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top"/>
    </xf>
    <xf numFmtId="178" fontId="22" fillId="0" borderId="21" xfId="0" applyNumberFormat="1" applyFont="1" applyFill="1" applyBorder="1" applyAlignment="1" applyProtection="1">
      <alignment horizontal="right" vertical="center"/>
      <protection/>
    </xf>
    <xf numFmtId="0" fontId="22" fillId="0" borderId="21" xfId="0" applyFont="1" applyFill="1" applyBorder="1" applyAlignment="1" applyProtection="1">
      <alignment horizontal="left" vertical="center"/>
      <protection/>
    </xf>
    <xf numFmtId="177" fontId="22" fillId="0" borderId="21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horizontal="left" vertical="top"/>
      <protection/>
    </xf>
    <xf numFmtId="0" fontId="29" fillId="0" borderId="0" xfId="0" applyFont="1" applyFill="1" applyAlignment="1" applyProtection="1">
      <alignment horizontal="left" vertical="center"/>
      <protection/>
    </xf>
    <xf numFmtId="178" fontId="30" fillId="0" borderId="0" xfId="0" applyNumberFormat="1" applyFont="1" applyFill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 horizontal="left" vertical="center"/>
      <protection/>
    </xf>
    <xf numFmtId="4" fontId="21" fillId="0" borderId="0" xfId="0" applyNumberFormat="1" applyFont="1" applyFill="1" applyAlignment="1" applyProtection="1">
      <alignment horizontal="right" vertical="center"/>
      <protection/>
    </xf>
    <xf numFmtId="0" fontId="5" fillId="0" borderId="0" xfId="59" applyFont="1" applyAlignment="1">
      <alignment horizontal="left" vertical="top"/>
      <protection locked="0"/>
    </xf>
    <xf numFmtId="0" fontId="5" fillId="0" borderId="0" xfId="59" applyAlignment="1">
      <alignment horizontal="left" vertical="top"/>
      <protection locked="0"/>
    </xf>
    <xf numFmtId="0" fontId="0" fillId="0" borderId="22" xfId="59" applyFont="1" applyBorder="1" applyAlignment="1" applyProtection="1">
      <alignment horizontal="left"/>
      <protection/>
    </xf>
    <xf numFmtId="0" fontId="0" fillId="0" borderId="23" xfId="59" applyFont="1" applyBorder="1" applyAlignment="1" applyProtection="1">
      <alignment horizontal="left"/>
      <protection/>
    </xf>
    <xf numFmtId="0" fontId="0" fillId="0" borderId="24" xfId="59" applyFont="1" applyBorder="1" applyAlignment="1" applyProtection="1">
      <alignment horizontal="left"/>
      <protection/>
    </xf>
    <xf numFmtId="0" fontId="5" fillId="0" borderId="0" xfId="59" applyBorder="1" applyAlignment="1">
      <alignment horizontal="left" vertical="top"/>
      <protection locked="0"/>
    </xf>
    <xf numFmtId="0" fontId="0" fillId="0" borderId="25" xfId="59" applyFont="1" applyBorder="1" applyAlignment="1" applyProtection="1">
      <alignment horizontal="left"/>
      <protection/>
    </xf>
    <xf numFmtId="0" fontId="0" fillId="0" borderId="0" xfId="59" applyFont="1" applyBorder="1" applyAlignment="1" applyProtection="1">
      <alignment horizontal="left"/>
      <protection/>
    </xf>
    <xf numFmtId="0" fontId="33" fillId="0" borderId="0" xfId="59" applyFont="1" applyBorder="1" applyAlignment="1" applyProtection="1">
      <alignment horizontal="left"/>
      <protection/>
    </xf>
    <xf numFmtId="0" fontId="0" fillId="0" borderId="26" xfId="59" applyFont="1" applyBorder="1" applyAlignment="1" applyProtection="1">
      <alignment horizontal="left"/>
      <protection/>
    </xf>
    <xf numFmtId="0" fontId="0" fillId="0" borderId="27" xfId="59" applyFont="1" applyBorder="1" applyAlignment="1" applyProtection="1">
      <alignment horizontal="left"/>
      <protection/>
    </xf>
    <xf numFmtId="0" fontId="0" fillId="0" borderId="28" xfId="59" applyFont="1" applyBorder="1" applyAlignment="1" applyProtection="1">
      <alignment horizontal="left"/>
      <protection/>
    </xf>
    <xf numFmtId="0" fontId="0" fillId="0" borderId="29" xfId="59" applyFont="1" applyBorder="1" applyAlignment="1" applyProtection="1">
      <alignment horizontal="left"/>
      <protection/>
    </xf>
    <xf numFmtId="0" fontId="21" fillId="0" borderId="30" xfId="59" applyFont="1" applyBorder="1" applyAlignment="1" applyProtection="1">
      <alignment horizontal="left" vertical="center"/>
      <protection/>
    </xf>
    <xf numFmtId="0" fontId="21" fillId="0" borderId="21" xfId="59" applyFont="1" applyBorder="1" applyAlignment="1" applyProtection="1">
      <alignment horizontal="left" vertical="center"/>
      <protection/>
    </xf>
    <xf numFmtId="0" fontId="21" fillId="0" borderId="31" xfId="59" applyFont="1" applyBorder="1" applyAlignment="1" applyProtection="1">
      <alignment horizontal="left" vertical="center"/>
      <protection/>
    </xf>
    <xf numFmtId="0" fontId="21" fillId="0" borderId="25" xfId="59" applyFont="1" applyBorder="1" applyAlignment="1" applyProtection="1">
      <alignment horizontal="left" vertical="center"/>
      <protection/>
    </xf>
    <xf numFmtId="0" fontId="21" fillId="0" borderId="0" xfId="59" applyFont="1" applyBorder="1" applyAlignment="1" applyProtection="1">
      <alignment horizontal="left" vertical="center"/>
      <protection/>
    </xf>
    <xf numFmtId="0" fontId="26" fillId="0" borderId="0" xfId="59" applyFont="1" applyBorder="1" applyAlignment="1" applyProtection="1">
      <alignment horizontal="left" vertical="center"/>
      <protection/>
    </xf>
    <xf numFmtId="0" fontId="24" fillId="0" borderId="0" xfId="59" applyFont="1" applyBorder="1" applyAlignment="1" applyProtection="1">
      <alignment horizontal="left" vertical="center"/>
      <protection/>
    </xf>
    <xf numFmtId="0" fontId="21" fillId="0" borderId="26" xfId="59" applyFont="1" applyBorder="1" applyAlignment="1" applyProtection="1">
      <alignment horizontal="left" vertical="center"/>
      <protection/>
    </xf>
    <xf numFmtId="0" fontId="34" fillId="0" borderId="32" xfId="59" applyFont="1" applyBorder="1" applyAlignment="1">
      <alignment horizontal="right"/>
      <protection locked="0"/>
    </xf>
    <xf numFmtId="0" fontId="34" fillId="0" borderId="0" xfId="59" applyFont="1" applyAlignment="1">
      <alignment horizontal="right"/>
      <protection locked="0"/>
    </xf>
    <xf numFmtId="0" fontId="35" fillId="0" borderId="32" xfId="59" applyFont="1" applyBorder="1" applyAlignment="1">
      <alignment horizontal="right"/>
      <protection locked="0"/>
    </xf>
    <xf numFmtId="0" fontId="35" fillId="0" borderId="0" xfId="59" applyFont="1" applyBorder="1" applyAlignment="1">
      <alignment horizontal="right"/>
      <protection locked="0"/>
    </xf>
    <xf numFmtId="0" fontId="12" fillId="0" borderId="32" xfId="36" applyBorder="1" applyAlignment="1" applyProtection="1">
      <alignment horizontal="right"/>
      <protection/>
    </xf>
    <xf numFmtId="0" fontId="12" fillId="0" borderId="0" xfId="36" applyBorder="1" applyAlignment="1" applyProtection="1">
      <alignment horizontal="right"/>
      <protection/>
    </xf>
    <xf numFmtId="0" fontId="25" fillId="0" borderId="26" xfId="59" applyFont="1" applyBorder="1" applyAlignment="1" applyProtection="1">
      <alignment horizontal="left" vertical="center"/>
      <protection/>
    </xf>
    <xf numFmtId="0" fontId="21" fillId="0" borderId="27" xfId="59" applyFont="1" applyBorder="1" applyAlignment="1" applyProtection="1">
      <alignment horizontal="left" vertical="center"/>
      <protection/>
    </xf>
    <xf numFmtId="0" fontId="21" fillId="0" borderId="28" xfId="59" applyFont="1" applyBorder="1" applyAlignment="1" applyProtection="1">
      <alignment horizontal="left" vertical="center"/>
      <protection/>
    </xf>
    <xf numFmtId="0" fontId="21" fillId="0" borderId="29" xfId="59" applyFont="1" applyBorder="1" applyAlignment="1" applyProtection="1">
      <alignment horizontal="left" vertical="center"/>
      <protection/>
    </xf>
    <xf numFmtId="0" fontId="21" fillId="0" borderId="33" xfId="59" applyFont="1" applyBorder="1" applyAlignment="1" applyProtection="1">
      <alignment horizontal="left" vertical="center"/>
      <protection/>
    </xf>
    <xf numFmtId="0" fontId="21" fillId="0" borderId="11" xfId="59" applyFont="1" applyBorder="1" applyAlignment="1" applyProtection="1">
      <alignment horizontal="left" vertical="center"/>
      <protection/>
    </xf>
    <xf numFmtId="0" fontId="36" fillId="0" borderId="11" xfId="59" applyFont="1" applyBorder="1" applyAlignment="1" applyProtection="1">
      <alignment horizontal="left" vertical="center"/>
      <protection/>
    </xf>
    <xf numFmtId="0" fontId="21" fillId="0" borderId="34" xfId="59" applyFont="1" applyBorder="1" applyAlignment="1" applyProtection="1">
      <alignment horizontal="left" vertical="center"/>
      <protection/>
    </xf>
    <xf numFmtId="0" fontId="21" fillId="0" borderId="35" xfId="59" applyFont="1" applyBorder="1" applyAlignment="1" applyProtection="1">
      <alignment horizontal="left" vertical="center"/>
      <protection/>
    </xf>
    <xf numFmtId="0" fontId="21" fillId="0" borderId="36" xfId="59" applyFont="1" applyBorder="1" applyAlignment="1" applyProtection="1">
      <alignment horizontal="left" vertical="center"/>
      <protection/>
    </xf>
    <xf numFmtId="0" fontId="21" fillId="0" borderId="20" xfId="59" applyFont="1" applyBorder="1" applyAlignment="1" applyProtection="1">
      <alignment horizontal="left" vertical="center"/>
      <protection/>
    </xf>
    <xf numFmtId="0" fontId="21" fillId="0" borderId="37" xfId="59" applyFont="1" applyBorder="1" applyAlignment="1" applyProtection="1">
      <alignment horizontal="left" vertical="center"/>
      <protection/>
    </xf>
    <xf numFmtId="0" fontId="21" fillId="0" borderId="38" xfId="59" applyFont="1" applyBorder="1" applyAlignment="1" applyProtection="1">
      <alignment horizontal="left" vertical="center"/>
      <protection/>
    </xf>
    <xf numFmtId="180" fontId="0" fillId="0" borderId="39" xfId="59" applyNumberFormat="1" applyFont="1" applyBorder="1" applyAlignment="1" applyProtection="1">
      <alignment horizontal="right" vertical="center"/>
      <protection/>
    </xf>
    <xf numFmtId="180" fontId="0" fillId="0" borderId="40" xfId="59" applyNumberFormat="1" applyFont="1" applyBorder="1" applyAlignment="1" applyProtection="1">
      <alignment horizontal="right" vertical="center"/>
      <protection/>
    </xf>
    <xf numFmtId="181" fontId="37" fillId="0" borderId="16" xfId="59" applyNumberFormat="1" applyFont="1" applyBorder="1" applyAlignment="1" applyProtection="1">
      <alignment horizontal="right" vertical="center"/>
      <protection/>
    </xf>
    <xf numFmtId="181" fontId="37" fillId="0" borderId="41" xfId="59" applyNumberFormat="1" applyFont="1" applyBorder="1" applyAlignment="1" applyProtection="1">
      <alignment horizontal="right" vertical="center"/>
      <protection/>
    </xf>
    <xf numFmtId="180" fontId="0" fillId="0" borderId="16" xfId="59" applyNumberFormat="1" applyFont="1" applyBorder="1" applyAlignment="1" applyProtection="1">
      <alignment horizontal="right" vertical="center"/>
      <protection/>
    </xf>
    <xf numFmtId="180" fontId="0" fillId="0" borderId="41" xfId="59" applyNumberFormat="1" applyFont="1" applyBorder="1" applyAlignment="1" applyProtection="1">
      <alignment horizontal="right" vertical="center"/>
      <protection/>
    </xf>
    <xf numFmtId="180" fontId="37" fillId="0" borderId="40" xfId="59" applyNumberFormat="1" applyFont="1" applyBorder="1" applyAlignment="1" applyProtection="1">
      <alignment horizontal="right" vertical="center"/>
      <protection/>
    </xf>
    <xf numFmtId="181" fontId="37" fillId="0" borderId="42" xfId="59" applyNumberFormat="1" applyFont="1" applyBorder="1" applyAlignment="1" applyProtection="1">
      <alignment horizontal="right" vertical="center"/>
      <protection/>
    </xf>
    <xf numFmtId="0" fontId="36" fillId="0" borderId="11" xfId="59" applyFont="1" applyBorder="1" applyAlignment="1" applyProtection="1">
      <alignment horizontal="left" vertical="center" wrapText="1"/>
      <protection/>
    </xf>
    <xf numFmtId="0" fontId="38" fillId="0" borderId="35" xfId="59" applyFont="1" applyBorder="1" applyAlignment="1" applyProtection="1">
      <alignment horizontal="left" vertical="center"/>
      <protection/>
    </xf>
    <xf numFmtId="0" fontId="38" fillId="0" borderId="20" xfId="59" applyFont="1" applyBorder="1" applyAlignment="1" applyProtection="1">
      <alignment horizontal="left" vertical="center"/>
      <protection/>
    </xf>
    <xf numFmtId="0" fontId="36" fillId="0" borderId="37" xfId="59" applyFont="1" applyBorder="1" applyAlignment="1" applyProtection="1">
      <alignment horizontal="left" vertical="center"/>
      <protection/>
    </xf>
    <xf numFmtId="0" fontId="36" fillId="0" borderId="36" xfId="59" applyFont="1" applyBorder="1" applyAlignment="1" applyProtection="1">
      <alignment horizontal="left" vertical="center"/>
      <protection/>
    </xf>
    <xf numFmtId="0" fontId="36" fillId="0" borderId="43" xfId="59" applyFont="1" applyBorder="1" applyAlignment="1" applyProtection="1">
      <alignment horizontal="left" vertical="center"/>
      <protection/>
    </xf>
    <xf numFmtId="0" fontId="38" fillId="0" borderId="44" xfId="59" applyFont="1" applyBorder="1" applyAlignment="1" applyProtection="1">
      <alignment horizontal="left" vertical="center"/>
      <protection/>
    </xf>
    <xf numFmtId="0" fontId="36" fillId="0" borderId="20" xfId="59" applyFont="1" applyBorder="1" applyAlignment="1" applyProtection="1">
      <alignment horizontal="left" vertical="center"/>
      <protection/>
    </xf>
    <xf numFmtId="0" fontId="36" fillId="0" borderId="38" xfId="59" applyFont="1" applyBorder="1" applyAlignment="1" applyProtection="1">
      <alignment horizontal="left" vertical="center"/>
      <protection/>
    </xf>
    <xf numFmtId="0" fontId="21" fillId="0" borderId="45" xfId="59" applyFont="1" applyBorder="1" applyAlignment="1" applyProtection="1">
      <alignment horizontal="center" vertical="center"/>
      <protection/>
    </xf>
    <xf numFmtId="0" fontId="21" fillId="0" borderId="46" xfId="59" applyFont="1" applyBorder="1" applyAlignment="1" applyProtection="1">
      <alignment horizontal="left" vertical="center"/>
      <protection/>
    </xf>
    <xf numFmtId="0" fontId="21" fillId="0" borderId="47" xfId="59" applyFont="1" applyBorder="1" applyAlignment="1" applyProtection="1">
      <alignment horizontal="center" vertical="center"/>
      <protection/>
    </xf>
    <xf numFmtId="0" fontId="21" fillId="0" borderId="48" xfId="59" applyFont="1" applyBorder="1" applyAlignment="1" applyProtection="1">
      <alignment horizontal="left" vertical="center"/>
      <protection/>
    </xf>
    <xf numFmtId="0" fontId="21" fillId="0" borderId="49" xfId="59" applyFont="1" applyBorder="1" applyAlignment="1" applyProtection="1">
      <alignment horizontal="left" vertical="center"/>
      <protection/>
    </xf>
    <xf numFmtId="181" fontId="0" fillId="0" borderId="48" xfId="59" applyNumberFormat="1" applyFont="1" applyBorder="1" applyAlignment="1" applyProtection="1">
      <alignment horizontal="right" vertical="center"/>
      <protection/>
    </xf>
    <xf numFmtId="180" fontId="0" fillId="0" borderId="50" xfId="59" applyNumberFormat="1" applyFont="1" applyBorder="1" applyAlignment="1" applyProtection="1">
      <alignment horizontal="right" vertical="center"/>
      <protection/>
    </xf>
    <xf numFmtId="0" fontId="24" fillId="0" borderId="48" xfId="59" applyFont="1" applyBorder="1" applyAlignment="1" applyProtection="1">
      <alignment horizontal="left" vertical="center"/>
      <protection/>
    </xf>
    <xf numFmtId="0" fontId="21" fillId="0" borderId="50" xfId="59" applyFont="1" applyBorder="1" applyAlignment="1" applyProtection="1">
      <alignment horizontal="left" vertical="center"/>
      <protection/>
    </xf>
    <xf numFmtId="182" fontId="24" fillId="0" borderId="51" xfId="59" applyNumberFormat="1" applyFont="1" applyBorder="1" applyAlignment="1" applyProtection="1">
      <alignment horizontal="right" vertical="center"/>
      <protection/>
    </xf>
    <xf numFmtId="181" fontId="37" fillId="0" borderId="52" xfId="59" applyNumberFormat="1" applyFont="1" applyBorder="1" applyAlignment="1" applyProtection="1">
      <alignment horizontal="right" vertical="center"/>
      <protection/>
    </xf>
    <xf numFmtId="0" fontId="21" fillId="0" borderId="53" xfId="59" applyFont="1" applyBorder="1" applyAlignment="1" applyProtection="1">
      <alignment horizontal="left" vertical="center"/>
      <protection/>
    </xf>
    <xf numFmtId="0" fontId="21" fillId="0" borderId="54" xfId="59" applyFont="1" applyBorder="1" applyAlignment="1" applyProtection="1">
      <alignment horizontal="center" vertical="center"/>
      <protection/>
    </xf>
    <xf numFmtId="0" fontId="21" fillId="0" borderId="55" xfId="59" applyFont="1" applyBorder="1" applyAlignment="1" applyProtection="1">
      <alignment horizontal="left" vertical="center"/>
      <protection/>
    </xf>
    <xf numFmtId="0" fontId="22" fillId="0" borderId="48" xfId="59" applyFont="1" applyBorder="1" applyAlignment="1" applyProtection="1">
      <alignment horizontal="left" vertical="center"/>
      <protection/>
    </xf>
    <xf numFmtId="0" fontId="21" fillId="0" borderId="12" xfId="59" applyFont="1" applyBorder="1" applyAlignment="1" applyProtection="1">
      <alignment horizontal="left" vertical="center"/>
      <protection/>
    </xf>
    <xf numFmtId="181" fontId="0" fillId="0" borderId="10" xfId="59" applyNumberFormat="1" applyFont="1" applyBorder="1" applyAlignment="1" applyProtection="1">
      <alignment horizontal="right" vertical="center"/>
      <protection/>
    </xf>
    <xf numFmtId="180" fontId="0" fillId="0" borderId="12" xfId="59" applyNumberFormat="1" applyFont="1" applyBorder="1" applyAlignment="1" applyProtection="1">
      <alignment horizontal="right" vertical="center"/>
      <protection/>
    </xf>
    <xf numFmtId="181" fontId="37" fillId="0" borderId="56" xfId="59" applyNumberFormat="1" applyFont="1" applyBorder="1" applyAlignment="1" applyProtection="1">
      <alignment horizontal="right" vertical="center"/>
      <protection/>
    </xf>
    <xf numFmtId="0" fontId="21" fillId="0" borderId="57" xfId="59" applyFont="1" applyBorder="1" applyAlignment="1" applyProtection="1">
      <alignment horizontal="center" vertical="center"/>
      <protection/>
    </xf>
    <xf numFmtId="0" fontId="21" fillId="0" borderId="41" xfId="59" applyFont="1" applyBorder="1" applyAlignment="1" applyProtection="1">
      <alignment horizontal="left" vertical="center"/>
      <protection/>
    </xf>
    <xf numFmtId="0" fontId="21" fillId="0" borderId="40" xfId="59" applyFont="1" applyBorder="1" applyAlignment="1" applyProtection="1">
      <alignment horizontal="left" vertical="center"/>
      <protection/>
    </xf>
    <xf numFmtId="0" fontId="21" fillId="0" borderId="16" xfId="59" applyFont="1" applyBorder="1" applyAlignment="1" applyProtection="1">
      <alignment horizontal="left" vertical="center"/>
      <protection/>
    </xf>
    <xf numFmtId="181" fontId="37" fillId="0" borderId="58" xfId="59" applyNumberFormat="1" applyFont="1" applyBorder="1" applyAlignment="1" applyProtection="1">
      <alignment horizontal="right" vertical="center"/>
      <protection/>
    </xf>
    <xf numFmtId="0" fontId="21" fillId="0" borderId="13" xfId="59" applyFont="1" applyBorder="1" applyAlignment="1" applyProtection="1">
      <alignment horizontal="center" vertical="center"/>
      <protection/>
    </xf>
    <xf numFmtId="181" fontId="37" fillId="0" borderId="11" xfId="59" applyNumberFormat="1" applyFont="1" applyBorder="1" applyAlignment="1" applyProtection="1">
      <alignment horizontal="right" vertical="center"/>
      <protection/>
    </xf>
    <xf numFmtId="180" fontId="37" fillId="0" borderId="28" xfId="59" applyNumberFormat="1" applyFont="1" applyBorder="1" applyAlignment="1" applyProtection="1">
      <alignment horizontal="right" vertical="center"/>
      <protection/>
    </xf>
    <xf numFmtId="181" fontId="37" fillId="0" borderId="59" xfId="59" applyNumberFormat="1" applyFont="1" applyBorder="1" applyAlignment="1" applyProtection="1">
      <alignment horizontal="right" vertical="center"/>
      <protection/>
    </xf>
    <xf numFmtId="0" fontId="36" fillId="0" borderId="30" xfId="59" applyFont="1" applyBorder="1" applyAlignment="1" applyProtection="1">
      <alignment horizontal="left" vertical="top"/>
      <protection/>
    </xf>
    <xf numFmtId="0" fontId="21" fillId="0" borderId="60" xfId="59" applyFont="1" applyBorder="1" applyAlignment="1" applyProtection="1">
      <alignment horizontal="left" vertical="center"/>
      <protection/>
    </xf>
    <xf numFmtId="0" fontId="21" fillId="0" borderId="61" xfId="59" applyFont="1" applyBorder="1" applyAlignment="1" applyProtection="1">
      <alignment horizontal="left" vertical="center"/>
      <protection/>
    </xf>
    <xf numFmtId="0" fontId="21" fillId="0" borderId="62" xfId="59" applyFont="1" applyBorder="1" applyAlignment="1" applyProtection="1">
      <alignment horizontal="left" vertical="center"/>
      <protection/>
    </xf>
    <xf numFmtId="0" fontId="21" fillId="0" borderId="63" xfId="59" applyFont="1" applyBorder="1" applyAlignment="1" applyProtection="1">
      <alignment horizontal="left" vertical="center"/>
      <protection/>
    </xf>
    <xf numFmtId="0" fontId="21" fillId="0" borderId="64" xfId="59" applyFont="1" applyBorder="1" applyAlignment="1" applyProtection="1">
      <alignment horizontal="left"/>
      <protection/>
    </xf>
    <xf numFmtId="0" fontId="21" fillId="0" borderId="65" xfId="59" applyFont="1" applyBorder="1" applyAlignment="1" applyProtection="1">
      <alignment horizontal="left" vertical="center"/>
      <protection/>
    </xf>
    <xf numFmtId="0" fontId="21" fillId="0" borderId="66" xfId="59" applyFont="1" applyBorder="1" applyAlignment="1" applyProtection="1">
      <alignment horizontal="left" vertical="center"/>
      <protection/>
    </xf>
    <xf numFmtId="0" fontId="21" fillId="0" borderId="67" xfId="59" applyFont="1" applyBorder="1" applyAlignment="1" applyProtection="1">
      <alignment horizontal="left"/>
      <protection/>
    </xf>
    <xf numFmtId="180" fontId="24" fillId="0" borderId="48" xfId="59" applyNumberFormat="1" applyFont="1" applyBorder="1" applyAlignment="1" applyProtection="1">
      <alignment horizontal="right" vertical="center"/>
      <protection/>
    </xf>
    <xf numFmtId="2" fontId="24" fillId="0" borderId="50" xfId="59" applyNumberFormat="1" applyFont="1" applyBorder="1" applyAlignment="1" applyProtection="1">
      <alignment horizontal="right" vertical="center"/>
      <protection/>
    </xf>
    <xf numFmtId="0" fontId="36" fillId="0" borderId="68" xfId="59" applyFont="1" applyBorder="1" applyAlignment="1" applyProtection="1">
      <alignment horizontal="left" vertical="top"/>
      <protection/>
    </xf>
    <xf numFmtId="0" fontId="21" fillId="0" borderId="69" xfId="59" applyFont="1" applyBorder="1" applyAlignment="1" applyProtection="1">
      <alignment horizontal="left" vertical="center"/>
      <protection/>
    </xf>
    <xf numFmtId="0" fontId="21" fillId="0" borderId="70" xfId="59" applyFont="1" applyBorder="1" applyAlignment="1" applyProtection="1">
      <alignment horizontal="left" vertical="center"/>
      <protection/>
    </xf>
    <xf numFmtId="0" fontId="21" fillId="0" borderId="71" xfId="59" applyFont="1" applyBorder="1" applyAlignment="1" applyProtection="1">
      <alignment horizontal="left" vertical="center"/>
      <protection/>
    </xf>
    <xf numFmtId="177" fontId="24" fillId="0" borderId="50" xfId="59" applyNumberFormat="1" applyFont="1" applyBorder="1" applyAlignment="1" applyProtection="1">
      <alignment horizontal="right" vertical="center"/>
      <protection/>
    </xf>
    <xf numFmtId="0" fontId="36" fillId="0" borderId="41" xfId="59" applyFont="1" applyBorder="1" applyAlignment="1" applyProtection="1">
      <alignment horizontal="left" vertical="center"/>
      <protection/>
    </xf>
    <xf numFmtId="0" fontId="21" fillId="0" borderId="72" xfId="59" applyFont="1" applyBorder="1" applyAlignment="1" applyProtection="1">
      <alignment horizontal="left" vertical="center"/>
      <protection/>
    </xf>
    <xf numFmtId="0" fontId="21" fillId="0" borderId="73" xfId="59" applyFont="1" applyBorder="1" applyAlignment="1" applyProtection="1">
      <alignment horizontal="left" vertical="center"/>
      <protection/>
    </xf>
    <xf numFmtId="14" fontId="21" fillId="0" borderId="73" xfId="59" applyNumberFormat="1" applyFont="1" applyBorder="1" applyAlignment="1" applyProtection="1">
      <alignment horizontal="left" vertical="center"/>
      <protection/>
    </xf>
    <xf numFmtId="0" fontId="21" fillId="0" borderId="74" xfId="59" applyFont="1" applyBorder="1" applyAlignment="1" applyProtection="1">
      <alignment horizontal="left" vertical="center"/>
      <protection/>
    </xf>
    <xf numFmtId="0" fontId="21" fillId="0" borderId="75" xfId="59" applyFont="1" applyBorder="1" applyAlignment="1" applyProtection="1">
      <alignment horizontal="left" vertical="center"/>
      <protection/>
    </xf>
    <xf numFmtId="0" fontId="38" fillId="0" borderId="76" xfId="59" applyFont="1" applyBorder="1" applyAlignment="1" applyProtection="1">
      <alignment horizontal="left" vertical="center"/>
      <protection/>
    </xf>
    <xf numFmtId="0" fontId="21" fillId="0" borderId="77" xfId="59" applyFont="1" applyBorder="1" applyAlignment="1" applyProtection="1">
      <alignment horizontal="left" vertical="center"/>
      <protection/>
    </xf>
    <xf numFmtId="0" fontId="36" fillId="0" borderId="78" xfId="59" applyFont="1" applyBorder="1" applyAlignment="1" applyProtection="1">
      <alignment horizontal="left" vertical="center"/>
      <protection/>
    </xf>
    <xf numFmtId="0" fontId="21" fillId="0" borderId="79" xfId="59" applyFont="1" applyBorder="1" applyAlignment="1" applyProtection="1">
      <alignment horizontal="left" vertical="center"/>
      <protection/>
    </xf>
    <xf numFmtId="0" fontId="0" fillId="0" borderId="80" xfId="59" applyFont="1" applyBorder="1" applyAlignment="1" applyProtection="1">
      <alignment horizontal="left" vertical="center"/>
      <protection/>
    </xf>
    <xf numFmtId="181" fontId="37" fillId="0" borderId="10" xfId="59" applyNumberFormat="1" applyFont="1" applyBorder="1" applyAlignment="1" applyProtection="1">
      <alignment horizontal="center" vertical="center"/>
      <protection/>
    </xf>
    <xf numFmtId="3" fontId="39" fillId="0" borderId="56" xfId="59" applyNumberFormat="1" applyFont="1" applyBorder="1" applyAlignment="1" applyProtection="1">
      <alignment horizontal="right" vertical="center"/>
      <protection/>
    </xf>
    <xf numFmtId="3" fontId="39" fillId="0" borderId="81" xfId="59" applyNumberFormat="1" applyFont="1" applyBorder="1" applyAlignment="1" applyProtection="1">
      <alignment horizontal="right" vertical="center"/>
      <protection/>
    </xf>
    <xf numFmtId="3" fontId="37" fillId="0" borderId="52" xfId="59" applyNumberFormat="1" applyFont="1" applyBorder="1" applyAlignment="1" applyProtection="1">
      <alignment horizontal="right" vertical="center"/>
      <protection/>
    </xf>
    <xf numFmtId="3" fontId="39" fillId="0" borderId="82" xfId="59" applyNumberFormat="1" applyFont="1" applyBorder="1" applyAlignment="1" applyProtection="1">
      <alignment horizontal="right" vertical="center"/>
      <protection/>
    </xf>
    <xf numFmtId="176" fontId="24" fillId="0" borderId="83" xfId="0" applyNumberFormat="1" applyFont="1" applyFill="1" applyBorder="1" applyAlignment="1" applyProtection="1">
      <alignment horizontal="center" vertical="center"/>
      <protection/>
    </xf>
    <xf numFmtId="0" fontId="24" fillId="0" borderId="83" xfId="0" applyFont="1" applyFill="1" applyBorder="1" applyAlignment="1" applyProtection="1">
      <alignment horizontal="center" vertical="center" wrapText="1"/>
      <protection/>
    </xf>
    <xf numFmtId="0" fontId="21" fillId="0" borderId="84" xfId="0" applyFont="1" applyFill="1" applyBorder="1" applyAlignment="1" applyProtection="1">
      <alignment horizontal="left" vertical="center"/>
      <protection/>
    </xf>
    <xf numFmtId="4" fontId="21" fillId="0" borderId="84" xfId="0" applyNumberFormat="1" applyFont="1" applyFill="1" applyBorder="1" applyAlignment="1" applyProtection="1">
      <alignment horizontal="right" vertical="center"/>
      <protection/>
    </xf>
    <xf numFmtId="178" fontId="21" fillId="0" borderId="84" xfId="0" applyNumberFormat="1" applyFont="1" applyFill="1" applyBorder="1" applyAlignment="1" applyProtection="1">
      <alignment horizontal="right" vertical="center"/>
      <protection/>
    </xf>
    <xf numFmtId="179" fontId="21" fillId="0" borderId="84" xfId="0" applyNumberFormat="1" applyFont="1" applyFill="1" applyBorder="1" applyAlignment="1" applyProtection="1">
      <alignment horizontal="right" vertical="center"/>
      <protection/>
    </xf>
    <xf numFmtId="177" fontId="21" fillId="0" borderId="84" xfId="0" applyNumberFormat="1" applyFont="1" applyFill="1" applyBorder="1" applyAlignment="1" applyProtection="1">
      <alignment horizontal="right" vertical="center"/>
      <protection/>
    </xf>
    <xf numFmtId="0" fontId="21" fillId="0" borderId="84" xfId="0" applyFont="1" applyFill="1" applyBorder="1" applyAlignment="1" applyProtection="1">
      <alignment horizontal="center" vertical="center"/>
      <protection/>
    </xf>
    <xf numFmtId="0" fontId="21" fillId="0" borderId="84" xfId="0" applyFont="1" applyFill="1" applyBorder="1" applyAlignment="1" applyProtection="1">
      <alignment horizontal="left" vertical="center" wrapText="1"/>
      <protection/>
    </xf>
    <xf numFmtId="178" fontId="30" fillId="0" borderId="84" xfId="0" applyNumberFormat="1" applyFont="1" applyFill="1" applyBorder="1" applyAlignment="1" applyProtection="1">
      <alignment horizontal="right" vertical="center"/>
      <protection/>
    </xf>
    <xf numFmtId="178" fontId="22" fillId="0" borderId="84" xfId="0" applyNumberFormat="1" applyFont="1" applyFill="1" applyBorder="1" applyAlignment="1" applyProtection="1">
      <alignment horizontal="right" vertical="center"/>
      <protection/>
    </xf>
    <xf numFmtId="0" fontId="22" fillId="0" borderId="84" xfId="0" applyFont="1" applyFill="1" applyBorder="1" applyAlignment="1" applyProtection="1">
      <alignment horizontal="left" vertical="center"/>
      <protection/>
    </xf>
    <xf numFmtId="177" fontId="21" fillId="0" borderId="84" xfId="50" applyNumberFormat="1" applyFont="1" applyFill="1" applyBorder="1" applyAlignment="1" applyProtection="1">
      <alignment horizontal="right" vertical="center"/>
      <protection/>
    </xf>
    <xf numFmtId="0" fontId="21" fillId="0" borderId="84" xfId="50" applyFont="1" applyFill="1" applyBorder="1" applyAlignment="1" applyProtection="1">
      <alignment horizontal="center" vertical="center"/>
      <protection/>
    </xf>
    <xf numFmtId="0" fontId="21" fillId="0" borderId="84" xfId="50" applyFont="1" applyFill="1" applyBorder="1" applyAlignment="1" applyProtection="1">
      <alignment horizontal="left" vertical="center" wrapText="1"/>
      <protection/>
    </xf>
    <xf numFmtId="0" fontId="21" fillId="0" borderId="84" xfId="50" applyFont="1" applyFill="1" applyBorder="1" applyAlignment="1" applyProtection="1">
      <alignment horizontal="left" vertical="center"/>
      <protection/>
    </xf>
    <xf numFmtId="0" fontId="21" fillId="0" borderId="85" xfId="0" applyFont="1" applyFill="1" applyBorder="1" applyAlignment="1" applyProtection="1">
      <alignment horizontal="left" vertical="center"/>
      <protection/>
    </xf>
    <xf numFmtId="4" fontId="21" fillId="0" borderId="85" xfId="0" applyNumberFormat="1" applyFont="1" applyFill="1" applyBorder="1" applyAlignment="1" applyProtection="1">
      <alignment horizontal="right" vertical="center"/>
      <protection/>
    </xf>
    <xf numFmtId="0" fontId="21" fillId="0" borderId="86" xfId="0" applyFont="1" applyFill="1" applyBorder="1" applyAlignment="1" applyProtection="1">
      <alignment horizontal="left" vertical="center"/>
      <protection/>
    </xf>
    <xf numFmtId="4" fontId="21" fillId="0" borderId="86" xfId="0" applyNumberFormat="1" applyFont="1" applyFill="1" applyBorder="1" applyAlignment="1" applyProtection="1">
      <alignment horizontal="right" vertical="center"/>
      <protection/>
    </xf>
    <xf numFmtId="0" fontId="21" fillId="0" borderId="87" xfId="0" applyFont="1" applyFill="1" applyBorder="1" applyAlignment="1" applyProtection="1">
      <alignment horizontal="left" vertical="center"/>
      <protection/>
    </xf>
    <xf numFmtId="0" fontId="21" fillId="0" borderId="87" xfId="54" applyFont="1" applyFill="1" applyBorder="1" applyAlignment="1" applyProtection="1">
      <alignment horizontal="left" vertical="center"/>
      <protection/>
    </xf>
    <xf numFmtId="0" fontId="21" fillId="0" borderId="87" xfId="54" applyFont="1" applyFill="1" applyBorder="1" applyAlignment="1" applyProtection="1">
      <alignment horizontal="left" vertical="center" wrapText="1"/>
      <protection/>
    </xf>
    <xf numFmtId="0" fontId="21" fillId="0" borderId="87" xfId="54" applyFont="1" applyFill="1" applyBorder="1" applyAlignment="1" applyProtection="1">
      <alignment horizontal="center" vertical="center"/>
      <protection/>
    </xf>
    <xf numFmtId="4" fontId="21" fillId="0" borderId="87" xfId="0" applyNumberFormat="1" applyFont="1" applyFill="1" applyBorder="1" applyAlignment="1" applyProtection="1">
      <alignment horizontal="right" vertical="center"/>
      <protection/>
    </xf>
    <xf numFmtId="177" fontId="21" fillId="0" borderId="87" xfId="54" applyNumberFormat="1" applyFont="1" applyFill="1" applyBorder="1" applyAlignment="1" applyProtection="1">
      <alignment horizontal="right" vertical="center"/>
      <protection/>
    </xf>
    <xf numFmtId="179" fontId="21" fillId="0" borderId="87" xfId="54" applyNumberFormat="1" applyFont="1" applyFill="1" applyBorder="1" applyAlignment="1" applyProtection="1">
      <alignment horizontal="right" vertical="center"/>
      <protection/>
    </xf>
    <xf numFmtId="178" fontId="21" fillId="0" borderId="87" xfId="54" applyNumberFormat="1" applyFont="1" applyFill="1" applyBorder="1" applyAlignment="1" applyProtection="1">
      <alignment horizontal="right" vertical="center"/>
      <protection/>
    </xf>
    <xf numFmtId="0" fontId="21" fillId="0" borderId="87" xfId="52" applyFont="1" applyFill="1" applyBorder="1" applyAlignment="1" applyProtection="1">
      <alignment horizontal="left" vertical="center"/>
      <protection/>
    </xf>
    <xf numFmtId="0" fontId="21" fillId="0" borderId="87" xfId="52" applyFont="1" applyFill="1" applyBorder="1" applyAlignment="1" applyProtection="1">
      <alignment horizontal="left" vertical="center" wrapText="1"/>
      <protection/>
    </xf>
    <xf numFmtId="0" fontId="21" fillId="0" borderId="87" xfId="52" applyFont="1" applyFill="1" applyBorder="1" applyAlignment="1" applyProtection="1">
      <alignment horizontal="center" vertical="center"/>
      <protection/>
    </xf>
    <xf numFmtId="177" fontId="21" fillId="0" borderId="87" xfId="52" applyNumberFormat="1" applyFont="1" applyFill="1" applyBorder="1" applyAlignment="1" applyProtection="1">
      <alignment horizontal="right" vertical="center"/>
      <protection/>
    </xf>
    <xf numFmtId="179" fontId="21" fillId="0" borderId="87" xfId="52" applyNumberFormat="1" applyFont="1" applyFill="1" applyBorder="1" applyAlignment="1" applyProtection="1">
      <alignment horizontal="right" vertical="center"/>
      <protection/>
    </xf>
    <xf numFmtId="178" fontId="21" fillId="0" borderId="87" xfId="52" applyNumberFormat="1" applyFont="1" applyFill="1" applyBorder="1" applyAlignment="1" applyProtection="1">
      <alignment horizontal="right" vertical="center"/>
      <protection/>
    </xf>
    <xf numFmtId="178" fontId="21" fillId="0" borderId="85" xfId="0" applyNumberFormat="1" applyFont="1" applyFill="1" applyBorder="1" applyAlignment="1" applyProtection="1">
      <alignment horizontal="right" vertical="center"/>
      <protection/>
    </xf>
    <xf numFmtId="179" fontId="21" fillId="0" borderId="85" xfId="0" applyNumberFormat="1" applyFont="1" applyFill="1" applyBorder="1" applyAlignment="1" applyProtection="1">
      <alignment horizontal="right" vertical="center"/>
      <protection/>
    </xf>
    <xf numFmtId="177" fontId="21" fillId="0" borderId="85" xfId="0" applyNumberFormat="1" applyFont="1" applyFill="1" applyBorder="1" applyAlignment="1" applyProtection="1">
      <alignment horizontal="right" vertical="center"/>
      <protection/>
    </xf>
    <xf numFmtId="0" fontId="21" fillId="0" borderId="85" xfId="0" applyFont="1" applyFill="1" applyBorder="1" applyAlignment="1" applyProtection="1">
      <alignment horizontal="center" vertical="center"/>
      <protection/>
    </xf>
    <xf numFmtId="0" fontId="21" fillId="0" borderId="85" xfId="0" applyFont="1" applyFill="1" applyBorder="1" applyAlignment="1" applyProtection="1">
      <alignment horizontal="left" vertical="center" wrapText="1"/>
      <protection/>
    </xf>
    <xf numFmtId="0" fontId="21" fillId="0" borderId="87" xfId="0" applyFont="1" applyFill="1" applyBorder="1" applyAlignment="1" applyProtection="1">
      <alignment horizontal="center" vertical="center"/>
      <protection/>
    </xf>
    <xf numFmtId="0" fontId="21" fillId="0" borderId="87" xfId="0" applyFont="1" applyFill="1" applyBorder="1" applyAlignment="1" applyProtection="1">
      <alignment horizontal="left" vertical="center" wrapText="1"/>
      <protection/>
    </xf>
    <xf numFmtId="177" fontId="21" fillId="0" borderId="87" xfId="0" applyNumberFormat="1" applyFont="1" applyFill="1" applyBorder="1" applyAlignment="1" applyProtection="1">
      <alignment horizontal="right" vertical="center"/>
      <protection/>
    </xf>
    <xf numFmtId="179" fontId="21" fillId="0" borderId="87" xfId="0" applyNumberFormat="1" applyFont="1" applyFill="1" applyBorder="1" applyAlignment="1" applyProtection="1">
      <alignment horizontal="right" vertical="center"/>
      <protection/>
    </xf>
    <xf numFmtId="178" fontId="21" fillId="0" borderId="87" xfId="0" applyNumberFormat="1" applyFont="1" applyFill="1" applyBorder="1" applyAlignment="1" applyProtection="1">
      <alignment horizontal="right" vertical="center"/>
      <protection/>
    </xf>
    <xf numFmtId="0" fontId="21" fillId="0" borderId="87" xfId="53" applyFont="1" applyFill="1" applyBorder="1" applyAlignment="1" applyProtection="1">
      <alignment horizontal="left" vertical="center"/>
      <protection/>
    </xf>
    <xf numFmtId="0" fontId="21" fillId="0" borderId="87" xfId="53" applyFont="1" applyFill="1" applyBorder="1" applyAlignment="1" applyProtection="1">
      <alignment horizontal="left" vertical="center" wrapText="1"/>
      <protection/>
    </xf>
    <xf numFmtId="0" fontId="21" fillId="0" borderId="87" xfId="53" applyFont="1" applyFill="1" applyBorder="1" applyAlignment="1" applyProtection="1">
      <alignment horizontal="center" vertical="center"/>
      <protection/>
    </xf>
    <xf numFmtId="177" fontId="21" fillId="0" borderId="87" xfId="53" applyNumberFormat="1" applyFont="1" applyFill="1" applyBorder="1" applyAlignment="1" applyProtection="1">
      <alignment horizontal="right" vertical="center"/>
      <protection/>
    </xf>
    <xf numFmtId="179" fontId="21" fillId="0" borderId="87" xfId="53" applyNumberFormat="1" applyFont="1" applyFill="1" applyBorder="1" applyAlignment="1" applyProtection="1">
      <alignment horizontal="right" vertical="center"/>
      <protection/>
    </xf>
    <xf numFmtId="178" fontId="21" fillId="0" borderId="87" xfId="53" applyNumberFormat="1" applyFont="1" applyFill="1" applyBorder="1" applyAlignment="1" applyProtection="1">
      <alignment horizontal="right" vertical="center"/>
      <protection/>
    </xf>
    <xf numFmtId="0" fontId="21" fillId="0" borderId="87" xfId="55" applyFont="1" applyFill="1" applyBorder="1" applyAlignment="1" applyProtection="1">
      <alignment horizontal="left" vertical="center"/>
      <protection/>
    </xf>
    <xf numFmtId="0" fontId="21" fillId="0" borderId="87" xfId="55" applyFont="1" applyFill="1" applyBorder="1" applyAlignment="1" applyProtection="1">
      <alignment horizontal="left" vertical="center" wrapText="1"/>
      <protection/>
    </xf>
    <xf numFmtId="0" fontId="21" fillId="0" borderId="87" xfId="55" applyFont="1" applyFill="1" applyBorder="1" applyAlignment="1" applyProtection="1">
      <alignment horizontal="center" vertical="center"/>
      <protection/>
    </xf>
    <xf numFmtId="177" fontId="21" fillId="0" borderId="87" xfId="55" applyNumberFormat="1" applyFont="1" applyFill="1" applyBorder="1" applyAlignment="1" applyProtection="1">
      <alignment horizontal="right" vertical="center"/>
      <protection/>
    </xf>
    <xf numFmtId="179" fontId="21" fillId="0" borderId="87" xfId="55" applyNumberFormat="1" applyFont="1" applyFill="1" applyBorder="1" applyAlignment="1" applyProtection="1">
      <alignment horizontal="right" vertical="center"/>
      <protection/>
    </xf>
    <xf numFmtId="178" fontId="21" fillId="0" borderId="87" xfId="55" applyNumberFormat="1" applyFont="1" applyFill="1" applyBorder="1" applyAlignment="1" applyProtection="1">
      <alignment horizontal="right" vertical="center"/>
      <protection/>
    </xf>
    <xf numFmtId="0" fontId="21" fillId="0" borderId="86" xfId="0" applyFont="1" applyFill="1" applyBorder="1" applyAlignment="1" applyProtection="1">
      <alignment horizontal="center" vertical="center"/>
      <protection/>
    </xf>
    <xf numFmtId="0" fontId="21" fillId="0" borderId="86" xfId="0" applyFont="1" applyFill="1" applyBorder="1" applyAlignment="1" applyProtection="1">
      <alignment horizontal="left" vertical="center" wrapText="1"/>
      <protection/>
    </xf>
    <xf numFmtId="177" fontId="21" fillId="0" borderId="86" xfId="0" applyNumberFormat="1" applyFont="1" applyFill="1" applyBorder="1" applyAlignment="1" applyProtection="1">
      <alignment horizontal="right" vertical="center"/>
      <protection/>
    </xf>
    <xf numFmtId="179" fontId="21" fillId="0" borderId="86" xfId="0" applyNumberFormat="1" applyFont="1" applyFill="1" applyBorder="1" applyAlignment="1" applyProtection="1">
      <alignment horizontal="right" vertical="center"/>
      <protection/>
    </xf>
    <xf numFmtId="178" fontId="21" fillId="0" borderId="86" xfId="0" applyNumberFormat="1" applyFont="1" applyFill="1" applyBorder="1" applyAlignment="1" applyProtection="1">
      <alignment horizontal="right" vertical="center"/>
      <protection/>
    </xf>
    <xf numFmtId="0" fontId="21" fillId="0" borderId="87" xfId="56" applyFont="1" applyFill="1" applyBorder="1" applyAlignment="1" applyProtection="1">
      <alignment horizontal="left" vertical="center"/>
      <protection/>
    </xf>
    <xf numFmtId="0" fontId="21" fillId="0" borderId="87" xfId="56" applyFont="1" applyFill="1" applyBorder="1" applyAlignment="1" applyProtection="1">
      <alignment horizontal="left" vertical="center" wrapText="1"/>
      <protection/>
    </xf>
    <xf numFmtId="0" fontId="21" fillId="0" borderId="87" xfId="56" applyFont="1" applyFill="1" applyBorder="1" applyAlignment="1" applyProtection="1">
      <alignment horizontal="center" vertical="center"/>
      <protection/>
    </xf>
    <xf numFmtId="177" fontId="21" fillId="0" borderId="87" xfId="56" applyNumberFormat="1" applyFont="1" applyFill="1" applyBorder="1" applyAlignment="1" applyProtection="1">
      <alignment horizontal="right" vertical="center"/>
      <protection/>
    </xf>
    <xf numFmtId="179" fontId="21" fillId="0" borderId="87" xfId="56" applyNumberFormat="1" applyFont="1" applyFill="1" applyBorder="1" applyAlignment="1" applyProtection="1">
      <alignment horizontal="right" vertical="center"/>
      <protection/>
    </xf>
    <xf numFmtId="178" fontId="21" fillId="0" borderId="87" xfId="56" applyNumberFormat="1" applyFont="1" applyFill="1" applyBorder="1" applyAlignment="1" applyProtection="1">
      <alignment horizontal="right" vertical="center"/>
      <protection/>
    </xf>
    <xf numFmtId="0" fontId="21" fillId="0" borderId="87" xfId="58" applyFont="1" applyFill="1" applyBorder="1" applyAlignment="1" applyProtection="1">
      <alignment horizontal="left" vertical="center"/>
      <protection/>
    </xf>
    <xf numFmtId="0" fontId="21" fillId="0" borderId="87" xfId="58" applyFont="1" applyFill="1" applyBorder="1" applyAlignment="1" applyProtection="1">
      <alignment horizontal="left" vertical="center" wrapText="1"/>
      <protection/>
    </xf>
    <xf numFmtId="0" fontId="21" fillId="0" borderId="87" xfId="58" applyFont="1" applyFill="1" applyBorder="1" applyAlignment="1" applyProtection="1">
      <alignment horizontal="center" vertical="center"/>
      <protection/>
    </xf>
    <xf numFmtId="178" fontId="21" fillId="0" borderId="87" xfId="58" applyNumberFormat="1" applyFont="1" applyFill="1" applyBorder="1" applyAlignment="1" applyProtection="1">
      <alignment horizontal="right" vertical="center"/>
      <protection/>
    </xf>
    <xf numFmtId="177" fontId="21" fillId="0" borderId="87" xfId="58" applyNumberFormat="1" applyFont="1" applyFill="1" applyBorder="1" applyAlignment="1" applyProtection="1">
      <alignment horizontal="right" vertical="center"/>
      <protection/>
    </xf>
    <xf numFmtId="179" fontId="21" fillId="0" borderId="87" xfId="58" applyNumberFormat="1" applyFont="1" applyFill="1" applyBorder="1" applyAlignment="1" applyProtection="1">
      <alignment horizontal="right" vertical="center"/>
      <protection/>
    </xf>
    <xf numFmtId="0" fontId="21" fillId="0" borderId="87" xfId="57" applyFont="1" applyFill="1" applyBorder="1" applyAlignment="1" applyProtection="1">
      <alignment horizontal="left" vertical="center"/>
      <protection/>
    </xf>
    <xf numFmtId="0" fontId="21" fillId="0" borderId="87" xfId="57" applyFont="1" applyFill="1" applyBorder="1" applyAlignment="1" applyProtection="1">
      <alignment horizontal="left" vertical="center" wrapText="1"/>
      <protection/>
    </xf>
    <xf numFmtId="0" fontId="21" fillId="0" borderId="87" xfId="57" applyFont="1" applyFill="1" applyBorder="1" applyAlignment="1" applyProtection="1">
      <alignment horizontal="center" vertical="center"/>
      <protection/>
    </xf>
    <xf numFmtId="177" fontId="21" fillId="0" borderId="87" xfId="57" applyNumberFormat="1" applyFont="1" applyFill="1" applyBorder="1" applyAlignment="1" applyProtection="1">
      <alignment horizontal="right" vertical="center"/>
      <protection/>
    </xf>
    <xf numFmtId="179" fontId="21" fillId="0" borderId="87" xfId="57" applyNumberFormat="1" applyFont="1" applyFill="1" applyBorder="1" applyAlignment="1" applyProtection="1">
      <alignment horizontal="right" vertical="center"/>
      <protection/>
    </xf>
    <xf numFmtId="178" fontId="21" fillId="0" borderId="87" xfId="57" applyNumberFormat="1" applyFont="1" applyFill="1" applyBorder="1" applyAlignment="1" applyProtection="1">
      <alignment horizontal="right" vertical="center"/>
      <protection/>
    </xf>
    <xf numFmtId="178" fontId="30" fillId="0" borderId="85" xfId="0" applyNumberFormat="1" applyFont="1" applyFill="1" applyBorder="1" applyAlignment="1" applyProtection="1">
      <alignment horizontal="right" vertical="center"/>
      <protection/>
    </xf>
    <xf numFmtId="178" fontId="30" fillId="0" borderId="86" xfId="0" applyNumberFormat="1" applyFont="1" applyFill="1" applyBorder="1" applyAlignment="1" applyProtection="1">
      <alignment horizontal="right" vertical="center"/>
      <protection/>
    </xf>
    <xf numFmtId="178" fontId="30" fillId="0" borderId="87" xfId="0" applyNumberFormat="1" applyFont="1" applyFill="1" applyBorder="1" applyAlignment="1" applyProtection="1">
      <alignment horizontal="right" vertical="center"/>
      <protection/>
    </xf>
    <xf numFmtId="0" fontId="21" fillId="0" borderId="87" xfId="48" applyFont="1" applyFill="1" applyBorder="1" applyAlignment="1" applyProtection="1">
      <alignment horizontal="left" vertical="center"/>
      <protection/>
    </xf>
    <xf numFmtId="0" fontId="21" fillId="0" borderId="87" xfId="48" applyFont="1" applyFill="1" applyBorder="1" applyAlignment="1" applyProtection="1">
      <alignment horizontal="left" vertical="center" wrapText="1"/>
      <protection/>
    </xf>
    <xf numFmtId="0" fontId="21" fillId="0" borderId="87" xfId="48" applyFont="1" applyFill="1" applyBorder="1" applyAlignment="1" applyProtection="1">
      <alignment horizontal="center" vertical="center"/>
      <protection/>
    </xf>
    <xf numFmtId="177" fontId="21" fillId="0" borderId="87" xfId="48" applyNumberFormat="1" applyFont="1" applyFill="1" applyBorder="1" applyAlignment="1" applyProtection="1">
      <alignment horizontal="right" vertical="center"/>
      <protection/>
    </xf>
    <xf numFmtId="0" fontId="21" fillId="0" borderId="87" xfId="49" applyFont="1" applyFill="1" applyBorder="1" applyAlignment="1" applyProtection="1">
      <alignment horizontal="left" vertical="center"/>
      <protection/>
    </xf>
    <xf numFmtId="0" fontId="21" fillId="0" borderId="87" xfId="49" applyFont="1" applyFill="1" applyBorder="1" applyAlignment="1" applyProtection="1">
      <alignment horizontal="left" vertical="center" wrapText="1"/>
      <protection/>
    </xf>
    <xf numFmtId="0" fontId="21" fillId="0" borderId="87" xfId="49" applyFont="1" applyFill="1" applyBorder="1" applyAlignment="1" applyProtection="1">
      <alignment horizontal="center" vertical="center"/>
      <protection/>
    </xf>
    <xf numFmtId="177" fontId="21" fillId="0" borderId="87" xfId="49" applyNumberFormat="1" applyFont="1" applyFill="1" applyBorder="1" applyAlignment="1" applyProtection="1">
      <alignment horizontal="right" vertical="center"/>
      <protection/>
    </xf>
    <xf numFmtId="0" fontId="21" fillId="0" borderId="87" xfId="51" applyFont="1" applyFill="1" applyBorder="1" applyAlignment="1" applyProtection="1">
      <alignment horizontal="left" vertical="center"/>
      <protection/>
    </xf>
    <xf numFmtId="0" fontId="21" fillId="0" borderId="87" xfId="51" applyFont="1" applyFill="1" applyBorder="1" applyAlignment="1" applyProtection="1">
      <alignment horizontal="left" vertical="center" wrapText="1"/>
      <protection/>
    </xf>
    <xf numFmtId="0" fontId="21" fillId="0" borderId="87" xfId="51" applyFont="1" applyFill="1" applyBorder="1" applyAlignment="1" applyProtection="1">
      <alignment horizontal="center" vertical="center"/>
      <protection/>
    </xf>
    <xf numFmtId="177" fontId="21" fillId="0" borderId="87" xfId="51" applyNumberFormat="1" applyFont="1" applyFill="1" applyBorder="1" applyAlignment="1" applyProtection="1">
      <alignment horizontal="right" vertical="center"/>
      <protection/>
    </xf>
    <xf numFmtId="181" fontId="30" fillId="0" borderId="85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1" fillId="0" borderId="88" xfId="59" applyFont="1" applyBorder="1" applyAlignment="1" applyProtection="1">
      <alignment horizontal="center" vertical="center"/>
      <protection/>
    </xf>
    <xf numFmtId="0" fontId="5" fillId="0" borderId="89" xfId="59" applyBorder="1" applyAlignment="1">
      <alignment horizontal="center" vertical="center"/>
      <protection locked="0"/>
    </xf>
    <xf numFmtId="181" fontId="37" fillId="0" borderId="71" xfId="59" applyNumberFormat="1" applyFont="1" applyBorder="1" applyAlignment="1" applyProtection="1">
      <alignment horizontal="center" vertical="center"/>
      <protection/>
    </xf>
    <xf numFmtId="0" fontId="5" fillId="0" borderId="67" xfId="59" applyBorder="1" applyAlignment="1">
      <alignment horizontal="center" vertical="center"/>
      <protection locked="0"/>
    </xf>
    <xf numFmtId="0" fontId="5" fillId="0" borderId="58" xfId="59" applyBorder="1" applyAlignment="1">
      <alignment horizontal="center" vertical="center"/>
      <protection locked="0"/>
    </xf>
    <xf numFmtId="0" fontId="22" fillId="0" borderId="71" xfId="59" applyFont="1" applyBorder="1" applyAlignment="1" applyProtection="1">
      <alignment horizontal="center" vertical="center"/>
      <protection/>
    </xf>
    <xf numFmtId="0" fontId="5" fillId="0" borderId="70" xfId="59" applyBorder="1" applyAlignment="1">
      <alignment horizontal="center" vertical="center"/>
      <protection locked="0"/>
    </xf>
    <xf numFmtId="0" fontId="5" fillId="0" borderId="66" xfId="59" applyBorder="1" applyAlignment="1">
      <alignment horizontal="center" vertical="center"/>
      <protection locked="0"/>
    </xf>
    <xf numFmtId="0" fontId="21" fillId="0" borderId="87" xfId="0" applyFont="1" applyFill="1" applyBorder="1" applyAlignment="1" applyProtection="1">
      <alignment horizontal="center" vertical="center"/>
      <protection/>
    </xf>
    <xf numFmtId="0" fontId="21" fillId="0" borderId="85" xfId="0" applyFont="1" applyFill="1" applyBorder="1" applyAlignment="1" applyProtection="1">
      <alignment horizontal="center" vertical="center"/>
      <protection/>
    </xf>
    <xf numFmtId="0" fontId="21" fillId="0" borderId="86" xfId="0" applyFont="1" applyFill="1" applyBorder="1" applyAlignment="1" applyProtection="1">
      <alignment horizontal="center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Krycí list" xfId="47"/>
    <cellStyle name="Normal_Rozpocet" xfId="48"/>
    <cellStyle name="Normal_Rozpocet_1" xfId="49"/>
    <cellStyle name="Normal_Rozpocet_10" xfId="50"/>
    <cellStyle name="Normal_Rozpocet_2" xfId="51"/>
    <cellStyle name="Normal_Rozpocet_3" xfId="52"/>
    <cellStyle name="Normal_Rozpocet_4" xfId="53"/>
    <cellStyle name="Normal_Rozpocet_5" xfId="54"/>
    <cellStyle name="Normal_Rozpocet_6" xfId="55"/>
    <cellStyle name="Normal_Rozpocet_7" xfId="56"/>
    <cellStyle name="Normal_Rozpocet_8" xfId="57"/>
    <cellStyle name="Normal_Rozpocet_9" xfId="58"/>
    <cellStyle name="Normal_Sheet5_1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7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zoomScalePageLayoutView="0" workbookViewId="0" topLeftCell="A8">
      <selection activeCell="A32" sqref="A32"/>
    </sheetView>
  </sheetViews>
  <sheetFormatPr defaultColWidth="9.00390625" defaultRowHeight="12" customHeight="1"/>
  <cols>
    <col min="1" max="1" width="2.57421875" style="51" customWidth="1"/>
    <col min="2" max="2" width="2.140625" style="51" customWidth="1"/>
    <col min="3" max="3" width="3.28125" style="51" customWidth="1"/>
    <col min="4" max="4" width="6.7109375" style="51" customWidth="1"/>
    <col min="5" max="5" width="12.7109375" style="51" customWidth="1"/>
    <col min="6" max="6" width="1.28515625" style="51" customWidth="1"/>
    <col min="7" max="7" width="2.7109375" style="51" customWidth="1"/>
    <col min="8" max="8" width="2.57421875" style="51" customWidth="1"/>
    <col min="9" max="9" width="10.57421875" style="51" customWidth="1"/>
    <col min="10" max="10" width="8.421875" style="51" customWidth="1"/>
    <col min="11" max="11" width="0.5625" style="51" customWidth="1"/>
    <col min="12" max="12" width="2.57421875" style="51" customWidth="1"/>
    <col min="13" max="13" width="2.7109375" style="51" customWidth="1"/>
    <col min="14" max="14" width="3.421875" style="51" customWidth="1"/>
    <col min="15" max="15" width="13.140625" style="51" customWidth="1"/>
    <col min="16" max="16" width="6.421875" style="51" customWidth="1"/>
    <col min="17" max="17" width="12.7109375" style="51" customWidth="1"/>
    <col min="18" max="252" width="9.00390625" style="50" customWidth="1"/>
  </cols>
  <sheetData>
    <row r="1" spans="1:17" s="55" customFormat="1" ht="11.2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s="55" customFormat="1" ht="27" customHeight="1">
      <c r="A2" s="56"/>
      <c r="B2" s="57"/>
      <c r="C2" s="57"/>
      <c r="D2" s="57"/>
      <c r="E2" s="57"/>
      <c r="F2" s="57"/>
      <c r="G2" s="58" t="s">
        <v>0</v>
      </c>
      <c r="H2" s="57"/>
      <c r="I2" s="57"/>
      <c r="J2" s="57"/>
      <c r="K2" s="57"/>
      <c r="L2" s="57"/>
      <c r="M2" s="57"/>
      <c r="N2" s="57"/>
      <c r="O2" s="57"/>
      <c r="P2" s="57"/>
      <c r="Q2" s="59"/>
    </row>
    <row r="3" spans="1:17" s="51" customFormat="1" ht="14.2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</row>
    <row r="4" spans="1:17" s="51" customFormat="1" ht="9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s="51" customFormat="1" ht="18.75" customHeight="1">
      <c r="A5" s="66"/>
      <c r="B5" s="67" t="s">
        <v>1</v>
      </c>
      <c r="C5" s="67"/>
      <c r="D5" s="67"/>
      <c r="E5" s="68" t="s">
        <v>2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9"/>
      <c r="Q5" s="70"/>
    </row>
    <row r="6" spans="1:17" s="51" customFormat="1" ht="18.75" customHeight="1">
      <c r="A6" s="66"/>
      <c r="B6" s="67" t="s">
        <v>3</v>
      </c>
      <c r="C6" s="67"/>
      <c r="D6" s="67"/>
      <c r="E6" s="68"/>
      <c r="F6" s="67"/>
      <c r="G6" s="67"/>
      <c r="H6" s="67"/>
      <c r="I6" s="67"/>
      <c r="J6" s="67"/>
      <c r="K6" s="67"/>
      <c r="L6" s="67"/>
      <c r="M6" s="67"/>
      <c r="N6" s="67"/>
      <c r="O6" s="67"/>
      <c r="P6" s="69"/>
      <c r="Q6" s="70"/>
    </row>
    <row r="7" spans="1:17" s="51" customFormat="1" ht="18.75" customHeight="1">
      <c r="A7" s="66"/>
      <c r="B7" s="67" t="s">
        <v>4</v>
      </c>
      <c r="C7" s="67"/>
      <c r="D7" s="67"/>
      <c r="E7" s="68"/>
      <c r="F7" s="67"/>
      <c r="G7" s="67"/>
      <c r="H7" s="67"/>
      <c r="I7" s="67"/>
      <c r="J7" s="67"/>
      <c r="K7" s="67"/>
      <c r="L7" s="67"/>
      <c r="M7" s="67"/>
      <c r="N7" s="67"/>
      <c r="O7" s="67"/>
      <c r="P7" s="69"/>
      <c r="Q7" s="70"/>
    </row>
    <row r="8" spans="1:17" s="51" customFormat="1" ht="18.75" customHeight="1">
      <c r="A8" s="66"/>
      <c r="B8" s="67"/>
      <c r="C8" s="67"/>
      <c r="D8" s="67"/>
      <c r="E8" s="69"/>
      <c r="F8" s="67"/>
      <c r="G8" s="67"/>
      <c r="H8" s="67"/>
      <c r="I8" s="67"/>
      <c r="J8" s="67"/>
      <c r="K8" s="67"/>
      <c r="L8" s="67"/>
      <c r="M8" s="67"/>
      <c r="N8" s="67"/>
      <c r="O8" s="67"/>
      <c r="P8" s="69"/>
      <c r="Q8" s="70"/>
    </row>
    <row r="9" spans="1:17" s="51" customFormat="1" ht="18.75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70"/>
    </row>
    <row r="10" spans="1:17" s="51" customFormat="1" ht="18.75" customHeight="1">
      <c r="A10" s="66"/>
      <c r="B10" s="67" t="s">
        <v>5</v>
      </c>
      <c r="C10" s="67"/>
      <c r="D10" s="67"/>
      <c r="E10" s="68"/>
      <c r="F10" s="67"/>
      <c r="G10" s="67"/>
      <c r="H10" s="67"/>
      <c r="I10" s="67"/>
      <c r="J10" s="67"/>
      <c r="K10" s="67"/>
      <c r="L10" s="67"/>
      <c r="M10" s="67"/>
      <c r="N10" s="67"/>
      <c r="P10" s="69"/>
      <c r="Q10" s="71"/>
    </row>
    <row r="11" spans="1:17" s="51" customFormat="1" ht="18.75" customHeight="1">
      <c r="A11" s="66"/>
      <c r="B11" s="67"/>
      <c r="C11" s="67"/>
      <c r="D11" s="67"/>
      <c r="E11" s="72"/>
      <c r="F11" s="67"/>
      <c r="G11" s="67"/>
      <c r="H11" s="67"/>
      <c r="I11" s="67"/>
      <c r="J11" s="67"/>
      <c r="K11" s="67"/>
      <c r="L11" s="67"/>
      <c r="M11" s="67"/>
      <c r="N11" s="67"/>
      <c r="P11" s="69"/>
      <c r="Q11" s="71"/>
    </row>
    <row r="12" spans="1:17" s="51" customFormat="1" ht="18.75" customHeight="1">
      <c r="A12" s="66"/>
      <c r="B12" s="67"/>
      <c r="C12" s="67"/>
      <c r="D12" s="67"/>
      <c r="E12" s="72"/>
      <c r="F12" s="67"/>
      <c r="G12" s="67"/>
      <c r="H12" s="67"/>
      <c r="I12" s="67"/>
      <c r="J12" s="67"/>
      <c r="K12" s="67"/>
      <c r="L12" s="67"/>
      <c r="M12" s="67"/>
      <c r="N12" s="67"/>
      <c r="P12" s="69"/>
      <c r="Q12" s="71"/>
    </row>
    <row r="13" spans="1:17" s="51" customFormat="1" ht="18.75" customHeight="1">
      <c r="A13" s="66"/>
      <c r="B13" s="67"/>
      <c r="C13" s="67"/>
      <c r="D13" s="67"/>
      <c r="E13" s="72"/>
      <c r="F13" s="67"/>
      <c r="G13" s="67"/>
      <c r="H13" s="67"/>
      <c r="I13" s="67"/>
      <c r="J13" s="67"/>
      <c r="K13" s="67"/>
      <c r="L13" s="67"/>
      <c r="M13" s="67"/>
      <c r="N13" s="67"/>
      <c r="P13" s="69"/>
      <c r="Q13" s="73"/>
    </row>
    <row r="14" spans="1:17" s="51" customFormat="1" ht="18.75" customHeight="1">
      <c r="A14" s="66"/>
      <c r="B14" s="67"/>
      <c r="C14" s="67"/>
      <c r="D14" s="67"/>
      <c r="E14" s="74"/>
      <c r="F14" s="67"/>
      <c r="G14" s="67"/>
      <c r="H14" s="67"/>
      <c r="I14" s="67"/>
      <c r="J14" s="67"/>
      <c r="K14" s="67"/>
      <c r="L14" s="67"/>
      <c r="M14" s="67"/>
      <c r="N14" s="67"/>
      <c r="P14" s="69"/>
      <c r="Q14" s="75"/>
    </row>
    <row r="15" spans="1:17" s="51" customFormat="1" ht="18.75" customHeight="1">
      <c r="A15" s="66"/>
      <c r="B15" s="67"/>
      <c r="C15" s="67"/>
      <c r="D15" s="67"/>
      <c r="E15" s="76"/>
      <c r="F15" s="67"/>
      <c r="G15" s="69"/>
      <c r="H15" s="67"/>
      <c r="I15" s="69"/>
      <c r="J15" s="67"/>
      <c r="K15" s="67"/>
      <c r="L15" s="67"/>
      <c r="M15" s="67"/>
      <c r="N15" s="67"/>
      <c r="O15" s="69"/>
      <c r="P15" s="69"/>
      <c r="Q15" s="77"/>
    </row>
    <row r="16" spans="1:17" s="51" customFormat="1" ht="9" customHeigh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/>
    </row>
    <row r="17" spans="1:17" s="51" customFormat="1" ht="20.25" customHeight="1">
      <c r="A17" s="81"/>
      <c r="B17" s="82"/>
      <c r="C17" s="82"/>
      <c r="D17" s="82"/>
      <c r="E17" s="83" t="s">
        <v>6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4"/>
    </row>
    <row r="18" spans="1:17" s="51" customFormat="1" ht="21.75" customHeight="1">
      <c r="A18" s="85"/>
      <c r="B18" s="86"/>
      <c r="C18" s="86"/>
      <c r="D18" s="87"/>
      <c r="E18" s="88"/>
      <c r="F18" s="87"/>
      <c r="G18" s="88"/>
      <c r="H18" s="86"/>
      <c r="I18" s="87"/>
      <c r="J18" s="88"/>
      <c r="K18" s="86"/>
      <c r="L18" s="88"/>
      <c r="M18" s="86"/>
      <c r="N18" s="86"/>
      <c r="O18" s="87"/>
      <c r="P18" s="88"/>
      <c r="Q18" s="89"/>
    </row>
    <row r="19" spans="1:17" s="51" customFormat="1" ht="19.5" customHeight="1">
      <c r="A19" s="90"/>
      <c r="B19" s="91"/>
      <c r="C19" s="91"/>
      <c r="D19" s="92"/>
      <c r="E19" s="93"/>
      <c r="F19" s="94"/>
      <c r="G19" s="95"/>
      <c r="H19" s="91"/>
      <c r="I19" s="92"/>
      <c r="J19" s="93"/>
      <c r="K19" s="96"/>
      <c r="L19" s="95"/>
      <c r="M19" s="91"/>
      <c r="N19" s="91"/>
      <c r="O19" s="92"/>
      <c r="P19" s="95"/>
      <c r="Q19" s="97"/>
    </row>
    <row r="20" spans="1:17" s="51" customFormat="1" ht="20.25" customHeight="1">
      <c r="A20" s="81"/>
      <c r="B20" s="82"/>
      <c r="C20" s="82"/>
      <c r="D20" s="82"/>
      <c r="E20" s="83" t="s">
        <v>7</v>
      </c>
      <c r="F20" s="82"/>
      <c r="G20" s="82"/>
      <c r="H20" s="82"/>
      <c r="I20" s="82"/>
      <c r="J20" s="98" t="s">
        <v>8</v>
      </c>
      <c r="K20" s="82"/>
      <c r="L20" s="82"/>
      <c r="M20" s="82"/>
      <c r="N20" s="82"/>
      <c r="O20" s="82"/>
      <c r="P20" s="82"/>
      <c r="Q20" s="84"/>
    </row>
    <row r="21" spans="1:17" s="51" customFormat="1" ht="19.5" customHeight="1">
      <c r="A21" s="99" t="s">
        <v>9</v>
      </c>
      <c r="B21" s="100"/>
      <c r="C21" s="101" t="s">
        <v>10</v>
      </c>
      <c r="D21" s="102"/>
      <c r="E21" s="102"/>
      <c r="F21" s="103"/>
      <c r="G21" s="104" t="s">
        <v>11</v>
      </c>
      <c r="H21" s="105"/>
      <c r="I21" s="101" t="s">
        <v>12</v>
      </c>
      <c r="J21" s="102"/>
      <c r="K21" s="102"/>
      <c r="L21" s="104" t="s">
        <v>13</v>
      </c>
      <c r="M21" s="105"/>
      <c r="N21" s="101" t="s">
        <v>14</v>
      </c>
      <c r="O21" s="102"/>
      <c r="P21" s="102"/>
      <c r="Q21" s="106"/>
    </row>
    <row r="22" spans="1:17" s="51" customFormat="1" ht="19.5" customHeight="1">
      <c r="A22" s="107" t="s">
        <v>15</v>
      </c>
      <c r="B22" s="271" t="s">
        <v>16</v>
      </c>
      <c r="C22" s="272"/>
      <c r="D22" s="266"/>
      <c r="E22" s="268">
        <f>Rozpocet!G9</f>
        <v>0</v>
      </c>
      <c r="F22" s="108"/>
      <c r="G22" s="109" t="s">
        <v>17</v>
      </c>
      <c r="H22" s="110" t="s">
        <v>18</v>
      </c>
      <c r="I22" s="111"/>
      <c r="J22" s="112">
        <v>0</v>
      </c>
      <c r="K22" s="113"/>
      <c r="L22" s="109" t="s">
        <v>19</v>
      </c>
      <c r="M22" s="114" t="s">
        <v>20</v>
      </c>
      <c r="N22" s="115"/>
      <c r="O22" s="115"/>
      <c r="P22" s="116">
        <v>0</v>
      </c>
      <c r="Q22" s="117">
        <f>E28*P22</f>
        <v>0</v>
      </c>
    </row>
    <row r="23" spans="1:17" s="51" customFormat="1" ht="19.5" customHeight="1">
      <c r="A23" s="107" t="s">
        <v>21</v>
      </c>
      <c r="B23" s="269"/>
      <c r="C23" s="273"/>
      <c r="D23" s="267"/>
      <c r="E23" s="269"/>
      <c r="F23" s="118"/>
      <c r="G23" s="109" t="s">
        <v>22</v>
      </c>
      <c r="H23" s="67" t="s">
        <v>23</v>
      </c>
      <c r="I23" s="111"/>
      <c r="J23" s="112">
        <v>0</v>
      </c>
      <c r="K23" s="113"/>
      <c r="L23" s="109" t="s">
        <v>24</v>
      </c>
      <c r="M23" s="114" t="s">
        <v>25</v>
      </c>
      <c r="N23" s="115"/>
      <c r="O23" s="115"/>
      <c r="P23" s="116">
        <v>0</v>
      </c>
      <c r="Q23" s="117">
        <v>0</v>
      </c>
    </row>
    <row r="24" spans="1:17" s="51" customFormat="1" ht="19.5" customHeight="1">
      <c r="A24" s="107" t="s">
        <v>26</v>
      </c>
      <c r="B24" s="271" t="s">
        <v>27</v>
      </c>
      <c r="C24" s="272"/>
      <c r="D24" s="266"/>
      <c r="E24" s="268">
        <f>Rozpocet!G123</f>
        <v>0</v>
      </c>
      <c r="F24" s="108"/>
      <c r="G24" s="109" t="s">
        <v>28</v>
      </c>
      <c r="H24" s="110" t="s">
        <v>29</v>
      </c>
      <c r="I24" s="111"/>
      <c r="J24" s="112">
        <v>0</v>
      </c>
      <c r="K24" s="113"/>
      <c r="L24" s="109" t="s">
        <v>30</v>
      </c>
      <c r="M24" s="114" t="s">
        <v>31</v>
      </c>
      <c r="N24" s="115"/>
      <c r="O24" s="115"/>
      <c r="P24" s="116">
        <v>0</v>
      </c>
      <c r="Q24" s="117">
        <v>0</v>
      </c>
    </row>
    <row r="25" spans="1:17" s="51" customFormat="1" ht="19.5" customHeight="1">
      <c r="A25" s="107" t="s">
        <v>32</v>
      </c>
      <c r="B25" s="269"/>
      <c r="C25" s="273"/>
      <c r="D25" s="267"/>
      <c r="E25" s="269"/>
      <c r="F25" s="118"/>
      <c r="G25" s="109" t="s">
        <v>33</v>
      </c>
      <c r="H25" s="110"/>
      <c r="I25" s="111"/>
      <c r="J25" s="112">
        <v>0</v>
      </c>
      <c r="K25" s="113"/>
      <c r="L25" s="109" t="s">
        <v>34</v>
      </c>
      <c r="M25" s="114" t="s">
        <v>35</v>
      </c>
      <c r="N25" s="115"/>
      <c r="O25" s="115"/>
      <c r="P25" s="116">
        <v>0</v>
      </c>
      <c r="Q25" s="117">
        <v>0</v>
      </c>
    </row>
    <row r="26" spans="1:17" s="51" customFormat="1" ht="19.5" customHeight="1">
      <c r="A26" s="107" t="s">
        <v>36</v>
      </c>
      <c r="B26" s="271" t="s">
        <v>37</v>
      </c>
      <c r="C26" s="272"/>
      <c r="D26" s="266"/>
      <c r="E26" s="268">
        <f>Rozpocet!G234</f>
        <v>0</v>
      </c>
      <c r="F26" s="108"/>
      <c r="G26" s="119"/>
      <c r="H26" s="115"/>
      <c r="I26" s="111"/>
      <c r="J26" s="112"/>
      <c r="K26" s="113"/>
      <c r="L26" s="109" t="s">
        <v>38</v>
      </c>
      <c r="M26" s="114" t="s">
        <v>39</v>
      </c>
      <c r="N26" s="115"/>
      <c r="O26" s="115"/>
      <c r="P26" s="116">
        <v>0</v>
      </c>
      <c r="Q26" s="117">
        <v>0</v>
      </c>
    </row>
    <row r="27" spans="1:17" s="51" customFormat="1" ht="19.5" customHeight="1">
      <c r="A27" s="107" t="s">
        <v>40</v>
      </c>
      <c r="B27" s="269"/>
      <c r="C27" s="273"/>
      <c r="D27" s="267"/>
      <c r="E27" s="270"/>
      <c r="F27" s="120"/>
      <c r="G27" s="119"/>
      <c r="H27" s="115"/>
      <c r="I27" s="111"/>
      <c r="J27" s="112"/>
      <c r="K27" s="113"/>
      <c r="L27" s="109" t="s">
        <v>41</v>
      </c>
      <c r="M27" s="110" t="s">
        <v>42</v>
      </c>
      <c r="N27" s="115"/>
      <c r="O27" s="115"/>
      <c r="P27" s="111"/>
      <c r="Q27" s="117">
        <v>0</v>
      </c>
    </row>
    <row r="28" spans="1:17" s="51" customFormat="1" ht="19.5" customHeight="1">
      <c r="A28" s="107" t="s">
        <v>43</v>
      </c>
      <c r="B28" s="121" t="s">
        <v>44</v>
      </c>
      <c r="C28" s="115"/>
      <c r="D28" s="111"/>
      <c r="E28" s="162">
        <f>SUM(E22:E27)</f>
        <v>0</v>
      </c>
      <c r="F28" s="122"/>
      <c r="G28" s="109" t="s">
        <v>45</v>
      </c>
      <c r="H28" s="121" t="s">
        <v>46</v>
      </c>
      <c r="I28" s="111"/>
      <c r="J28" s="123"/>
      <c r="K28" s="124"/>
      <c r="L28" s="109" t="s">
        <v>47</v>
      </c>
      <c r="M28" s="121" t="s">
        <v>48</v>
      </c>
      <c r="N28" s="115"/>
      <c r="O28" s="115"/>
      <c r="P28" s="111"/>
      <c r="Q28" s="125">
        <f>SUM(Q22:Q27)</f>
        <v>0</v>
      </c>
    </row>
    <row r="29" spans="1:17" s="51" customFormat="1" ht="19.5" customHeight="1">
      <c r="A29" s="126" t="s">
        <v>49</v>
      </c>
      <c r="B29" s="127" t="s">
        <v>50</v>
      </c>
      <c r="C29" s="128"/>
      <c r="D29" s="129"/>
      <c r="E29" s="130"/>
      <c r="F29" s="120"/>
      <c r="G29" s="131" t="s">
        <v>51</v>
      </c>
      <c r="H29" s="127" t="s">
        <v>52</v>
      </c>
      <c r="I29" s="129"/>
      <c r="J29" s="132">
        <v>0</v>
      </c>
      <c r="K29" s="133"/>
      <c r="L29" s="131" t="s">
        <v>53</v>
      </c>
      <c r="M29" s="127" t="s">
        <v>54</v>
      </c>
      <c r="N29" s="128"/>
      <c r="O29" s="128"/>
      <c r="P29" s="129"/>
      <c r="Q29" s="134">
        <v>0</v>
      </c>
    </row>
    <row r="30" spans="1:17" s="51" customFormat="1" ht="19.5" customHeight="1">
      <c r="A30" s="135"/>
      <c r="B30" s="64"/>
      <c r="C30" s="64"/>
      <c r="D30" s="64"/>
      <c r="E30" s="64"/>
      <c r="F30" s="136"/>
      <c r="G30" s="137"/>
      <c r="H30" s="64"/>
      <c r="I30" s="64"/>
      <c r="J30" s="64"/>
      <c r="K30" s="64"/>
      <c r="L30" s="104" t="s">
        <v>55</v>
      </c>
      <c r="M30" s="87"/>
      <c r="N30" s="101" t="s">
        <v>56</v>
      </c>
      <c r="O30" s="86"/>
      <c r="P30" s="86"/>
      <c r="Q30" s="89"/>
    </row>
    <row r="31" spans="1:17" s="51" customFormat="1" ht="19.5" customHeight="1">
      <c r="A31" s="66" t="s">
        <v>57</v>
      </c>
      <c r="B31" s="67"/>
      <c r="C31" s="67"/>
      <c r="D31" s="67"/>
      <c r="E31" s="67"/>
      <c r="F31" s="138"/>
      <c r="G31" s="139"/>
      <c r="H31" s="67"/>
      <c r="I31" s="67"/>
      <c r="J31" s="67"/>
      <c r="K31" s="67"/>
      <c r="L31" s="109" t="s">
        <v>58</v>
      </c>
      <c r="M31" s="110" t="s">
        <v>59</v>
      </c>
      <c r="N31" s="115"/>
      <c r="O31" s="115"/>
      <c r="P31" s="111"/>
      <c r="Q31" s="163">
        <f>E28+Q28</f>
        <v>0</v>
      </c>
    </row>
    <row r="32" spans="1:17" s="51" customFormat="1" ht="19.5" customHeight="1">
      <c r="A32" s="140"/>
      <c r="B32" s="141"/>
      <c r="C32" s="141"/>
      <c r="D32" s="141"/>
      <c r="E32" s="141"/>
      <c r="F32" s="142"/>
      <c r="G32" s="143"/>
      <c r="H32" s="141"/>
      <c r="I32" s="141"/>
      <c r="J32" s="141"/>
      <c r="K32" s="141"/>
      <c r="L32" s="109" t="s">
        <v>60</v>
      </c>
      <c r="M32" s="144">
        <v>15</v>
      </c>
      <c r="N32" s="111" t="s">
        <v>61</v>
      </c>
      <c r="O32" s="145"/>
      <c r="P32" s="111" t="s">
        <v>62</v>
      </c>
      <c r="Q32" s="164">
        <f>Q31*0.15</f>
        <v>0</v>
      </c>
    </row>
    <row r="33" spans="1:17" s="51" customFormat="1" ht="20.25" customHeight="1">
      <c r="A33" s="146"/>
      <c r="B33" s="147"/>
      <c r="C33" s="147"/>
      <c r="D33" s="147"/>
      <c r="E33" s="147"/>
      <c r="F33" s="148"/>
      <c r="G33" s="149"/>
      <c r="H33" s="147"/>
      <c r="I33" s="147"/>
      <c r="J33" s="147"/>
      <c r="K33" s="147"/>
      <c r="L33" s="109" t="s">
        <v>63</v>
      </c>
      <c r="M33" s="144">
        <v>21</v>
      </c>
      <c r="N33" s="111" t="s">
        <v>61</v>
      </c>
      <c r="O33" s="150">
        <f>Q31</f>
        <v>0</v>
      </c>
      <c r="P33" s="111"/>
      <c r="Q33" s="165"/>
    </row>
    <row r="34" spans="1:17" s="51" customFormat="1" ht="20.25" customHeight="1">
      <c r="A34" s="66"/>
      <c r="B34" s="67"/>
      <c r="C34" s="67"/>
      <c r="D34" s="67"/>
      <c r="E34" s="67"/>
      <c r="F34" s="138"/>
      <c r="G34" s="139"/>
      <c r="H34" s="67"/>
      <c r="I34" s="67"/>
      <c r="J34" s="67"/>
      <c r="K34" s="67"/>
      <c r="L34" s="131" t="s">
        <v>64</v>
      </c>
      <c r="M34" s="151" t="s">
        <v>65</v>
      </c>
      <c r="N34" s="128"/>
      <c r="O34" s="128"/>
      <c r="P34" s="129"/>
      <c r="Q34" s="166">
        <f>Q31+Q32+Q33</f>
        <v>0</v>
      </c>
    </row>
    <row r="35" spans="1:17" s="51" customFormat="1" ht="19.5" customHeight="1">
      <c r="A35" s="152" t="s">
        <v>66</v>
      </c>
      <c r="B35" s="153"/>
      <c r="C35" s="153"/>
      <c r="D35" s="153"/>
      <c r="E35" s="154"/>
      <c r="F35" s="155"/>
      <c r="G35" s="156" t="s">
        <v>67</v>
      </c>
      <c r="H35" s="153"/>
      <c r="I35" s="153"/>
      <c r="J35" s="153"/>
      <c r="K35" s="153"/>
      <c r="L35" s="157"/>
      <c r="M35" s="158"/>
      <c r="N35" s="159"/>
      <c r="O35" s="160"/>
      <c r="P35" s="160"/>
      <c r="Q35" s="161"/>
    </row>
  </sheetData>
  <sheetProtection/>
  <mergeCells count="9">
    <mergeCell ref="B22:C23"/>
    <mergeCell ref="B24:C25"/>
    <mergeCell ref="B26:C27"/>
    <mergeCell ref="D22:D23"/>
    <mergeCell ref="D24:D25"/>
    <mergeCell ref="D26:D27"/>
    <mergeCell ref="E22:E23"/>
    <mergeCell ref="E24:E25"/>
    <mergeCell ref="E26:E27"/>
  </mergeCells>
  <printOptions/>
  <pageMargins left="0.5506944444444445" right="0.3541666666666667" top="0.9840277777777777" bottom="0.9840277777777777" header="0.5111111111111111" footer="0.511111111111111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29" sqref="C29"/>
    </sheetView>
  </sheetViews>
  <sheetFormatPr defaultColWidth="9.140625" defaultRowHeight="12.75" customHeight="1"/>
  <cols>
    <col min="1" max="1" width="11.7109375" style="24" customWidth="1"/>
    <col min="2" max="2" width="55.7109375" style="24" customWidth="1"/>
    <col min="3" max="3" width="13.57421875" style="24" customWidth="1"/>
    <col min="4" max="4" width="13.7109375" style="24" hidden="1" customWidth="1"/>
    <col min="5" max="5" width="13.8515625" style="24" hidden="1" customWidth="1"/>
    <col min="6" max="6" width="9.140625" style="24" bestFit="1" customWidth="1"/>
    <col min="7" max="16384" width="9.140625" style="24" customWidth="1"/>
  </cols>
  <sheetData>
    <row r="1" spans="1:5" ht="18" customHeight="1">
      <c r="A1" s="30" t="s">
        <v>68</v>
      </c>
      <c r="B1" s="18"/>
      <c r="C1" s="18"/>
      <c r="D1" s="18"/>
      <c r="E1" s="18"/>
    </row>
    <row r="2" spans="1:5" ht="12" customHeight="1">
      <c r="A2" s="22" t="s">
        <v>69</v>
      </c>
      <c r="B2" s="22" t="str">
        <f>'Krycí list'!E5</f>
        <v>Rekonstrukce bytu na ul. Nerudova v Brně</v>
      </c>
      <c r="C2" s="23"/>
      <c r="D2" s="23"/>
      <c r="E2" s="23"/>
    </row>
    <row r="3" spans="1:5" ht="12" customHeight="1">
      <c r="A3" s="22" t="s">
        <v>70</v>
      </c>
      <c r="B3" s="19"/>
      <c r="C3" s="20"/>
      <c r="D3" s="19"/>
      <c r="E3" s="21"/>
    </row>
    <row r="4" spans="1:5" ht="12" customHeight="1">
      <c r="A4" s="22" t="s">
        <v>71</v>
      </c>
      <c r="B4" s="22" t="s">
        <v>72</v>
      </c>
      <c r="C4" s="20"/>
      <c r="D4" s="19"/>
      <c r="E4" s="21"/>
    </row>
    <row r="5" spans="1:5" ht="6" customHeight="1">
      <c r="A5" s="18"/>
      <c r="B5" s="18"/>
      <c r="C5" s="18"/>
      <c r="D5" s="18"/>
      <c r="E5" s="18"/>
    </row>
    <row r="6" spans="1:5" ht="12" customHeight="1">
      <c r="A6" s="14" t="s">
        <v>73</v>
      </c>
      <c r="B6" s="15" t="s">
        <v>74</v>
      </c>
      <c r="C6" s="16" t="s">
        <v>75</v>
      </c>
      <c r="D6" s="17" t="s">
        <v>76</v>
      </c>
      <c r="E6" s="16" t="s">
        <v>77</v>
      </c>
    </row>
    <row r="7" spans="1:5" ht="12" customHeight="1">
      <c r="A7" s="10">
        <v>1</v>
      </c>
      <c r="B7" s="11">
        <v>2</v>
      </c>
      <c r="C7" s="12">
        <v>3</v>
      </c>
      <c r="D7" s="13">
        <v>4</v>
      </c>
      <c r="E7" s="12">
        <v>5</v>
      </c>
    </row>
    <row r="8" spans="1:5" ht="3.75" customHeight="1">
      <c r="A8" s="7"/>
      <c r="B8" s="8"/>
      <c r="C8" s="8"/>
      <c r="D8" s="8"/>
      <c r="E8" s="9"/>
    </row>
    <row r="9" spans="1:5" s="6" customFormat="1" ht="12.75" customHeight="1">
      <c r="A9" s="27" t="str">
        <f>Rozpocet!B9</f>
        <v>HSV</v>
      </c>
      <c r="B9" s="6" t="str">
        <f>Rozpocet!C9</f>
        <v>Práce a dodávky HSV</v>
      </c>
      <c r="C9" s="28"/>
      <c r="D9" s="29">
        <f>Rozpocet!I9</f>
        <v>0</v>
      </c>
      <c r="E9" s="29">
        <f>Rozpocet!K9</f>
        <v>0</v>
      </c>
    </row>
    <row r="10" spans="1:5" s="6" customFormat="1" ht="12.75" customHeight="1">
      <c r="A10" s="36" t="str">
        <f>Rozpocet!B10</f>
        <v>3</v>
      </c>
      <c r="B10" s="31" t="str">
        <f>Rozpocet!C10</f>
        <v>Svislé a kompletní konstrukce</v>
      </c>
      <c r="C10" s="35"/>
      <c r="D10" s="29">
        <f>Rozpocet!I10</f>
        <v>0</v>
      </c>
      <c r="E10" s="29">
        <f>Rozpocet!K10</f>
        <v>0</v>
      </c>
    </row>
    <row r="11" spans="1:5" s="6" customFormat="1" ht="12.75" customHeight="1">
      <c r="A11" s="36" t="str">
        <f>Rozpocet!B35</f>
        <v>6</v>
      </c>
      <c r="B11" s="31" t="str">
        <f>Rozpocet!C35</f>
        <v>Úpravy povrchů, podlahy a osazování výplní</v>
      </c>
      <c r="C11" s="35"/>
      <c r="D11" s="29">
        <f>Rozpocet!I35</f>
        <v>0</v>
      </c>
      <c r="E11" s="29">
        <f>Rozpocet!K35</f>
        <v>0</v>
      </c>
    </row>
    <row r="12" spans="1:5" s="6" customFormat="1" ht="12.75" customHeight="1">
      <c r="A12" s="36" t="str">
        <f>Rozpocet!B74</f>
        <v>9</v>
      </c>
      <c r="B12" s="31" t="str">
        <f>Rozpocet!C74</f>
        <v>Ostatní konstrukce a práce-bourání</v>
      </c>
      <c r="C12" s="35"/>
      <c r="D12" s="29">
        <f>Rozpocet!I74</f>
        <v>0</v>
      </c>
      <c r="E12" s="29">
        <f>Rozpocet!K74</f>
        <v>0</v>
      </c>
    </row>
    <row r="13" spans="1:5" s="6" customFormat="1" ht="12.75" customHeight="1">
      <c r="A13" s="36" t="str">
        <f>Rozpocet!B120</f>
        <v>99</v>
      </c>
      <c r="B13" s="31" t="str">
        <f>Rozpocet!C120</f>
        <v>Přesun hmot</v>
      </c>
      <c r="C13" s="35"/>
      <c r="D13" s="29">
        <f>Rozpocet!I120</f>
        <v>0</v>
      </c>
      <c r="E13" s="29">
        <f>Rozpocet!K120</f>
        <v>0</v>
      </c>
    </row>
    <row r="14" spans="1:5" s="6" customFormat="1" ht="12.75" customHeight="1">
      <c r="A14" s="27"/>
      <c r="C14" s="28"/>
      <c r="D14" s="29"/>
      <c r="E14" s="29"/>
    </row>
    <row r="15" spans="1:5" s="6" customFormat="1" ht="12.75" customHeight="1">
      <c r="A15" s="27" t="str">
        <f>Rozpocet!B123</f>
        <v>PSV</v>
      </c>
      <c r="B15" s="6" t="str">
        <f>Rozpocet!C123</f>
        <v>Práce a dodávky PSV</v>
      </c>
      <c r="C15" s="28"/>
      <c r="D15" s="29">
        <f>Rozpocet!I123</f>
        <v>0</v>
      </c>
      <c r="E15" s="29">
        <f>Rozpocet!K123</f>
        <v>0.28110799999999997</v>
      </c>
    </row>
    <row r="16" spans="1:5" s="6" customFormat="1" ht="12.75" customHeight="1">
      <c r="A16" s="36" t="str">
        <f>Rozpocet!B124</f>
        <v>722</v>
      </c>
      <c r="B16" s="31" t="str">
        <f>Rozpocet!C124</f>
        <v>Zdravotechnika - vnitřní vodovod</v>
      </c>
      <c r="C16" s="35"/>
      <c r="D16" s="29">
        <f>Rozpocet!I124</f>
        <v>0.0025</v>
      </c>
      <c r="E16" s="29">
        <f>Rozpocet!K124</f>
        <v>0</v>
      </c>
    </row>
    <row r="17" spans="1:5" s="6" customFormat="1" ht="12.75" customHeight="1">
      <c r="A17" s="36" t="str">
        <f>Rozpocet!B130</f>
        <v>733</v>
      </c>
      <c r="B17" s="31" t="str">
        <f>Rozpocet!C130</f>
        <v>Ústřední vytápění - potrubí</v>
      </c>
      <c r="C17" s="35"/>
      <c r="D17" s="29">
        <f>Rozpocet!I130</f>
        <v>0.00197</v>
      </c>
      <c r="E17" s="29">
        <f>Rozpocet!K130</f>
        <v>0</v>
      </c>
    </row>
    <row r="18" spans="1:5" s="6" customFormat="1" ht="12.75" customHeight="1">
      <c r="A18" s="36" t="str">
        <f>Rozpocet!B136</f>
        <v>762</v>
      </c>
      <c r="B18" s="31" t="str">
        <f>Rozpocet!C136</f>
        <v>Konstrukce tesařské</v>
      </c>
      <c r="C18" s="35"/>
      <c r="D18" s="29">
        <f>Rozpocet!I136</f>
        <v>0</v>
      </c>
      <c r="E18" s="29">
        <f>Rozpocet!K136</f>
        <v>0.18106799999999998</v>
      </c>
    </row>
    <row r="19" spans="1:5" s="6" customFormat="1" ht="12.75" customHeight="1">
      <c r="A19" s="36" t="str">
        <f>Rozpocet!B140</f>
        <v>763</v>
      </c>
      <c r="B19" s="31" t="str">
        <f>Rozpocet!C140</f>
        <v>Konstrukce montované z desek, dílců a panelů</v>
      </c>
      <c r="C19" s="35"/>
      <c r="D19" s="29">
        <f>Rozpocet!I140</f>
        <v>1.1726475000000003</v>
      </c>
      <c r="E19" s="29">
        <f>Rozpocet!K140</f>
        <v>0</v>
      </c>
    </row>
    <row r="20" spans="1:5" s="6" customFormat="1" ht="12.75" customHeight="1">
      <c r="A20" s="36" t="str">
        <f>Rozpocet!B156</f>
        <v>766</v>
      </c>
      <c r="B20" s="31" t="str">
        <f>Rozpocet!C156</f>
        <v>Konstrukce truhlářské - předběžné ceny</v>
      </c>
      <c r="C20" s="35"/>
      <c r="D20" s="29">
        <f>Rozpocet!I156</f>
        <v>0.13153</v>
      </c>
      <c r="E20" s="29">
        <f>Rozpocet!K156</f>
        <v>0</v>
      </c>
    </row>
    <row r="21" spans="1:5" s="6" customFormat="1" ht="12.75" customHeight="1">
      <c r="A21" s="36" t="str">
        <f>Rozpocet!B175</f>
        <v>771</v>
      </c>
      <c r="B21" s="31" t="str">
        <f>Rozpocet!C175</f>
        <v>Podlahy z dlaždic</v>
      </c>
      <c r="C21" s="35"/>
      <c r="D21" s="29">
        <f>Rozpocet!I175</f>
        <v>0.3951244</v>
      </c>
      <c r="E21" s="29">
        <f>Rozpocet!K175</f>
        <v>0</v>
      </c>
    </row>
    <row r="22" spans="1:5" s="6" customFormat="1" ht="12.75" customHeight="1">
      <c r="A22" s="36" t="str">
        <f>Rozpocet!B192</f>
        <v>776</v>
      </c>
      <c r="B22" s="31" t="str">
        <f>Rozpocet!C192</f>
        <v>Podlahy povlakové</v>
      </c>
      <c r="C22" s="35"/>
      <c r="D22" s="29">
        <f>Rozpocet!I192</f>
        <v>0</v>
      </c>
      <c r="E22" s="29">
        <f>Rozpocet!K192</f>
        <v>0.10004</v>
      </c>
    </row>
    <row r="23" spans="1:5" s="6" customFormat="1" ht="12.75" customHeight="1">
      <c r="A23" s="36" t="str">
        <f>Rozpocet!B196</f>
        <v>781</v>
      </c>
      <c r="B23" s="31" t="str">
        <f>Rozpocet!C196</f>
        <v>Dokončovací práce - obklady keramické</v>
      </c>
      <c r="C23" s="35"/>
      <c r="D23" s="29">
        <f>Rozpocet!I196</f>
        <v>0.8278935800000001</v>
      </c>
      <c r="E23" s="29">
        <f>Rozpocet!K196</f>
        <v>0</v>
      </c>
    </row>
    <row r="24" spans="1:5" s="6" customFormat="1" ht="12.75" customHeight="1">
      <c r="A24" s="36" t="str">
        <f>Rozpocet!B224</f>
        <v>784</v>
      </c>
      <c r="B24" s="31" t="str">
        <f>Rozpocet!C224</f>
        <v>Dokončovací práce - malby</v>
      </c>
      <c r="C24" s="35"/>
      <c r="D24" s="29">
        <f>Rozpocet!I224</f>
        <v>0.133489</v>
      </c>
      <c r="E24" s="29">
        <f>Rozpocet!K224</f>
        <v>0</v>
      </c>
    </row>
    <row r="25" spans="1:5" s="6" customFormat="1" ht="12.75" customHeight="1">
      <c r="A25" s="36"/>
      <c r="B25" s="31"/>
      <c r="C25" s="35"/>
      <c r="D25" s="29"/>
      <c r="E25" s="29"/>
    </row>
    <row r="26" spans="1:5" s="6" customFormat="1" ht="12.75" customHeight="1">
      <c r="A26" s="27" t="str">
        <f>Rozpocet!B234</f>
        <v>M</v>
      </c>
      <c r="B26" s="6" t="str">
        <f>Rozpocet!C234</f>
        <v>Práce a dodávky M</v>
      </c>
      <c r="C26" s="28">
        <f>Rozpocet!G234</f>
        <v>0</v>
      </c>
      <c r="D26" s="29">
        <f>Rozpocet!I234</f>
        <v>0</v>
      </c>
      <c r="E26" s="29">
        <f>Rozpocet!K234</f>
        <v>0</v>
      </c>
    </row>
    <row r="27" spans="1:5" s="6" customFormat="1" ht="12.75" customHeight="1">
      <c r="A27" s="36" t="str">
        <f>Rozpocet!B235</f>
        <v>21-M</v>
      </c>
      <c r="B27" s="31" t="str">
        <f>Rozpocet!C235</f>
        <v>Elektromontáže</v>
      </c>
      <c r="C27" s="35">
        <f>Rozpocet!G235</f>
        <v>0</v>
      </c>
      <c r="D27" s="29">
        <f>Rozpocet!I235</f>
        <v>0</v>
      </c>
      <c r="E27" s="29">
        <f>Rozpocet!K235</f>
        <v>0</v>
      </c>
    </row>
    <row r="28" spans="1:5" s="6" customFormat="1" ht="12.75" customHeight="1">
      <c r="A28" s="27"/>
      <c r="C28" s="28"/>
      <c r="D28" s="29"/>
      <c r="E28" s="29"/>
    </row>
    <row r="29" spans="2:5" s="5" customFormat="1" ht="12.75" customHeight="1">
      <c r="B29" s="5" t="s">
        <v>78</v>
      </c>
      <c r="C29" s="25"/>
      <c r="D29" s="26">
        <f>Rozpocet!I240</f>
        <v>0</v>
      </c>
      <c r="E29" s="26">
        <f>Rozpocet!K240</f>
        <v>0.28110799999999997</v>
      </c>
    </row>
  </sheetData>
  <sheetProtection/>
  <printOptions horizontalCentered="1"/>
  <pageMargins left="1.1020833333333333" right="1.1020833333333333" top="0.7868055555555555" bottom="0.7868055555555555" header="0" footer="0"/>
  <pageSetup fitToHeight="999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4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224" sqref="G224"/>
    </sheetView>
  </sheetViews>
  <sheetFormatPr defaultColWidth="9.140625" defaultRowHeight="11.25" customHeight="1"/>
  <cols>
    <col min="1" max="1" width="5.57421875" style="262" customWidth="1"/>
    <col min="2" max="2" width="10.57421875" style="24" customWidth="1"/>
    <col min="3" max="3" width="55.57421875" style="24" customWidth="1"/>
    <col min="4" max="4" width="6.00390625" style="24" customWidth="1"/>
    <col min="5" max="5" width="9.8515625" style="42" customWidth="1"/>
    <col min="6" max="6" width="9.7109375" style="24" customWidth="1"/>
    <col min="7" max="7" width="13.57421875" style="24" customWidth="1"/>
    <col min="8" max="8" width="10.57421875" style="24" hidden="1" customWidth="1"/>
    <col min="9" max="9" width="10.8515625" style="24" customWidth="1"/>
    <col min="10" max="10" width="9.7109375" style="24" hidden="1" customWidth="1"/>
    <col min="11" max="11" width="11.57421875" style="24" customWidth="1"/>
    <col min="12" max="12" width="11.00390625" style="24" bestFit="1" customWidth="1"/>
    <col min="13" max="245" width="9.140625" style="24" bestFit="1" customWidth="1"/>
    <col min="246" max="248" width="9.140625" style="38" bestFit="1" customWidth="1"/>
  </cols>
  <sheetData>
    <row r="1" spans="1:11" ht="18" customHeight="1">
      <c r="A1" s="265" t="s">
        <v>79</v>
      </c>
      <c r="B1" s="33"/>
      <c r="C1" s="33"/>
      <c r="D1" s="33"/>
      <c r="E1" s="47"/>
      <c r="F1" s="33"/>
      <c r="G1" s="33"/>
      <c r="H1" s="33"/>
      <c r="I1" s="33"/>
      <c r="J1" s="33"/>
      <c r="K1" s="33"/>
    </row>
    <row r="2" spans="1:11" ht="11.25" customHeight="1">
      <c r="A2" s="22" t="s">
        <v>69</v>
      </c>
      <c r="B2" s="19"/>
      <c r="C2" s="22" t="str">
        <f>'Krycí list'!E5</f>
        <v>Rekonstrukce bytu na ul. Nerudova v Brně</v>
      </c>
      <c r="D2" s="19"/>
      <c r="E2" s="48"/>
      <c r="F2" s="19"/>
      <c r="G2" s="19"/>
      <c r="H2" s="19"/>
      <c r="I2" s="19"/>
      <c r="J2" s="33"/>
      <c r="K2" s="33"/>
    </row>
    <row r="3" spans="1:11" ht="11.25" customHeight="1">
      <c r="A3" s="22" t="s">
        <v>70</v>
      </c>
      <c r="B3" s="19"/>
      <c r="C3" s="19"/>
      <c r="D3" s="19"/>
      <c r="E3" s="48"/>
      <c r="F3" s="19"/>
      <c r="G3" s="19"/>
      <c r="H3" s="19"/>
      <c r="I3" s="19"/>
      <c r="J3" s="33"/>
      <c r="K3" s="33"/>
    </row>
    <row r="4" spans="1:11" ht="11.25" customHeight="1">
      <c r="A4" s="19" t="s">
        <v>71</v>
      </c>
      <c r="C4" s="19" t="s">
        <v>72</v>
      </c>
      <c r="D4" s="19"/>
      <c r="E4" s="48"/>
      <c r="F4" s="19"/>
      <c r="G4" s="19"/>
      <c r="H4" s="19"/>
      <c r="I4" s="19"/>
      <c r="J4" s="33"/>
      <c r="K4" s="33"/>
    </row>
    <row r="5" spans="1:11" ht="5.25" customHeight="1">
      <c r="A5" s="20"/>
      <c r="B5" s="33"/>
      <c r="C5" s="33"/>
      <c r="D5" s="33"/>
      <c r="E5" s="47"/>
      <c r="F5" s="33"/>
      <c r="G5" s="33"/>
      <c r="H5" s="33"/>
      <c r="I5" s="33"/>
      <c r="J5" s="33"/>
      <c r="K5" s="33"/>
    </row>
    <row r="6" spans="1:11" ht="21.75" customHeight="1">
      <c r="A6" s="168" t="s">
        <v>80</v>
      </c>
      <c r="B6" s="168" t="s">
        <v>81</v>
      </c>
      <c r="C6" s="168" t="s">
        <v>74</v>
      </c>
      <c r="D6" s="168" t="s">
        <v>82</v>
      </c>
      <c r="E6" s="168" t="s">
        <v>83</v>
      </c>
      <c r="F6" s="168" t="s">
        <v>84</v>
      </c>
      <c r="G6" s="168" t="s">
        <v>75</v>
      </c>
      <c r="H6" s="168" t="s">
        <v>85</v>
      </c>
      <c r="I6" s="168" t="s">
        <v>76</v>
      </c>
      <c r="J6" s="168" t="s">
        <v>86</v>
      </c>
      <c r="K6" s="168" t="s">
        <v>87</v>
      </c>
    </row>
    <row r="7" spans="1:11" ht="11.25" customHeight="1">
      <c r="A7" s="167">
        <v>1</v>
      </c>
      <c r="B7" s="167">
        <v>2</v>
      </c>
      <c r="C7" s="167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  <c r="K7" s="167">
        <v>11</v>
      </c>
    </row>
    <row r="8" spans="1:11" ht="3.75" customHeight="1">
      <c r="A8" s="20"/>
      <c r="B8" s="33"/>
      <c r="C8" s="33"/>
      <c r="D8" s="33"/>
      <c r="E8" s="47"/>
      <c r="F8" s="33"/>
      <c r="G8" s="33"/>
      <c r="H8" s="33"/>
      <c r="I8" s="33"/>
      <c r="J8" s="33"/>
      <c r="K8" s="33"/>
    </row>
    <row r="9" spans="1:248" s="3" customFormat="1" ht="12.75" customHeight="1">
      <c r="A9" s="264"/>
      <c r="B9" s="40" t="s">
        <v>16</v>
      </c>
      <c r="C9" s="40" t="s">
        <v>88</v>
      </c>
      <c r="D9" s="40"/>
      <c r="E9" s="46"/>
      <c r="F9" s="40"/>
      <c r="G9" s="41"/>
      <c r="H9" s="40"/>
      <c r="I9" s="39"/>
      <c r="J9" s="40"/>
      <c r="K9" s="3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s="3" customFormat="1" ht="12.75" customHeight="1">
      <c r="A10" s="27"/>
      <c r="B10" s="6" t="s">
        <v>26</v>
      </c>
      <c r="C10" s="6" t="s">
        <v>89</v>
      </c>
      <c r="D10" s="6"/>
      <c r="E10" s="45"/>
      <c r="F10" s="6"/>
      <c r="G10" s="28"/>
      <c r="H10" s="6"/>
      <c r="I10" s="29"/>
      <c r="J10" s="6"/>
      <c r="K10" s="2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s="2" customFormat="1" ht="24" customHeight="1">
      <c r="A11" s="274">
        <v>1</v>
      </c>
      <c r="B11" s="188" t="s">
        <v>90</v>
      </c>
      <c r="C11" s="189" t="s">
        <v>91</v>
      </c>
      <c r="D11" s="190" t="s">
        <v>92</v>
      </c>
      <c r="E11" s="191">
        <f>E14</f>
        <v>5.576</v>
      </c>
      <c r="F11" s="192"/>
      <c r="G11" s="192"/>
      <c r="H11" s="193">
        <v>0.06923</v>
      </c>
      <c r="I11" s="194"/>
      <c r="J11" s="193">
        <v>0</v>
      </c>
      <c r="K11" s="194">
        <f>E11*J11</f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</row>
    <row r="12" spans="1:248" s="2" customFormat="1" ht="15.75" customHeight="1">
      <c r="A12" s="275"/>
      <c r="B12" s="183"/>
      <c r="C12" s="183" t="s">
        <v>93</v>
      </c>
      <c r="D12" s="183"/>
      <c r="E12" s="184">
        <f>0.72*2.05</f>
        <v>1.4759999999999998</v>
      </c>
      <c r="F12" s="183"/>
      <c r="G12" s="183"/>
      <c r="H12" s="183"/>
      <c r="I12" s="183"/>
      <c r="J12" s="183"/>
      <c r="K12" s="183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</row>
    <row r="13" spans="1:248" s="2" customFormat="1" ht="15.75" customHeight="1">
      <c r="A13" s="275"/>
      <c r="B13" s="183"/>
      <c r="C13" s="183" t="s">
        <v>94</v>
      </c>
      <c r="D13" s="183"/>
      <c r="E13" s="184">
        <f>1*2.05*2</f>
        <v>4.1</v>
      </c>
      <c r="F13" s="183"/>
      <c r="G13" s="183"/>
      <c r="H13" s="183"/>
      <c r="I13" s="183"/>
      <c r="J13" s="183"/>
      <c r="K13" s="183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</row>
    <row r="14" spans="1:248" s="2" customFormat="1" ht="15.75" customHeight="1">
      <c r="A14" s="276"/>
      <c r="B14" s="185"/>
      <c r="C14" s="185" t="s">
        <v>95</v>
      </c>
      <c r="D14" s="185"/>
      <c r="E14" s="186">
        <f>SUM(E12:E13)</f>
        <v>5.576</v>
      </c>
      <c r="F14" s="185"/>
      <c r="G14" s="185"/>
      <c r="H14" s="185"/>
      <c r="I14" s="185"/>
      <c r="J14" s="185"/>
      <c r="K14" s="185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</row>
    <row r="15" spans="1:248" s="2" customFormat="1" ht="24" customHeight="1">
      <c r="A15" s="274">
        <v>2</v>
      </c>
      <c r="B15" s="195">
        <v>340239234</v>
      </c>
      <c r="C15" s="196" t="s">
        <v>96</v>
      </c>
      <c r="D15" s="197" t="s">
        <v>92</v>
      </c>
      <c r="E15" s="191">
        <f>E16</f>
        <v>1.785</v>
      </c>
      <c r="F15" s="198"/>
      <c r="G15" s="198"/>
      <c r="H15" s="199">
        <v>0.08613</v>
      </c>
      <c r="I15" s="200"/>
      <c r="J15" s="199">
        <v>0</v>
      </c>
      <c r="K15" s="200">
        <f>E15*J15</f>
        <v>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</row>
    <row r="16" spans="1:248" s="2" customFormat="1" ht="15.75" customHeight="1">
      <c r="A16" s="276"/>
      <c r="B16" s="185"/>
      <c r="C16" s="185" t="s">
        <v>97</v>
      </c>
      <c r="D16" s="185"/>
      <c r="E16" s="186">
        <f>0.85*2.1</f>
        <v>1.785</v>
      </c>
      <c r="F16" s="185"/>
      <c r="G16" s="185"/>
      <c r="H16" s="185"/>
      <c r="I16" s="185"/>
      <c r="J16" s="185"/>
      <c r="K16" s="185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</row>
    <row r="17" spans="1:248" s="2" customFormat="1" ht="24" customHeight="1">
      <c r="A17" s="274">
        <v>3</v>
      </c>
      <c r="B17" s="187" t="s">
        <v>98</v>
      </c>
      <c r="C17" s="207" t="s">
        <v>99</v>
      </c>
      <c r="D17" s="206" t="s">
        <v>92</v>
      </c>
      <c r="E17" s="191">
        <f>E20</f>
        <v>16.707</v>
      </c>
      <c r="F17" s="208"/>
      <c r="G17" s="208"/>
      <c r="H17" s="209">
        <v>0.06982</v>
      </c>
      <c r="I17" s="210"/>
      <c r="J17" s="209">
        <v>0</v>
      </c>
      <c r="K17" s="210">
        <f>E17*J17</f>
        <v>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</row>
    <row r="18" spans="1:248" s="2" customFormat="1" ht="15.75" customHeight="1">
      <c r="A18" s="275"/>
      <c r="B18" s="183"/>
      <c r="C18" s="183" t="s">
        <v>100</v>
      </c>
      <c r="D18" s="183"/>
      <c r="E18" s="184">
        <f>(0.6+2.01)*3.2-0.8*2.05</f>
        <v>6.712000000000001</v>
      </c>
      <c r="F18" s="183"/>
      <c r="G18" s="183"/>
      <c r="H18" s="183"/>
      <c r="I18" s="183"/>
      <c r="J18" s="183"/>
      <c r="K18" s="183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</row>
    <row r="19" spans="1:248" s="2" customFormat="1" ht="15.75" customHeight="1">
      <c r="A19" s="275"/>
      <c r="B19" s="183"/>
      <c r="C19" s="183" t="s">
        <v>101</v>
      </c>
      <c r="D19" s="183"/>
      <c r="E19" s="184">
        <f>(1.5+2.2)*3.2-0.9*2.05</f>
        <v>9.995000000000001</v>
      </c>
      <c r="F19" s="183"/>
      <c r="G19" s="183"/>
      <c r="H19" s="183"/>
      <c r="I19" s="183"/>
      <c r="J19" s="183"/>
      <c r="K19" s="183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</row>
    <row r="20" spans="1:248" s="2" customFormat="1" ht="15.75" customHeight="1">
      <c r="A20" s="276"/>
      <c r="B20" s="185"/>
      <c r="C20" s="185" t="s">
        <v>95</v>
      </c>
      <c r="D20" s="185"/>
      <c r="E20" s="186">
        <f>SUM(E18:E19)</f>
        <v>16.707</v>
      </c>
      <c r="F20" s="185"/>
      <c r="G20" s="185"/>
      <c r="H20" s="185"/>
      <c r="I20" s="185"/>
      <c r="J20" s="185"/>
      <c r="K20" s="185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</row>
    <row r="21" spans="1:248" s="2" customFormat="1" ht="24" customHeight="1">
      <c r="A21" s="274">
        <v>4</v>
      </c>
      <c r="B21" s="187" t="s">
        <v>102</v>
      </c>
      <c r="C21" s="207" t="s">
        <v>103</v>
      </c>
      <c r="D21" s="206" t="s">
        <v>104</v>
      </c>
      <c r="E21" s="191">
        <f>E24</f>
        <v>16.9</v>
      </c>
      <c r="F21" s="208"/>
      <c r="G21" s="208"/>
      <c r="H21" s="209">
        <v>6E-05</v>
      </c>
      <c r="I21" s="210"/>
      <c r="J21" s="209">
        <v>0</v>
      </c>
      <c r="K21" s="210">
        <f>E21*J21</f>
        <v>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</row>
    <row r="22" spans="1:248" s="2" customFormat="1" ht="15.75" customHeight="1">
      <c r="A22" s="275"/>
      <c r="B22" s="183"/>
      <c r="C22" s="183" t="s">
        <v>105</v>
      </c>
      <c r="D22" s="183"/>
      <c r="E22" s="184">
        <f>2*2.05</f>
        <v>4.1</v>
      </c>
      <c r="F22" s="183"/>
      <c r="G22" s="183"/>
      <c r="H22" s="183"/>
      <c r="I22" s="183"/>
      <c r="J22" s="183"/>
      <c r="K22" s="183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</row>
    <row r="23" spans="1:248" s="2" customFormat="1" ht="15.75" customHeight="1">
      <c r="A23" s="275"/>
      <c r="B23" s="183"/>
      <c r="C23" s="183" t="s">
        <v>106</v>
      </c>
      <c r="D23" s="183"/>
      <c r="E23" s="184">
        <f>3.2*4</f>
        <v>12.8</v>
      </c>
      <c r="F23" s="183"/>
      <c r="G23" s="183"/>
      <c r="H23" s="183"/>
      <c r="I23" s="183"/>
      <c r="J23" s="183"/>
      <c r="K23" s="183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</row>
    <row r="24" spans="1:248" s="2" customFormat="1" ht="15.75" customHeight="1">
      <c r="A24" s="276"/>
      <c r="B24" s="185"/>
      <c r="C24" s="185" t="s">
        <v>95</v>
      </c>
      <c r="D24" s="185"/>
      <c r="E24" s="186">
        <f>SUM(E22:E23)</f>
        <v>16.9</v>
      </c>
      <c r="F24" s="185"/>
      <c r="G24" s="185"/>
      <c r="H24" s="185"/>
      <c r="I24" s="185"/>
      <c r="J24" s="185"/>
      <c r="K24" s="185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</row>
    <row r="25" spans="1:248" s="2" customFormat="1" ht="24" customHeight="1">
      <c r="A25" s="274">
        <v>5</v>
      </c>
      <c r="B25" s="211" t="s">
        <v>107</v>
      </c>
      <c r="C25" s="212" t="s">
        <v>108</v>
      </c>
      <c r="D25" s="213" t="s">
        <v>104</v>
      </c>
      <c r="E25" s="191">
        <f>E26</f>
        <v>4.2</v>
      </c>
      <c r="F25" s="214"/>
      <c r="G25" s="214"/>
      <c r="H25" s="215">
        <v>0.00012</v>
      </c>
      <c r="I25" s="216"/>
      <c r="J25" s="215">
        <v>0</v>
      </c>
      <c r="K25" s="216">
        <f>E25*J25</f>
        <v>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</row>
    <row r="26" spans="1:248" s="2" customFormat="1" ht="15.75" customHeight="1">
      <c r="A26" s="276"/>
      <c r="B26" s="185"/>
      <c r="C26" s="185" t="s">
        <v>109</v>
      </c>
      <c r="D26" s="185"/>
      <c r="E26" s="186">
        <f>2*2.1</f>
        <v>4.2</v>
      </c>
      <c r="F26" s="185"/>
      <c r="G26" s="185"/>
      <c r="H26" s="185"/>
      <c r="I26" s="185"/>
      <c r="J26" s="185"/>
      <c r="K26" s="185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</row>
    <row r="27" spans="1:248" s="2" customFormat="1" ht="15.75" customHeight="1">
      <c r="A27" s="274"/>
      <c r="B27" s="217">
        <v>341231811</v>
      </c>
      <c r="C27" s="218" t="s">
        <v>110</v>
      </c>
      <c r="D27" s="219" t="s">
        <v>104</v>
      </c>
      <c r="E27" s="191">
        <f>E28</f>
        <v>5</v>
      </c>
      <c r="F27" s="220"/>
      <c r="G27" s="220">
        <f>ROUND(E27*F27,2)</f>
        <v>0</v>
      </c>
      <c r="H27" s="221">
        <v>0.028862</v>
      </c>
      <c r="I27" s="222"/>
      <c r="J27" s="221">
        <v>0</v>
      </c>
      <c r="K27" s="222">
        <f>E27*J27</f>
        <v>0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</row>
    <row r="28" spans="1:248" s="2" customFormat="1" ht="15.75" customHeight="1">
      <c r="A28" s="276"/>
      <c r="B28" s="185"/>
      <c r="C28" s="185" t="s">
        <v>111</v>
      </c>
      <c r="D28" s="185"/>
      <c r="E28" s="186">
        <f>2.1*2+0.8</f>
        <v>5</v>
      </c>
      <c r="F28" s="185"/>
      <c r="G28" s="185"/>
      <c r="H28" s="185"/>
      <c r="I28" s="185"/>
      <c r="J28" s="185"/>
      <c r="K28" s="185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</row>
    <row r="29" spans="1:248" s="2" customFormat="1" ht="24" customHeight="1">
      <c r="A29" s="274">
        <v>6</v>
      </c>
      <c r="B29" s="187" t="s">
        <v>112</v>
      </c>
      <c r="C29" s="207" t="s">
        <v>113</v>
      </c>
      <c r="D29" s="206" t="s">
        <v>92</v>
      </c>
      <c r="E29" s="191">
        <f>E33</f>
        <v>6.88</v>
      </c>
      <c r="F29" s="208"/>
      <c r="G29" s="208"/>
      <c r="H29" s="209">
        <v>0.04963</v>
      </c>
      <c r="I29" s="210"/>
      <c r="J29" s="209">
        <v>0</v>
      </c>
      <c r="K29" s="210">
        <f>E29*J29</f>
        <v>0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</row>
    <row r="30" spans="1:248" s="2" customFormat="1" ht="15.75" customHeight="1">
      <c r="A30" s="275"/>
      <c r="B30" s="183"/>
      <c r="C30" s="183" t="s">
        <v>114</v>
      </c>
      <c r="D30" s="183"/>
      <c r="E30" s="184">
        <f>(0.7+1.8)*2*0.6</f>
        <v>3</v>
      </c>
      <c r="F30" s="183"/>
      <c r="G30" s="183"/>
      <c r="H30" s="183"/>
      <c r="I30" s="183"/>
      <c r="J30" s="183"/>
      <c r="K30" s="1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</row>
    <row r="31" spans="1:248" s="2" customFormat="1" ht="15.75" customHeight="1">
      <c r="A31" s="275"/>
      <c r="B31" s="183"/>
      <c r="C31" s="183" t="s">
        <v>115</v>
      </c>
      <c r="D31" s="183"/>
      <c r="E31" s="184">
        <v>1</v>
      </c>
      <c r="F31" s="183"/>
      <c r="G31" s="183"/>
      <c r="H31" s="183"/>
      <c r="I31" s="183"/>
      <c r="J31" s="183"/>
      <c r="K31" s="1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</row>
    <row r="32" spans="1:248" s="2" customFormat="1" ht="15.75" customHeight="1">
      <c r="A32" s="275"/>
      <c r="B32" s="183"/>
      <c r="C32" s="183" t="s">
        <v>116</v>
      </c>
      <c r="D32" s="183"/>
      <c r="E32" s="184">
        <f>0.8*1.2*3</f>
        <v>2.88</v>
      </c>
      <c r="F32" s="183"/>
      <c r="G32" s="183"/>
      <c r="H32" s="183"/>
      <c r="I32" s="183"/>
      <c r="J32" s="183"/>
      <c r="K32" s="1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</row>
    <row r="33" spans="1:248" s="2" customFormat="1" ht="15.75" customHeight="1">
      <c r="A33" s="276"/>
      <c r="B33" s="185"/>
      <c r="C33" s="185" t="s">
        <v>95</v>
      </c>
      <c r="D33" s="185"/>
      <c r="E33" s="186">
        <f>SUM(E30:E32)</f>
        <v>6.88</v>
      </c>
      <c r="F33" s="185"/>
      <c r="G33" s="185"/>
      <c r="H33" s="185"/>
      <c r="I33" s="185"/>
      <c r="J33" s="185"/>
      <c r="K33" s="185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</row>
    <row r="34" spans="1:248" s="2" customFormat="1" ht="15.75" customHeight="1">
      <c r="A34" s="36"/>
      <c r="B34" s="31"/>
      <c r="C34" s="31"/>
      <c r="D34" s="31"/>
      <c r="E34" s="49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</row>
    <row r="35" spans="1:248" s="3" customFormat="1" ht="12.75" customHeight="1">
      <c r="A35" s="27"/>
      <c r="B35" s="6" t="s">
        <v>40</v>
      </c>
      <c r="C35" s="6" t="s">
        <v>117</v>
      </c>
      <c r="D35" s="6"/>
      <c r="E35" s="45"/>
      <c r="F35" s="6"/>
      <c r="G35" s="28"/>
      <c r="H35" s="6"/>
      <c r="I35" s="29"/>
      <c r="J35" s="6"/>
      <c r="K35" s="29">
        <f>SUM(K36:K72)</f>
        <v>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</row>
    <row r="36" spans="1:248" s="2" customFormat="1" ht="13.5" customHeight="1">
      <c r="A36" s="274">
        <v>7</v>
      </c>
      <c r="B36" s="187" t="s">
        <v>118</v>
      </c>
      <c r="C36" s="207" t="s">
        <v>119</v>
      </c>
      <c r="D36" s="206" t="s">
        <v>92</v>
      </c>
      <c r="E36" s="191">
        <f>E37</f>
        <v>1.06</v>
      </c>
      <c r="F36" s="208"/>
      <c r="G36" s="208">
        <f>ROUND(E36*F36,2)</f>
        <v>0</v>
      </c>
      <c r="H36" s="209">
        <v>0.10712</v>
      </c>
      <c r="I36" s="210"/>
      <c r="J36" s="209">
        <v>0</v>
      </c>
      <c r="K36" s="210">
        <f>E36*J36</f>
        <v>0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</row>
    <row r="37" spans="1:248" s="2" customFormat="1" ht="15.75" customHeight="1">
      <c r="A37" s="276"/>
      <c r="B37" s="185"/>
      <c r="C37" s="185" t="s">
        <v>120</v>
      </c>
      <c r="D37" s="185"/>
      <c r="E37" s="186">
        <f>(1.91+1.63+1.76)*0.2</f>
        <v>1.06</v>
      </c>
      <c r="F37" s="185"/>
      <c r="G37" s="185"/>
      <c r="H37" s="185"/>
      <c r="I37" s="185"/>
      <c r="J37" s="185"/>
      <c r="K37" s="185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</row>
    <row r="38" spans="1:248" s="2" customFormat="1" ht="13.5" customHeight="1">
      <c r="A38" s="274">
        <v>8</v>
      </c>
      <c r="B38" s="187" t="s">
        <v>121</v>
      </c>
      <c r="C38" s="207" t="s">
        <v>122</v>
      </c>
      <c r="D38" s="206" t="s">
        <v>92</v>
      </c>
      <c r="E38" s="191">
        <f>E39</f>
        <v>243.31900000000002</v>
      </c>
      <c r="F38" s="208"/>
      <c r="G38" s="208">
        <f>ROUND(E38*F38,2)</f>
        <v>0</v>
      </c>
      <c r="H38" s="209">
        <v>0.00489</v>
      </c>
      <c r="I38" s="210"/>
      <c r="J38" s="209">
        <v>0</v>
      </c>
      <c r="K38" s="210">
        <f>E38*J38</f>
        <v>0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</row>
    <row r="39" spans="1:248" s="2" customFormat="1" ht="15.75" customHeight="1">
      <c r="A39" s="276"/>
      <c r="B39" s="185"/>
      <c r="C39" s="185" t="s">
        <v>123</v>
      </c>
      <c r="D39" s="185"/>
      <c r="E39" s="186">
        <f>E49</f>
        <v>243.31900000000002</v>
      </c>
      <c r="F39" s="185"/>
      <c r="G39" s="185"/>
      <c r="H39" s="185"/>
      <c r="I39" s="185"/>
      <c r="J39" s="185"/>
      <c r="K39" s="185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</row>
    <row r="40" spans="1:248" s="2" customFormat="1" ht="13.5" customHeight="1">
      <c r="A40" s="274">
        <v>9</v>
      </c>
      <c r="B40" s="187" t="s">
        <v>124</v>
      </c>
      <c r="C40" s="207" t="s">
        <v>125</v>
      </c>
      <c r="D40" s="206" t="s">
        <v>92</v>
      </c>
      <c r="E40" s="191">
        <f>E46</f>
        <v>29.697000000000003</v>
      </c>
      <c r="F40" s="208"/>
      <c r="G40" s="208"/>
      <c r="H40" s="209">
        <v>0.0154</v>
      </c>
      <c r="I40" s="210"/>
      <c r="J40" s="209">
        <v>0</v>
      </c>
      <c r="K40" s="210">
        <f>E40*J40</f>
        <v>0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</row>
    <row r="41" spans="1:248" s="2" customFormat="1" ht="15.75" customHeight="1">
      <c r="A41" s="275"/>
      <c r="B41" s="183"/>
      <c r="C41" s="183" t="s">
        <v>126</v>
      </c>
      <c r="D41" s="183"/>
      <c r="E41" s="184"/>
      <c r="F41" s="183"/>
      <c r="G41" s="183"/>
      <c r="H41" s="183"/>
      <c r="I41" s="183"/>
      <c r="J41" s="183"/>
      <c r="K41" s="183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</row>
    <row r="42" spans="1:248" s="2" customFormat="1" ht="15.75" customHeight="1">
      <c r="A42" s="275"/>
      <c r="B42" s="183"/>
      <c r="C42" s="183" t="s">
        <v>127</v>
      </c>
      <c r="D42" s="183"/>
      <c r="E42" s="184">
        <f>(3.09*2+1.91-0.72-0.6)*2.1</f>
        <v>14.217000000000002</v>
      </c>
      <c r="F42" s="183"/>
      <c r="G42" s="183"/>
      <c r="H42" s="183"/>
      <c r="I42" s="183"/>
      <c r="J42" s="183"/>
      <c r="K42" s="183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</row>
    <row r="43" spans="1:248" s="2" customFormat="1" ht="15.75" customHeight="1">
      <c r="A43" s="275"/>
      <c r="B43" s="183"/>
      <c r="C43" s="183" t="s">
        <v>128</v>
      </c>
      <c r="D43" s="183"/>
      <c r="E43" s="184">
        <f>(0.3+0.7*2+0.6+2.3)*2.1</f>
        <v>9.66</v>
      </c>
      <c r="F43" s="183"/>
      <c r="G43" s="183"/>
      <c r="H43" s="183"/>
      <c r="I43" s="183"/>
      <c r="J43" s="183"/>
      <c r="K43" s="183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</row>
    <row r="44" spans="1:248" s="2" customFormat="1" ht="15.75" customHeight="1">
      <c r="A44" s="275"/>
      <c r="B44" s="183"/>
      <c r="C44" s="183" t="s">
        <v>129</v>
      </c>
      <c r="D44" s="183"/>
      <c r="E44" s="184">
        <f>(0.82+1.15)*2*1.5-0.7*1.5</f>
        <v>4.859999999999999</v>
      </c>
      <c r="F44" s="183"/>
      <c r="G44" s="183"/>
      <c r="H44" s="183"/>
      <c r="I44" s="183"/>
      <c r="J44" s="183"/>
      <c r="K44" s="183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</row>
    <row r="45" spans="1:248" s="2" customFormat="1" ht="15.75" customHeight="1">
      <c r="A45" s="275"/>
      <c r="B45" s="183"/>
      <c r="C45" s="183" t="s">
        <v>130</v>
      </c>
      <c r="D45" s="183"/>
      <c r="E45" s="184">
        <f>0.6*0.8*2</f>
        <v>0.96</v>
      </c>
      <c r="F45" s="183"/>
      <c r="G45" s="183"/>
      <c r="H45" s="183"/>
      <c r="I45" s="183"/>
      <c r="J45" s="183"/>
      <c r="K45" s="183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</row>
    <row r="46" spans="1:248" s="2" customFormat="1" ht="15.75" customHeight="1">
      <c r="A46" s="276"/>
      <c r="B46" s="185"/>
      <c r="C46" s="185" t="s">
        <v>95</v>
      </c>
      <c r="D46" s="185"/>
      <c r="E46" s="186">
        <f>SUM(E42:E45)</f>
        <v>29.697000000000003</v>
      </c>
      <c r="F46" s="185"/>
      <c r="G46" s="185"/>
      <c r="H46" s="185"/>
      <c r="I46" s="185"/>
      <c r="J46" s="185"/>
      <c r="K46" s="185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</row>
    <row r="47" spans="1:248" s="2" customFormat="1" ht="13.5" customHeight="1">
      <c r="A47" s="274">
        <v>10</v>
      </c>
      <c r="B47" s="187" t="s">
        <v>131</v>
      </c>
      <c r="C47" s="207" t="s">
        <v>132</v>
      </c>
      <c r="D47" s="206" t="s">
        <v>92</v>
      </c>
      <c r="E47" s="191">
        <f>E48</f>
        <v>1.92</v>
      </c>
      <c r="F47" s="208"/>
      <c r="G47" s="208">
        <f>ROUND(E47*F47,2)</f>
        <v>0</v>
      </c>
      <c r="H47" s="209">
        <v>0.10712</v>
      </c>
      <c r="I47" s="210"/>
      <c r="J47" s="209">
        <v>0</v>
      </c>
      <c r="K47" s="210">
        <f>E47*J47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</row>
    <row r="48" spans="1:248" s="2" customFormat="1" ht="15.75" customHeight="1">
      <c r="A48" s="276"/>
      <c r="B48" s="185"/>
      <c r="C48" s="185" t="s">
        <v>133</v>
      </c>
      <c r="D48" s="185"/>
      <c r="E48" s="186">
        <f>3.2*0.15*4</f>
        <v>1.92</v>
      </c>
      <c r="F48" s="185"/>
      <c r="G48" s="185"/>
      <c r="H48" s="185"/>
      <c r="I48" s="185"/>
      <c r="J48" s="185"/>
      <c r="K48" s="185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</row>
    <row r="49" spans="1:248" s="2" customFormat="1" ht="24" customHeight="1">
      <c r="A49" s="274">
        <v>11</v>
      </c>
      <c r="B49" s="187" t="s">
        <v>134</v>
      </c>
      <c r="C49" s="207" t="s">
        <v>135</v>
      </c>
      <c r="D49" s="206" t="s">
        <v>92</v>
      </c>
      <c r="E49" s="191">
        <f>E59</f>
        <v>243.31900000000002</v>
      </c>
      <c r="F49" s="208"/>
      <c r="G49" s="208">
        <f>ROUND(E49*F49,2)</f>
        <v>0</v>
      </c>
      <c r="H49" s="209">
        <v>0.00474</v>
      </c>
      <c r="I49" s="210"/>
      <c r="J49" s="209">
        <v>0</v>
      </c>
      <c r="K49" s="210">
        <f>E49*J49</f>
        <v>0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</row>
    <row r="50" spans="1:248" s="2" customFormat="1" ht="15.75" customHeight="1">
      <c r="A50" s="275"/>
      <c r="B50" s="183"/>
      <c r="C50" s="183" t="s">
        <v>136</v>
      </c>
      <c r="D50" s="183"/>
      <c r="E50" s="184"/>
      <c r="F50" s="183"/>
      <c r="G50" s="183"/>
      <c r="H50" s="183"/>
      <c r="I50" s="183"/>
      <c r="J50" s="183"/>
      <c r="K50" s="183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</row>
    <row r="51" spans="1:248" s="2" customFormat="1" ht="15.75" customHeight="1">
      <c r="A51" s="275"/>
      <c r="B51" s="183"/>
      <c r="C51" s="183" t="s">
        <v>137</v>
      </c>
      <c r="D51" s="183"/>
      <c r="E51" s="184">
        <f>(2.7*2+4.325*2)*3.2-(1.25*2.1+0.53*0.8+0.7*2.05+0.8*2.05*2+1.14*2.2*2)</f>
        <v>32.18000000000001</v>
      </c>
      <c r="F51" s="183"/>
      <c r="G51" s="183"/>
      <c r="H51" s="183"/>
      <c r="I51" s="183"/>
      <c r="J51" s="183"/>
      <c r="K51" s="183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</row>
    <row r="52" spans="1:248" s="2" customFormat="1" ht="15.75" customHeight="1">
      <c r="A52" s="275"/>
      <c r="B52" s="183"/>
      <c r="C52" s="183" t="s">
        <v>138</v>
      </c>
      <c r="D52" s="183"/>
      <c r="E52" s="184">
        <f>(3.32+5.61+0.75)*2*3.2-(1.14*2.2+1*2.2+2.75*2.5)</f>
        <v>50.369</v>
      </c>
      <c r="F52" s="183"/>
      <c r="G52" s="183"/>
      <c r="H52" s="183"/>
      <c r="I52" s="183"/>
      <c r="J52" s="183"/>
      <c r="K52" s="183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</row>
    <row r="53" spans="1:248" s="2" customFormat="1" ht="15.75" customHeight="1">
      <c r="A53" s="275"/>
      <c r="B53" s="183"/>
      <c r="C53" s="183" t="s">
        <v>139</v>
      </c>
      <c r="D53" s="183"/>
      <c r="E53" s="184">
        <f>(4.22+5.61+0.75)*2*3.2-(1.14*2.2+1*2.2+1.82*2.5)</f>
        <v>58.45400000000001</v>
      </c>
      <c r="F53" s="183"/>
      <c r="G53" s="183"/>
      <c r="H53" s="183"/>
      <c r="I53" s="183"/>
      <c r="J53" s="183"/>
      <c r="K53" s="183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</row>
    <row r="54" spans="1:248" s="2" customFormat="1" ht="15.75" customHeight="1">
      <c r="A54" s="275"/>
      <c r="B54" s="183"/>
      <c r="C54" s="183" t="s">
        <v>140</v>
      </c>
      <c r="D54" s="183"/>
      <c r="E54" s="184">
        <f>(0.35+0.68*2+0.3+0.6+2.2*2)*3.2-0.94*1.2</f>
        <v>21.304000000000002</v>
      </c>
      <c r="F54" s="183"/>
      <c r="G54" s="183"/>
      <c r="H54" s="183"/>
      <c r="I54" s="183"/>
      <c r="J54" s="183"/>
      <c r="K54" s="183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</row>
    <row r="55" spans="1:248" s="2" customFormat="1" ht="15.75" customHeight="1">
      <c r="A55" s="275"/>
      <c r="B55" s="183"/>
      <c r="C55" s="183" t="s">
        <v>141</v>
      </c>
      <c r="D55" s="183"/>
      <c r="E55" s="184">
        <f>(4.25*2+1.5+0.5+0.87*2+0.8*2)*3.2-0.8*2.05</f>
        <v>42.648</v>
      </c>
      <c r="F55" s="183"/>
      <c r="G55" s="183"/>
      <c r="H55" s="183"/>
      <c r="I55" s="183"/>
      <c r="J55" s="183"/>
      <c r="K55" s="183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</row>
    <row r="56" spans="1:248" s="2" customFormat="1" ht="15.75" customHeight="1">
      <c r="A56" s="275"/>
      <c r="B56" s="183"/>
      <c r="C56" s="183" t="s">
        <v>142</v>
      </c>
      <c r="D56" s="183"/>
      <c r="E56" s="184">
        <f>(1.91+3.09)*2*(3.2-2.1)</f>
        <v>11</v>
      </c>
      <c r="F56" s="183"/>
      <c r="G56" s="183"/>
      <c r="H56" s="183"/>
      <c r="I56" s="183"/>
      <c r="J56" s="183"/>
      <c r="K56" s="183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</row>
    <row r="57" spans="1:248" s="2" customFormat="1" ht="15.75" customHeight="1">
      <c r="A57" s="275"/>
      <c r="B57" s="183"/>
      <c r="C57" s="183" t="s">
        <v>143</v>
      </c>
      <c r="D57" s="183"/>
      <c r="E57" s="184">
        <f>(0.82+1.15)*2*(3.2-1.5)-0.7*0.5</f>
        <v>6.348</v>
      </c>
      <c r="F57" s="183"/>
      <c r="G57" s="183"/>
      <c r="H57" s="183"/>
      <c r="I57" s="183"/>
      <c r="J57" s="183"/>
      <c r="K57" s="183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</row>
    <row r="58" spans="1:248" s="2" customFormat="1" ht="15.75" customHeight="1">
      <c r="A58" s="275"/>
      <c r="B58" s="183"/>
      <c r="C58" s="183" t="s">
        <v>144</v>
      </c>
      <c r="D58" s="183"/>
      <c r="E58" s="184">
        <f>(1.91+1.63)*2*3.2-0.8*2.05</f>
        <v>21.016000000000002</v>
      </c>
      <c r="F58" s="183"/>
      <c r="G58" s="183"/>
      <c r="H58" s="183"/>
      <c r="I58" s="183"/>
      <c r="J58" s="183"/>
      <c r="K58" s="183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</row>
    <row r="59" spans="1:248" s="2" customFormat="1" ht="15.75" customHeight="1">
      <c r="A59" s="276"/>
      <c r="B59" s="185"/>
      <c r="C59" s="185" t="s">
        <v>95</v>
      </c>
      <c r="D59" s="185"/>
      <c r="E59" s="186">
        <f>SUM(E51:E58)</f>
        <v>243.31900000000002</v>
      </c>
      <c r="F59" s="185"/>
      <c r="G59" s="185"/>
      <c r="H59" s="185"/>
      <c r="I59" s="185"/>
      <c r="J59" s="185"/>
      <c r="K59" s="185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</row>
    <row r="60" spans="1:248" s="2" customFormat="1" ht="13.5" customHeight="1">
      <c r="A60" s="274">
        <v>12</v>
      </c>
      <c r="B60" s="187">
        <v>622142001</v>
      </c>
      <c r="C60" s="207" t="s">
        <v>145</v>
      </c>
      <c r="D60" s="206" t="s">
        <v>92</v>
      </c>
      <c r="E60" s="191">
        <f>E61</f>
        <v>27.499999999999996</v>
      </c>
      <c r="F60" s="208"/>
      <c r="G60" s="208">
        <f>ROUND(E60*F60,2)</f>
        <v>0</v>
      </c>
      <c r="H60" s="209">
        <v>0.00489</v>
      </c>
      <c r="I60" s="210"/>
      <c r="J60" s="209">
        <v>0</v>
      </c>
      <c r="K60" s="210">
        <f>E60*J60</f>
        <v>0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</row>
    <row r="61" spans="1:248" s="2" customFormat="1" ht="15.75" customHeight="1">
      <c r="A61" s="276"/>
      <c r="B61" s="185"/>
      <c r="C61" s="185" t="s">
        <v>146</v>
      </c>
      <c r="D61" s="185"/>
      <c r="E61" s="186">
        <f>(4.1+1.5*2)*3.8-2*2.2+4.1*1.2</f>
        <v>27.499999999999996</v>
      </c>
      <c r="F61" s="185"/>
      <c r="G61" s="185"/>
      <c r="H61" s="185"/>
      <c r="I61" s="185"/>
      <c r="J61" s="185"/>
      <c r="K61" s="185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</row>
    <row r="62" spans="1:248" s="2" customFormat="1" ht="13.5" customHeight="1">
      <c r="A62" s="174">
        <v>13</v>
      </c>
      <c r="B62" s="169">
        <v>622142050</v>
      </c>
      <c r="C62" s="175" t="s">
        <v>147</v>
      </c>
      <c r="D62" s="174" t="s">
        <v>92</v>
      </c>
      <c r="E62" s="170">
        <f>E60</f>
        <v>27.499999999999996</v>
      </c>
      <c r="F62" s="173"/>
      <c r="G62" s="173">
        <f>ROUND(E62*F62,2)</f>
        <v>0</v>
      </c>
      <c r="H62" s="172">
        <v>0.0012</v>
      </c>
      <c r="I62" s="171"/>
      <c r="J62" s="172">
        <v>0</v>
      </c>
      <c r="K62" s="171">
        <f>E62*J62</f>
        <v>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</row>
    <row r="63" spans="1:248" s="2" customFormat="1" ht="13.5" customHeight="1">
      <c r="A63" s="274">
        <v>14</v>
      </c>
      <c r="B63" s="187">
        <v>631311124</v>
      </c>
      <c r="C63" s="207" t="s">
        <v>148</v>
      </c>
      <c r="D63" s="206" t="s">
        <v>149</v>
      </c>
      <c r="E63" s="191">
        <f>E64</f>
        <v>0.482848</v>
      </c>
      <c r="F63" s="208"/>
      <c r="G63" s="208">
        <f>ROUND(E63*F63,2)</f>
        <v>0</v>
      </c>
      <c r="H63" s="209">
        <v>2.45329</v>
      </c>
      <c r="I63" s="210"/>
      <c r="J63" s="209">
        <v>0</v>
      </c>
      <c r="K63" s="210">
        <f>E63*J63</f>
        <v>0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</row>
    <row r="64" spans="1:248" s="2" customFormat="1" ht="15.75" customHeight="1">
      <c r="A64" s="276"/>
      <c r="B64" s="185"/>
      <c r="C64" s="185" t="s">
        <v>150</v>
      </c>
      <c r="D64" s="185"/>
      <c r="E64" s="186">
        <f>(2.56+0.6)*1.91*0.08</f>
        <v>0.482848</v>
      </c>
      <c r="F64" s="185"/>
      <c r="G64" s="185"/>
      <c r="H64" s="185"/>
      <c r="I64" s="185"/>
      <c r="J64" s="185"/>
      <c r="K64" s="185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</row>
    <row r="65" spans="1:248" s="2" customFormat="1" ht="13.5" customHeight="1">
      <c r="A65" s="174">
        <v>15</v>
      </c>
      <c r="B65" s="169">
        <v>631319011</v>
      </c>
      <c r="C65" s="175" t="s">
        <v>151</v>
      </c>
      <c r="D65" s="174" t="s">
        <v>149</v>
      </c>
      <c r="E65" s="170">
        <f>E63</f>
        <v>0.482848</v>
      </c>
      <c r="F65" s="173"/>
      <c r="G65" s="173">
        <f>ROUND(E65*F65,2)</f>
        <v>0</v>
      </c>
      <c r="H65" s="172">
        <v>0</v>
      </c>
      <c r="I65" s="171">
        <f>E65*H65</f>
        <v>0</v>
      </c>
      <c r="J65" s="172">
        <v>0</v>
      </c>
      <c r="K65" s="171">
        <f>E65*J65</f>
        <v>0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</row>
    <row r="66" spans="1:248" s="2" customFormat="1" ht="13.5" customHeight="1">
      <c r="A66" s="274">
        <v>16</v>
      </c>
      <c r="B66" s="228" t="s">
        <v>152</v>
      </c>
      <c r="C66" s="229" t="s">
        <v>153</v>
      </c>
      <c r="D66" s="230" t="s">
        <v>149</v>
      </c>
      <c r="E66" s="191">
        <f>E69</f>
        <v>0.577</v>
      </c>
      <c r="F66" s="231"/>
      <c r="G66" s="231">
        <f>ROUND(E66*F66,2)</f>
        <v>0</v>
      </c>
      <c r="H66" s="232">
        <v>2.234</v>
      </c>
      <c r="I66" s="233"/>
      <c r="J66" s="232">
        <v>0</v>
      </c>
      <c r="K66" s="233">
        <f>E66*J66</f>
        <v>0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</row>
    <row r="67" spans="1:248" s="2" customFormat="1" ht="13.5" customHeight="1">
      <c r="A67" s="275"/>
      <c r="B67" s="183"/>
      <c r="C67" s="205" t="s">
        <v>154</v>
      </c>
      <c r="D67" s="204"/>
      <c r="E67" s="184">
        <f>(0.6+2.01+1.5+2.2)*0.3*0.2</f>
        <v>0.3786</v>
      </c>
      <c r="F67" s="203"/>
      <c r="G67" s="203"/>
      <c r="H67" s="202"/>
      <c r="I67" s="201"/>
      <c r="J67" s="202"/>
      <c r="K67" s="20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</row>
    <row r="68" spans="1:248" s="2" customFormat="1" ht="13.5" customHeight="1">
      <c r="A68" s="275"/>
      <c r="B68" s="183"/>
      <c r="C68" s="205" t="s">
        <v>155</v>
      </c>
      <c r="D68" s="204"/>
      <c r="E68" s="184">
        <f>(1.63+0.72+1.76+0.85)*0.2*0.2</f>
        <v>0.1984</v>
      </c>
      <c r="F68" s="203"/>
      <c r="G68" s="203"/>
      <c r="H68" s="202"/>
      <c r="I68" s="201"/>
      <c r="J68" s="202"/>
      <c r="K68" s="20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</row>
    <row r="69" spans="1:248" s="2" customFormat="1" ht="13.5" customHeight="1">
      <c r="A69" s="276"/>
      <c r="B69" s="185"/>
      <c r="C69" s="224" t="s">
        <v>95</v>
      </c>
      <c r="D69" s="223"/>
      <c r="E69" s="186">
        <f>SUM(E67:E68)</f>
        <v>0.577</v>
      </c>
      <c r="F69" s="225"/>
      <c r="G69" s="225"/>
      <c r="H69" s="226"/>
      <c r="I69" s="227"/>
      <c r="J69" s="226"/>
      <c r="K69" s="227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</row>
    <row r="70" spans="1:248" s="2" customFormat="1" ht="13.5" customHeight="1">
      <c r="A70" s="274">
        <v>17</v>
      </c>
      <c r="B70" s="187" t="s">
        <v>156</v>
      </c>
      <c r="C70" s="207" t="s">
        <v>157</v>
      </c>
      <c r="D70" s="206" t="s">
        <v>158</v>
      </c>
      <c r="E70" s="191">
        <f>E72</f>
        <v>0.020558550000000002</v>
      </c>
      <c r="F70" s="208"/>
      <c r="G70" s="208">
        <f>ROUND(E70*F70,2)</f>
        <v>0</v>
      </c>
      <c r="H70" s="209">
        <v>1.05306</v>
      </c>
      <c r="I70" s="210"/>
      <c r="J70" s="209">
        <v>0</v>
      </c>
      <c r="K70" s="210">
        <f>E70*J70</f>
        <v>0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</row>
    <row r="71" spans="1:248" s="2" customFormat="1" ht="15.75" customHeight="1">
      <c r="A71" s="275"/>
      <c r="B71" s="183"/>
      <c r="C71" s="183" t="s">
        <v>159</v>
      </c>
      <c r="D71" s="183"/>
      <c r="E71" s="184"/>
      <c r="F71" s="183"/>
      <c r="G71" s="183"/>
      <c r="H71" s="183"/>
      <c r="I71" s="183"/>
      <c r="J71" s="183"/>
      <c r="K71" s="183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</row>
    <row r="72" spans="1:248" s="2" customFormat="1" ht="15.75" customHeight="1">
      <c r="A72" s="276"/>
      <c r="B72" s="185"/>
      <c r="C72" s="185" t="s">
        <v>160</v>
      </c>
      <c r="D72" s="185"/>
      <c r="E72" s="186">
        <f>5.9*1.15*3.03*0.001</f>
        <v>0.020558550000000002</v>
      </c>
      <c r="F72" s="185"/>
      <c r="G72" s="185"/>
      <c r="H72" s="185"/>
      <c r="I72" s="185"/>
      <c r="J72" s="185"/>
      <c r="K72" s="185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</row>
    <row r="73" spans="1:248" s="2" customFormat="1" ht="15.75" customHeight="1">
      <c r="A73" s="36"/>
      <c r="B73" s="31"/>
      <c r="C73" s="31"/>
      <c r="D73" s="31"/>
      <c r="E73" s="49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</row>
    <row r="74" spans="1:248" s="3" customFormat="1" ht="12.75" customHeight="1">
      <c r="A74" s="27"/>
      <c r="B74" s="6" t="s">
        <v>22</v>
      </c>
      <c r="C74" s="6" t="s">
        <v>161</v>
      </c>
      <c r="D74" s="6"/>
      <c r="E74" s="45"/>
      <c r="F74" s="6"/>
      <c r="G74" s="28"/>
      <c r="H74" s="6"/>
      <c r="I74" s="29"/>
      <c r="J74" s="6"/>
      <c r="K74" s="29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</row>
    <row r="75" spans="1:248" s="2" customFormat="1" ht="24" customHeight="1">
      <c r="A75" s="174">
        <v>18</v>
      </c>
      <c r="B75" s="169" t="s">
        <v>162</v>
      </c>
      <c r="C75" s="175" t="s">
        <v>163</v>
      </c>
      <c r="D75" s="174" t="s">
        <v>92</v>
      </c>
      <c r="E75" s="170">
        <v>90</v>
      </c>
      <c r="F75" s="173"/>
      <c r="G75" s="173"/>
      <c r="H75" s="172">
        <v>0.015</v>
      </c>
      <c r="I75" s="171"/>
      <c r="J75" s="172">
        <v>0</v>
      </c>
      <c r="K75" s="171">
        <f>E75*J75</f>
        <v>0</v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</row>
    <row r="76" spans="1:248" s="2" customFormat="1" ht="13.5" customHeight="1">
      <c r="A76" s="174">
        <v>19</v>
      </c>
      <c r="B76" s="169" t="s">
        <v>164</v>
      </c>
      <c r="C76" s="175" t="s">
        <v>165</v>
      </c>
      <c r="D76" s="174" t="s">
        <v>92</v>
      </c>
      <c r="E76" s="170">
        <v>90</v>
      </c>
      <c r="F76" s="173"/>
      <c r="G76" s="173">
        <f>ROUND(E76*F76,2)</f>
        <v>0</v>
      </c>
      <c r="H76" s="172">
        <v>4E-05</v>
      </c>
      <c r="I76" s="171"/>
      <c r="J76" s="172">
        <v>0</v>
      </c>
      <c r="K76" s="171">
        <f>E76*J76</f>
        <v>0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</row>
    <row r="77" spans="1:248" s="2" customFormat="1" ht="13.5" customHeight="1">
      <c r="A77" s="174">
        <v>20</v>
      </c>
      <c r="B77" s="169" t="s">
        <v>166</v>
      </c>
      <c r="C77" s="175" t="s">
        <v>167</v>
      </c>
      <c r="D77" s="174" t="s">
        <v>168</v>
      </c>
      <c r="E77" s="170">
        <v>1</v>
      </c>
      <c r="F77" s="173"/>
      <c r="G77" s="173"/>
      <c r="H77" s="172">
        <v>4E-05</v>
      </c>
      <c r="I77" s="171">
        <f>E77*H77</f>
        <v>4E-05</v>
      </c>
      <c r="J77" s="172">
        <v>0</v>
      </c>
      <c r="K77" s="171">
        <f>E77*J77</f>
        <v>0</v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</row>
    <row r="78" spans="1:248" s="2" customFormat="1" ht="13.5" customHeight="1">
      <c r="A78" s="174">
        <v>21</v>
      </c>
      <c r="B78" s="169" t="s">
        <v>169</v>
      </c>
      <c r="C78" s="175" t="s">
        <v>170</v>
      </c>
      <c r="D78" s="174" t="s">
        <v>168</v>
      </c>
      <c r="E78" s="170">
        <v>1</v>
      </c>
      <c r="F78" s="173"/>
      <c r="G78" s="173"/>
      <c r="H78" s="172">
        <v>4E-05</v>
      </c>
      <c r="I78" s="171">
        <f>E78*H78</f>
        <v>4E-05</v>
      </c>
      <c r="J78" s="172">
        <v>0</v>
      </c>
      <c r="K78" s="171">
        <f>E78*J78</f>
        <v>0</v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</row>
    <row r="79" spans="1:248" s="2" customFormat="1" ht="13.5" customHeight="1">
      <c r="A79" s="274">
        <v>22</v>
      </c>
      <c r="B79" s="187" t="s">
        <v>171</v>
      </c>
      <c r="C79" s="207" t="s">
        <v>172</v>
      </c>
      <c r="D79" s="206" t="s">
        <v>92</v>
      </c>
      <c r="E79" s="191">
        <f>E84</f>
        <v>17.936000000000003</v>
      </c>
      <c r="F79" s="208"/>
      <c r="G79" s="208"/>
      <c r="H79" s="209">
        <v>0</v>
      </c>
      <c r="I79" s="210">
        <f>E79*H79</f>
        <v>0</v>
      </c>
      <c r="J79" s="209">
        <v>0.131</v>
      </c>
      <c r="K79" s="210">
        <f>E79*J79</f>
        <v>2.3496160000000006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</row>
    <row r="80" spans="1:248" s="2" customFormat="1" ht="15.75" customHeight="1">
      <c r="A80" s="275"/>
      <c r="B80" s="183"/>
      <c r="C80" s="183" t="s">
        <v>173</v>
      </c>
      <c r="D80" s="183"/>
      <c r="E80" s="184">
        <f>2.18*(3.2-0.8)-0.7*2.05</f>
        <v>3.7970000000000015</v>
      </c>
      <c r="F80" s="183"/>
      <c r="G80" s="183"/>
      <c r="H80" s="183"/>
      <c r="I80" s="183"/>
      <c r="J80" s="183"/>
      <c r="K80" s="183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</row>
    <row r="81" spans="1:248" s="2" customFormat="1" ht="15.75" customHeight="1">
      <c r="A81" s="275"/>
      <c r="B81" s="183"/>
      <c r="C81" s="183" t="s">
        <v>174</v>
      </c>
      <c r="D81" s="183"/>
      <c r="E81" s="184">
        <f>(1.5+1.76)*(3.2-0.8)-0.9*2.05</f>
        <v>5.979000000000001</v>
      </c>
      <c r="F81" s="183"/>
      <c r="G81" s="183"/>
      <c r="H81" s="183"/>
      <c r="I81" s="183"/>
      <c r="J81" s="183"/>
      <c r="K81" s="183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</row>
    <row r="82" spans="1:248" s="2" customFormat="1" ht="15.75" customHeight="1">
      <c r="A82" s="275"/>
      <c r="B82" s="183"/>
      <c r="C82" s="183" t="s">
        <v>175</v>
      </c>
      <c r="D82" s="183"/>
      <c r="E82" s="184">
        <f>1.91*(3.2-0.8)</f>
        <v>4.5840000000000005</v>
      </c>
      <c r="F82" s="183"/>
      <c r="G82" s="183"/>
      <c r="H82" s="183"/>
      <c r="I82" s="183"/>
      <c r="J82" s="183"/>
      <c r="K82" s="183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</row>
    <row r="83" spans="1:248" s="2" customFormat="1" ht="15.75" customHeight="1">
      <c r="A83" s="275"/>
      <c r="B83" s="183"/>
      <c r="C83" s="183" t="s">
        <v>176</v>
      </c>
      <c r="D83" s="183"/>
      <c r="E83" s="184">
        <f>1.63*3.2-0.8*2.05</f>
        <v>3.5760000000000005</v>
      </c>
      <c r="F83" s="183"/>
      <c r="G83" s="183"/>
      <c r="H83" s="183"/>
      <c r="I83" s="183"/>
      <c r="J83" s="183"/>
      <c r="K83" s="183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</row>
    <row r="84" spans="1:248" s="2" customFormat="1" ht="15.75" customHeight="1">
      <c r="A84" s="276"/>
      <c r="B84" s="185"/>
      <c r="C84" s="185" t="s">
        <v>95</v>
      </c>
      <c r="D84" s="185"/>
      <c r="E84" s="186">
        <f>SUM(E80:E83)</f>
        <v>17.936000000000003</v>
      </c>
      <c r="F84" s="185"/>
      <c r="G84" s="185"/>
      <c r="H84" s="185"/>
      <c r="I84" s="185"/>
      <c r="J84" s="185"/>
      <c r="K84" s="185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</row>
    <row r="85" spans="1:248" s="2" customFormat="1" ht="15.75" customHeight="1">
      <c r="A85" s="274">
        <v>23</v>
      </c>
      <c r="B85" s="234" t="s">
        <v>177</v>
      </c>
      <c r="C85" s="235" t="s">
        <v>178</v>
      </c>
      <c r="D85" s="236" t="s">
        <v>149</v>
      </c>
      <c r="E85" s="237">
        <f>E86</f>
        <v>0.48</v>
      </c>
      <c r="F85" s="238"/>
      <c r="G85" s="238">
        <f>ROUND(E85*F85,2)</f>
        <v>0</v>
      </c>
      <c r="H85" s="239">
        <v>0</v>
      </c>
      <c r="I85" s="237">
        <f>E85*H85</f>
        <v>0</v>
      </c>
      <c r="J85" s="239">
        <v>1.8</v>
      </c>
      <c r="K85" s="237">
        <f>E85*J85</f>
        <v>0.864</v>
      </c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</row>
    <row r="86" spans="1:248" s="2" customFormat="1" ht="15.75" customHeight="1">
      <c r="A86" s="276"/>
      <c r="B86" s="185"/>
      <c r="C86" s="185" t="s">
        <v>179</v>
      </c>
      <c r="D86" s="185"/>
      <c r="E86" s="186">
        <f>0.5*0.6*0.8*2</f>
        <v>0.48</v>
      </c>
      <c r="F86" s="185"/>
      <c r="G86" s="185"/>
      <c r="H86" s="185"/>
      <c r="I86" s="185"/>
      <c r="J86" s="185"/>
      <c r="K86" s="185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</row>
    <row r="87" spans="1:248" s="2" customFormat="1" ht="24" customHeight="1">
      <c r="A87" s="274">
        <v>24</v>
      </c>
      <c r="B87" s="240" t="s">
        <v>180</v>
      </c>
      <c r="C87" s="241" t="s">
        <v>181</v>
      </c>
      <c r="D87" s="242" t="s">
        <v>149</v>
      </c>
      <c r="E87" s="191">
        <f>E88</f>
        <v>0.482848</v>
      </c>
      <c r="F87" s="243"/>
      <c r="G87" s="243">
        <f>ROUND(E87*F87,2)</f>
        <v>0</v>
      </c>
      <c r="H87" s="244">
        <v>0</v>
      </c>
      <c r="I87" s="245">
        <f>E87*H87</f>
        <v>0</v>
      </c>
      <c r="J87" s="244">
        <v>1.4</v>
      </c>
      <c r="K87" s="245">
        <f>E87*J87</f>
        <v>0.6759872</v>
      </c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</row>
    <row r="88" spans="1:248" s="2" customFormat="1" ht="15.75" customHeight="1">
      <c r="A88" s="276"/>
      <c r="B88" s="185"/>
      <c r="C88" s="185" t="s">
        <v>182</v>
      </c>
      <c r="D88" s="185"/>
      <c r="E88" s="186">
        <f>(2.56+0.6)*1.91*0.08</f>
        <v>0.482848</v>
      </c>
      <c r="F88" s="185"/>
      <c r="G88" s="185"/>
      <c r="H88" s="185"/>
      <c r="I88" s="185"/>
      <c r="J88" s="185"/>
      <c r="K88" s="185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</row>
    <row r="89" spans="1:248" s="2" customFormat="1" ht="13.5" customHeight="1">
      <c r="A89" s="274">
        <v>25</v>
      </c>
      <c r="B89" s="187" t="s">
        <v>183</v>
      </c>
      <c r="C89" s="207" t="s">
        <v>184</v>
      </c>
      <c r="D89" s="206" t="s">
        <v>92</v>
      </c>
      <c r="E89" s="248"/>
      <c r="F89" s="208"/>
      <c r="G89" s="208">
        <f>ROUND(E89*F89,2)</f>
        <v>0</v>
      </c>
      <c r="H89" s="209">
        <v>0</v>
      </c>
      <c r="I89" s="210">
        <f>E89*H89</f>
        <v>0</v>
      </c>
      <c r="J89" s="209">
        <v>0.035</v>
      </c>
      <c r="K89" s="210">
        <f>E89*J89</f>
        <v>0</v>
      </c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</row>
    <row r="90" spans="1:248" s="2" customFormat="1" ht="15.75" customHeight="1">
      <c r="A90" s="275"/>
      <c r="B90" s="183"/>
      <c r="C90" s="183" t="s">
        <v>185</v>
      </c>
      <c r="D90" s="183"/>
      <c r="E90" s="246"/>
      <c r="F90" s="183"/>
      <c r="G90" s="183"/>
      <c r="H90" s="183"/>
      <c r="I90" s="183"/>
      <c r="J90" s="183"/>
      <c r="K90" s="183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</row>
    <row r="91" spans="1:248" s="2" customFormat="1" ht="15.75" customHeight="1">
      <c r="A91" s="275"/>
      <c r="B91" s="183"/>
      <c r="C91" s="183" t="s">
        <v>186</v>
      </c>
      <c r="D91" s="183"/>
      <c r="E91" s="246"/>
      <c r="F91" s="183"/>
      <c r="G91" s="183"/>
      <c r="H91" s="183"/>
      <c r="I91" s="183"/>
      <c r="J91" s="183"/>
      <c r="K91" s="183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</row>
    <row r="92" spans="1:248" s="2" customFormat="1" ht="15.75" customHeight="1">
      <c r="A92" s="276"/>
      <c r="B92" s="185"/>
      <c r="C92" s="185" t="s">
        <v>95</v>
      </c>
      <c r="D92" s="185"/>
      <c r="E92" s="247"/>
      <c r="F92" s="185"/>
      <c r="G92" s="185"/>
      <c r="H92" s="185"/>
      <c r="I92" s="185"/>
      <c r="J92" s="185"/>
      <c r="K92" s="185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</row>
    <row r="93" spans="1:248" s="2" customFormat="1" ht="15.75" customHeight="1">
      <c r="A93" s="274">
        <v>26</v>
      </c>
      <c r="B93" s="249" t="s">
        <v>187</v>
      </c>
      <c r="C93" s="250" t="s">
        <v>188</v>
      </c>
      <c r="D93" s="251" t="s">
        <v>189</v>
      </c>
      <c r="E93" s="252">
        <v>9</v>
      </c>
      <c r="F93" s="252"/>
      <c r="G93" s="252">
        <f>ROUND(E93*F93,2)</f>
        <v>0</v>
      </c>
      <c r="H93" s="209">
        <v>0</v>
      </c>
      <c r="I93" s="210">
        <f>E93*H93</f>
        <v>0</v>
      </c>
      <c r="J93" s="209">
        <v>0</v>
      </c>
      <c r="K93" s="210">
        <f>E93*J93</f>
        <v>0</v>
      </c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</row>
    <row r="94" spans="1:248" s="2" customFormat="1" ht="15.75" customHeight="1">
      <c r="A94" s="276"/>
      <c r="B94" s="185"/>
      <c r="C94" s="185" t="s">
        <v>190</v>
      </c>
      <c r="D94" s="185"/>
      <c r="E94" s="247"/>
      <c r="F94" s="185"/>
      <c r="G94" s="185"/>
      <c r="H94" s="185"/>
      <c r="I94" s="185"/>
      <c r="J94" s="185"/>
      <c r="K94" s="185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</row>
    <row r="95" spans="1:248" s="2" customFormat="1" ht="15.75" customHeight="1">
      <c r="A95" s="274">
        <v>27</v>
      </c>
      <c r="B95" s="253" t="s">
        <v>191</v>
      </c>
      <c r="C95" s="254" t="s">
        <v>192</v>
      </c>
      <c r="D95" s="255" t="s">
        <v>92</v>
      </c>
      <c r="E95" s="256">
        <f>E98</f>
        <v>4.884</v>
      </c>
      <c r="F95" s="256"/>
      <c r="G95" s="256">
        <f>ROUND(E95*F95,2)</f>
        <v>0</v>
      </c>
      <c r="H95" s="209">
        <v>0</v>
      </c>
      <c r="I95" s="210">
        <f>E95*H95</f>
        <v>0</v>
      </c>
      <c r="J95" s="209">
        <v>0.012</v>
      </c>
      <c r="K95" s="210">
        <f>E95*J95</f>
        <v>0.05860800000000001</v>
      </c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</row>
    <row r="96" spans="1:248" s="2" customFormat="1" ht="15.75" customHeight="1">
      <c r="A96" s="275"/>
      <c r="B96" s="183"/>
      <c r="C96" s="183" t="s">
        <v>193</v>
      </c>
      <c r="D96" s="183"/>
      <c r="E96" s="184">
        <f>(1.76+1.5+1.91)*0.8</f>
        <v>4.136</v>
      </c>
      <c r="F96" s="183"/>
      <c r="G96" s="183"/>
      <c r="H96" s="183"/>
      <c r="I96" s="183"/>
      <c r="J96" s="183"/>
      <c r="K96" s="183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</row>
    <row r="97" spans="1:248" s="2" customFormat="1" ht="15.75" customHeight="1">
      <c r="A97" s="275"/>
      <c r="B97" s="183"/>
      <c r="C97" s="183" t="s">
        <v>194</v>
      </c>
      <c r="D97" s="183"/>
      <c r="E97" s="184">
        <f>0.935*0.8</f>
        <v>0.7480000000000001</v>
      </c>
      <c r="F97" s="183"/>
      <c r="G97" s="183"/>
      <c r="H97" s="183"/>
      <c r="I97" s="183"/>
      <c r="J97" s="183"/>
      <c r="K97" s="183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</row>
    <row r="98" spans="1:248" s="2" customFormat="1" ht="15.75" customHeight="1">
      <c r="A98" s="276"/>
      <c r="B98" s="185"/>
      <c r="C98" s="185" t="s">
        <v>95</v>
      </c>
      <c r="D98" s="185"/>
      <c r="E98" s="186">
        <f>SUM(E96:E97)</f>
        <v>4.884</v>
      </c>
      <c r="F98" s="185"/>
      <c r="G98" s="185"/>
      <c r="H98" s="185"/>
      <c r="I98" s="185"/>
      <c r="J98" s="185"/>
      <c r="K98" s="185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</row>
    <row r="99" spans="1:248" s="2" customFormat="1" ht="15.75" customHeight="1">
      <c r="A99" s="274">
        <v>28</v>
      </c>
      <c r="B99" s="253">
        <v>968062246</v>
      </c>
      <c r="C99" s="254" t="s">
        <v>195</v>
      </c>
      <c r="D99" s="255" t="s">
        <v>92</v>
      </c>
      <c r="E99" s="256">
        <f>E100</f>
        <v>3.3</v>
      </c>
      <c r="F99" s="256"/>
      <c r="G99" s="256">
        <f>ROUND(E99*F99,2)</f>
        <v>0</v>
      </c>
      <c r="H99" s="209">
        <v>0</v>
      </c>
      <c r="I99" s="210">
        <f>E99*H99</f>
        <v>0</v>
      </c>
      <c r="J99" s="209">
        <v>0.018</v>
      </c>
      <c r="K99" s="210">
        <f>E99*J99</f>
        <v>0.059399999999999994</v>
      </c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</row>
    <row r="100" spans="1:248" s="2" customFormat="1" ht="15.75" customHeight="1">
      <c r="A100" s="276"/>
      <c r="B100" s="185"/>
      <c r="C100" s="185" t="s">
        <v>196</v>
      </c>
      <c r="D100" s="185"/>
      <c r="E100" s="186">
        <f>1*2.1+0.5*1.2*2</f>
        <v>3.3</v>
      </c>
      <c r="F100" s="185"/>
      <c r="G100" s="185"/>
      <c r="H100" s="185"/>
      <c r="I100" s="185"/>
      <c r="J100" s="185"/>
      <c r="K100" s="185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</row>
    <row r="101" spans="1:248" s="2" customFormat="1" ht="15.75" customHeight="1">
      <c r="A101" s="274">
        <v>29</v>
      </c>
      <c r="B101" s="257" t="s">
        <v>197</v>
      </c>
      <c r="C101" s="258" t="s">
        <v>198</v>
      </c>
      <c r="D101" s="259" t="s">
        <v>92</v>
      </c>
      <c r="E101" s="260">
        <f>E104</f>
        <v>11.89</v>
      </c>
      <c r="F101" s="260"/>
      <c r="G101" s="260">
        <f>ROUND(E101*F101,2)</f>
        <v>0</v>
      </c>
      <c r="H101" s="209">
        <v>0</v>
      </c>
      <c r="I101" s="210">
        <f>E101*H101</f>
        <v>0</v>
      </c>
      <c r="J101" s="209">
        <v>0.008</v>
      </c>
      <c r="K101" s="210">
        <f>E101*J101</f>
        <v>0.09512000000000001</v>
      </c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</row>
    <row r="102" spans="1:248" s="2" customFormat="1" ht="15.75" customHeight="1">
      <c r="A102" s="275"/>
      <c r="B102" s="183"/>
      <c r="C102" s="183" t="s">
        <v>199</v>
      </c>
      <c r="D102" s="183"/>
      <c r="E102" s="184">
        <f>0.8*2.05*6</f>
        <v>9.84</v>
      </c>
      <c r="F102" s="183"/>
      <c r="G102" s="183"/>
      <c r="H102" s="183"/>
      <c r="I102" s="183"/>
      <c r="J102" s="183"/>
      <c r="K102" s="183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</row>
    <row r="103" spans="1:248" s="2" customFormat="1" ht="15.75" customHeight="1">
      <c r="A103" s="275"/>
      <c r="B103" s="183"/>
      <c r="C103" s="183" t="s">
        <v>200</v>
      </c>
      <c r="D103" s="183"/>
      <c r="E103" s="184">
        <f>1*2.05</f>
        <v>2.05</v>
      </c>
      <c r="F103" s="183"/>
      <c r="G103" s="183"/>
      <c r="H103" s="183"/>
      <c r="I103" s="183"/>
      <c r="J103" s="183"/>
      <c r="K103" s="183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</row>
    <row r="104" spans="1:248" s="2" customFormat="1" ht="15.75" customHeight="1">
      <c r="A104" s="276"/>
      <c r="B104" s="185"/>
      <c r="C104" s="185" t="s">
        <v>95</v>
      </c>
      <c r="D104" s="185"/>
      <c r="E104" s="186">
        <f>SUM(E102:E103)</f>
        <v>11.89</v>
      </c>
      <c r="F104" s="185"/>
      <c r="G104" s="185"/>
      <c r="H104" s="185"/>
      <c r="I104" s="185"/>
      <c r="J104" s="185"/>
      <c r="K104" s="185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</row>
    <row r="105" spans="1:248" s="2" customFormat="1" ht="13.5" customHeight="1">
      <c r="A105" s="274">
        <v>30</v>
      </c>
      <c r="B105" s="187" t="s">
        <v>201</v>
      </c>
      <c r="C105" s="207" t="s">
        <v>202</v>
      </c>
      <c r="D105" s="206" t="s">
        <v>92</v>
      </c>
      <c r="E105" s="191">
        <f>E106</f>
        <v>14.740000000000002</v>
      </c>
      <c r="F105" s="208"/>
      <c r="G105" s="208">
        <f>ROUND(E105*F105,2)</f>
        <v>0</v>
      </c>
      <c r="H105" s="209">
        <v>0</v>
      </c>
      <c r="I105" s="210">
        <f>E105*H105</f>
        <v>0</v>
      </c>
      <c r="J105" s="209">
        <v>0.046</v>
      </c>
      <c r="K105" s="210">
        <f>E105*J105</f>
        <v>0.6780400000000001</v>
      </c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</row>
    <row r="106" spans="1:248" s="2" customFormat="1" ht="15.75" customHeight="1">
      <c r="A106" s="276"/>
      <c r="B106" s="185"/>
      <c r="C106" s="185" t="s">
        <v>203</v>
      </c>
      <c r="D106" s="185"/>
      <c r="E106" s="186">
        <f>29.7-10.1-4.86</f>
        <v>14.740000000000002</v>
      </c>
      <c r="F106" s="185"/>
      <c r="G106" s="185"/>
      <c r="H106" s="185"/>
      <c r="I106" s="185"/>
      <c r="J106" s="185"/>
      <c r="K106" s="185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</row>
    <row r="107" spans="1:248" s="2" customFormat="1" ht="13.5" customHeight="1">
      <c r="A107" s="274">
        <v>31</v>
      </c>
      <c r="B107" s="187" t="s">
        <v>204</v>
      </c>
      <c r="C107" s="207" t="s">
        <v>205</v>
      </c>
      <c r="D107" s="206" t="s">
        <v>92</v>
      </c>
      <c r="E107" s="191">
        <f>E110</f>
        <v>14.961</v>
      </c>
      <c r="F107" s="208"/>
      <c r="G107" s="208">
        <f>ROUND(E107*F107,2)</f>
        <v>0</v>
      </c>
      <c r="H107" s="209">
        <v>0</v>
      </c>
      <c r="I107" s="210">
        <f>E107*H107</f>
        <v>0</v>
      </c>
      <c r="J107" s="209">
        <v>0.068</v>
      </c>
      <c r="K107" s="210">
        <f>E107*J107</f>
        <v>1.0173480000000001</v>
      </c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</row>
    <row r="108" spans="1:248" s="2" customFormat="1" ht="15.75" customHeight="1">
      <c r="A108" s="275"/>
      <c r="B108" s="183"/>
      <c r="C108" s="183" t="s">
        <v>206</v>
      </c>
      <c r="D108" s="183"/>
      <c r="E108" s="184">
        <f>(0.35+0.68*2+0.3+0.6+2.2)*2.1</f>
        <v>10.101</v>
      </c>
      <c r="F108" s="183"/>
      <c r="G108" s="183"/>
      <c r="H108" s="183"/>
      <c r="I108" s="183"/>
      <c r="J108" s="183"/>
      <c r="K108" s="183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</row>
    <row r="109" spans="1:248" s="2" customFormat="1" ht="15.75" customHeight="1">
      <c r="A109" s="275"/>
      <c r="B109" s="183"/>
      <c r="C109" s="183" t="s">
        <v>129</v>
      </c>
      <c r="D109" s="183"/>
      <c r="E109" s="184">
        <f>(0.82+1.15)*2*1.5-0.7*1.5</f>
        <v>4.859999999999999</v>
      </c>
      <c r="F109" s="183"/>
      <c r="G109" s="183"/>
      <c r="H109" s="183"/>
      <c r="I109" s="183"/>
      <c r="J109" s="183"/>
      <c r="K109" s="183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</row>
    <row r="110" spans="1:248" s="2" customFormat="1" ht="15.75" customHeight="1">
      <c r="A110" s="276"/>
      <c r="B110" s="185"/>
      <c r="C110" s="185" t="s">
        <v>95</v>
      </c>
      <c r="D110" s="185"/>
      <c r="E110" s="186">
        <f>SUM(E108:E109)</f>
        <v>14.961</v>
      </c>
      <c r="F110" s="185"/>
      <c r="G110" s="185"/>
      <c r="H110" s="185"/>
      <c r="I110" s="185"/>
      <c r="J110" s="185"/>
      <c r="K110" s="185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</row>
    <row r="111" spans="1:248" s="2" customFormat="1" ht="13.5" customHeight="1">
      <c r="A111" s="174">
        <v>32</v>
      </c>
      <c r="B111" s="169" t="s">
        <v>207</v>
      </c>
      <c r="C111" s="175" t="s">
        <v>208</v>
      </c>
      <c r="D111" s="174" t="s">
        <v>158</v>
      </c>
      <c r="E111" s="170">
        <f>5.798+0.281</f>
        <v>6.079</v>
      </c>
      <c r="F111" s="173"/>
      <c r="G111" s="173">
        <f aca="true" t="shared" si="0" ref="G111:G118">ROUND(E111*F111,2)</f>
        <v>0</v>
      </c>
      <c r="H111" s="172">
        <v>0</v>
      </c>
      <c r="I111" s="171">
        <f aca="true" t="shared" si="1" ref="I111:I118">E111*H111</f>
        <v>0</v>
      </c>
      <c r="J111" s="172">
        <v>0</v>
      </c>
      <c r="K111" s="171">
        <f aca="true" t="shared" si="2" ref="K111:K118">E111*J111</f>
        <v>0</v>
      </c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</row>
    <row r="112" spans="1:248" s="2" customFormat="1" ht="13.5" customHeight="1">
      <c r="A112" s="174">
        <v>33</v>
      </c>
      <c r="B112" s="169" t="s">
        <v>209</v>
      </c>
      <c r="C112" s="175" t="s">
        <v>210</v>
      </c>
      <c r="D112" s="174" t="s">
        <v>158</v>
      </c>
      <c r="E112" s="170">
        <f>E111</f>
        <v>6.079</v>
      </c>
      <c r="F112" s="173"/>
      <c r="G112" s="173">
        <f t="shared" si="0"/>
        <v>0</v>
      </c>
      <c r="H112" s="172">
        <v>0</v>
      </c>
      <c r="I112" s="171">
        <f t="shared" si="1"/>
        <v>0</v>
      </c>
      <c r="J112" s="172">
        <v>0</v>
      </c>
      <c r="K112" s="171">
        <f t="shared" si="2"/>
        <v>0</v>
      </c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</row>
    <row r="113" spans="1:248" s="2" customFormat="1" ht="13.5" customHeight="1">
      <c r="A113" s="174">
        <v>34</v>
      </c>
      <c r="B113" s="169" t="s">
        <v>211</v>
      </c>
      <c r="C113" s="175" t="s">
        <v>212</v>
      </c>
      <c r="D113" s="174" t="s">
        <v>158</v>
      </c>
      <c r="E113" s="170">
        <f>E112*15</f>
        <v>91.185</v>
      </c>
      <c r="F113" s="173"/>
      <c r="G113" s="173">
        <f t="shared" si="0"/>
        <v>0</v>
      </c>
      <c r="H113" s="172">
        <v>0</v>
      </c>
      <c r="I113" s="171">
        <f t="shared" si="1"/>
        <v>0</v>
      </c>
      <c r="J113" s="172">
        <v>0</v>
      </c>
      <c r="K113" s="171">
        <f t="shared" si="2"/>
        <v>0</v>
      </c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</row>
    <row r="114" spans="1:248" s="2" customFormat="1" ht="13.5" customHeight="1">
      <c r="A114" s="174">
        <v>35</v>
      </c>
      <c r="B114" s="169" t="s">
        <v>213</v>
      </c>
      <c r="C114" s="175" t="s">
        <v>214</v>
      </c>
      <c r="D114" s="174" t="s">
        <v>158</v>
      </c>
      <c r="E114" s="170">
        <f>E111</f>
        <v>6.079</v>
      </c>
      <c r="F114" s="173"/>
      <c r="G114" s="173">
        <f t="shared" si="0"/>
        <v>0</v>
      </c>
      <c r="H114" s="172">
        <v>0</v>
      </c>
      <c r="I114" s="171">
        <f t="shared" si="1"/>
        <v>0</v>
      </c>
      <c r="J114" s="172">
        <v>0</v>
      </c>
      <c r="K114" s="171">
        <f t="shared" si="2"/>
        <v>0</v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</row>
    <row r="115" spans="1:248" s="2" customFormat="1" ht="24" customHeight="1">
      <c r="A115" s="174">
        <v>36</v>
      </c>
      <c r="B115" s="169" t="s">
        <v>215</v>
      </c>
      <c r="C115" s="175" t="s">
        <v>216</v>
      </c>
      <c r="D115" s="174" t="s">
        <v>158</v>
      </c>
      <c r="E115" s="170">
        <f>E114*2</f>
        <v>12.158</v>
      </c>
      <c r="F115" s="173"/>
      <c r="G115" s="173">
        <f t="shared" si="0"/>
        <v>0</v>
      </c>
      <c r="H115" s="172">
        <v>0</v>
      </c>
      <c r="I115" s="171">
        <f t="shared" si="1"/>
        <v>0</v>
      </c>
      <c r="J115" s="172">
        <v>0</v>
      </c>
      <c r="K115" s="171">
        <f t="shared" si="2"/>
        <v>0</v>
      </c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</row>
    <row r="116" spans="1:248" s="2" customFormat="1" ht="13.5" customHeight="1">
      <c r="A116" s="174">
        <v>37</v>
      </c>
      <c r="B116" s="169" t="s">
        <v>217</v>
      </c>
      <c r="C116" s="175" t="s">
        <v>218</v>
      </c>
      <c r="D116" s="174" t="s">
        <v>158</v>
      </c>
      <c r="E116" s="170">
        <f>E111-E117-E118</f>
        <v>5.56</v>
      </c>
      <c r="F116" s="173"/>
      <c r="G116" s="173">
        <f t="shared" si="0"/>
        <v>0</v>
      </c>
      <c r="H116" s="172">
        <v>0</v>
      </c>
      <c r="I116" s="171">
        <f t="shared" si="1"/>
        <v>0</v>
      </c>
      <c r="J116" s="172">
        <v>0</v>
      </c>
      <c r="K116" s="171">
        <f t="shared" si="2"/>
        <v>0</v>
      </c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</row>
    <row r="117" spans="1:248" s="2" customFormat="1" ht="13.5" customHeight="1">
      <c r="A117" s="174">
        <v>36</v>
      </c>
      <c r="B117" s="169" t="s">
        <v>219</v>
      </c>
      <c r="C117" s="175" t="s">
        <v>220</v>
      </c>
      <c r="D117" s="174" t="s">
        <v>158</v>
      </c>
      <c r="E117" s="170">
        <f>0.181+0.188</f>
        <v>0.369</v>
      </c>
      <c r="F117" s="173"/>
      <c r="G117" s="173">
        <f t="shared" si="0"/>
        <v>0</v>
      </c>
      <c r="H117" s="172">
        <v>0</v>
      </c>
      <c r="I117" s="171">
        <f t="shared" si="1"/>
        <v>0</v>
      </c>
      <c r="J117" s="172">
        <v>0</v>
      </c>
      <c r="K117" s="171">
        <f t="shared" si="2"/>
        <v>0</v>
      </c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</row>
    <row r="118" spans="1:248" s="2" customFormat="1" ht="13.5" customHeight="1">
      <c r="A118" s="174">
        <v>39</v>
      </c>
      <c r="B118" s="169" t="s">
        <v>221</v>
      </c>
      <c r="C118" s="175" t="s">
        <v>222</v>
      </c>
      <c r="D118" s="174" t="s">
        <v>158</v>
      </c>
      <c r="E118" s="170">
        <v>0.15</v>
      </c>
      <c r="F118" s="173"/>
      <c r="G118" s="173">
        <f t="shared" si="0"/>
        <v>0</v>
      </c>
      <c r="H118" s="172">
        <v>0</v>
      </c>
      <c r="I118" s="171">
        <f t="shared" si="1"/>
        <v>0</v>
      </c>
      <c r="J118" s="172">
        <v>0</v>
      </c>
      <c r="K118" s="171">
        <f t="shared" si="2"/>
        <v>0</v>
      </c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</row>
    <row r="119" spans="1:248" s="2" customFormat="1" ht="13.5" customHeight="1">
      <c r="A119" s="36"/>
      <c r="B119" s="31"/>
      <c r="C119" s="37"/>
      <c r="D119" s="36"/>
      <c r="E119" s="44"/>
      <c r="F119" s="35"/>
      <c r="G119" s="35"/>
      <c r="H119" s="34"/>
      <c r="I119" s="32"/>
      <c r="J119" s="34"/>
      <c r="K119" s="32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</row>
    <row r="120" spans="1:248" s="3" customFormat="1" ht="12.75" customHeight="1">
      <c r="A120" s="27"/>
      <c r="B120" s="6" t="s">
        <v>223</v>
      </c>
      <c r="C120" s="6" t="s">
        <v>224</v>
      </c>
      <c r="D120" s="6"/>
      <c r="E120" s="45"/>
      <c r="F120" s="6"/>
      <c r="G120" s="28">
        <f>G121</f>
        <v>0</v>
      </c>
      <c r="H120" s="6"/>
      <c r="I120" s="29">
        <f>I121</f>
        <v>0</v>
      </c>
      <c r="J120" s="6"/>
      <c r="K120" s="29">
        <f>K121</f>
        <v>0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</row>
    <row r="121" spans="1:248" s="2" customFormat="1" ht="13.5" customHeight="1">
      <c r="A121" s="174">
        <v>40</v>
      </c>
      <c r="B121" s="169" t="s">
        <v>225</v>
      </c>
      <c r="C121" s="175" t="s">
        <v>226</v>
      </c>
      <c r="D121" s="174" t="s">
        <v>158</v>
      </c>
      <c r="E121" s="170">
        <v>9.33</v>
      </c>
      <c r="F121" s="173"/>
      <c r="G121" s="173">
        <f>ROUND(E121*F121,2)</f>
        <v>0</v>
      </c>
      <c r="H121" s="172">
        <v>0</v>
      </c>
      <c r="I121" s="171">
        <f>E121*H121</f>
        <v>0</v>
      </c>
      <c r="J121" s="172">
        <v>0</v>
      </c>
      <c r="K121" s="171">
        <f>E121*J121</f>
        <v>0</v>
      </c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</row>
    <row r="122" spans="1:248" s="2" customFormat="1" ht="13.5" customHeight="1">
      <c r="A122" s="36"/>
      <c r="B122" s="31"/>
      <c r="C122" s="37"/>
      <c r="D122" s="36"/>
      <c r="E122" s="49"/>
      <c r="F122" s="35"/>
      <c r="G122" s="35"/>
      <c r="H122" s="34"/>
      <c r="I122" s="32"/>
      <c r="J122" s="34"/>
      <c r="K122" s="32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</row>
    <row r="123" spans="1:248" s="3" customFormat="1" ht="12.75" customHeight="1">
      <c r="A123" s="27"/>
      <c r="B123" s="6" t="s">
        <v>27</v>
      </c>
      <c r="C123" s="6" t="s">
        <v>227</v>
      </c>
      <c r="D123" s="6"/>
      <c r="E123" s="45"/>
      <c r="F123" s="6"/>
      <c r="G123" s="28"/>
      <c r="H123" s="6"/>
      <c r="I123" s="28"/>
      <c r="J123" s="6"/>
      <c r="K123" s="28">
        <f>K124+K130+K136+K140+K156+K175+K192+K196+K224</f>
        <v>0.28110799999999997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</row>
    <row r="124" spans="1:248" s="3" customFormat="1" ht="12.75" customHeight="1">
      <c r="A124" s="27"/>
      <c r="B124" s="6" t="s">
        <v>228</v>
      </c>
      <c r="C124" s="6" t="s">
        <v>229</v>
      </c>
      <c r="D124" s="6"/>
      <c r="E124" s="45"/>
      <c r="F124" s="6"/>
      <c r="G124" s="28">
        <f>SUM(G125:G128)</f>
        <v>0</v>
      </c>
      <c r="H124" s="6"/>
      <c r="I124" s="29">
        <f>SUM(I125:I128)</f>
        <v>0.0025</v>
      </c>
      <c r="J124" s="6"/>
      <c r="K124" s="29">
        <f>SUM(K125:K128)</f>
        <v>0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</row>
    <row r="125" spans="1:248" s="2" customFormat="1" ht="13.5" customHeight="1">
      <c r="A125" s="174">
        <v>41</v>
      </c>
      <c r="B125" s="169" t="s">
        <v>230</v>
      </c>
      <c r="C125" s="175" t="s">
        <v>231</v>
      </c>
      <c r="D125" s="174" t="s">
        <v>232</v>
      </c>
      <c r="E125" s="170">
        <v>1</v>
      </c>
      <c r="F125" s="173">
        <v>0</v>
      </c>
      <c r="G125" s="173">
        <f>ROUND(E125*F125,2)</f>
        <v>0</v>
      </c>
      <c r="H125" s="172">
        <v>0.00125</v>
      </c>
      <c r="I125" s="171">
        <f>E125*H125</f>
        <v>0.00125</v>
      </c>
      <c r="J125" s="172">
        <v>0</v>
      </c>
      <c r="K125" s="171">
        <f>E125*J125</f>
        <v>0</v>
      </c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</row>
    <row r="126" spans="1:248" s="2" customFormat="1" ht="13.5" customHeight="1">
      <c r="A126" s="174">
        <v>42</v>
      </c>
      <c r="B126" s="169" t="s">
        <v>233</v>
      </c>
      <c r="C126" s="175" t="s">
        <v>234</v>
      </c>
      <c r="D126" s="174" t="s">
        <v>61</v>
      </c>
      <c r="E126" s="170"/>
      <c r="F126" s="173">
        <v>0</v>
      </c>
      <c r="G126" s="173">
        <f>ROUND(E126*F126,2)</f>
        <v>0</v>
      </c>
      <c r="H126" s="172">
        <v>0.00125</v>
      </c>
      <c r="I126" s="171">
        <f>E126*H126</f>
        <v>0</v>
      </c>
      <c r="J126" s="172">
        <v>0</v>
      </c>
      <c r="K126" s="171">
        <f>E126*J126</f>
        <v>0</v>
      </c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</row>
    <row r="127" spans="1:248" s="2" customFormat="1" ht="13.5" customHeight="1">
      <c r="A127" s="174">
        <v>43</v>
      </c>
      <c r="B127" s="169" t="s">
        <v>235</v>
      </c>
      <c r="C127" s="175" t="s">
        <v>236</v>
      </c>
      <c r="D127" s="174" t="s">
        <v>61</v>
      </c>
      <c r="E127" s="170"/>
      <c r="F127" s="173">
        <v>0</v>
      </c>
      <c r="G127" s="173">
        <f>ROUND(E127*F127,2)</f>
        <v>0</v>
      </c>
      <c r="H127" s="172">
        <v>0.00125</v>
      </c>
      <c r="I127" s="171">
        <f>E127*H127</f>
        <v>0</v>
      </c>
      <c r="J127" s="172">
        <v>0</v>
      </c>
      <c r="K127" s="171">
        <f>E127*J127</f>
        <v>0</v>
      </c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</row>
    <row r="128" spans="1:248" s="2" customFormat="1" ht="13.5" customHeight="1">
      <c r="A128" s="174">
        <v>44</v>
      </c>
      <c r="B128" s="169" t="s">
        <v>237</v>
      </c>
      <c r="C128" s="175" t="s">
        <v>238</v>
      </c>
      <c r="D128" s="174" t="s">
        <v>232</v>
      </c>
      <c r="E128" s="170">
        <v>1</v>
      </c>
      <c r="F128" s="173"/>
      <c r="G128" s="173">
        <f>ROUND(E128*F128,2)</f>
        <v>0</v>
      </c>
      <c r="H128" s="172">
        <v>0.00125</v>
      </c>
      <c r="I128" s="171">
        <f>E128*H128</f>
        <v>0.00125</v>
      </c>
      <c r="J128" s="172">
        <v>0</v>
      </c>
      <c r="K128" s="171">
        <f>E128*J128</f>
        <v>0</v>
      </c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</row>
    <row r="129" spans="1:248" s="2" customFormat="1" ht="13.5" customHeight="1">
      <c r="A129" s="36"/>
      <c r="B129" s="31"/>
      <c r="C129" s="37"/>
      <c r="D129" s="36"/>
      <c r="E129" s="44"/>
      <c r="F129" s="35"/>
      <c r="G129" s="35"/>
      <c r="H129" s="34"/>
      <c r="I129" s="32"/>
      <c r="J129" s="34"/>
      <c r="K129" s="32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</row>
    <row r="130" spans="1:248" s="3" customFormat="1" ht="12.75" customHeight="1">
      <c r="A130" s="27"/>
      <c r="B130" s="6" t="s">
        <v>239</v>
      </c>
      <c r="C130" s="6" t="s">
        <v>240</v>
      </c>
      <c r="D130" s="6"/>
      <c r="E130" s="45"/>
      <c r="F130" s="6"/>
      <c r="G130" s="28">
        <f>SUM(G131:G134)</f>
        <v>0</v>
      </c>
      <c r="H130" s="6"/>
      <c r="I130" s="29">
        <f>SUM(I131:I134)</f>
        <v>0.00197</v>
      </c>
      <c r="J130" s="6"/>
      <c r="K130" s="29">
        <f>SUM(K131:K134)</f>
        <v>0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</row>
    <row r="131" spans="1:248" s="2" customFormat="1" ht="13.5" customHeight="1">
      <c r="A131" s="174">
        <v>45</v>
      </c>
      <c r="B131" s="169" t="s">
        <v>241</v>
      </c>
      <c r="C131" s="175" t="s">
        <v>242</v>
      </c>
      <c r="D131" s="174" t="s">
        <v>232</v>
      </c>
      <c r="E131" s="170">
        <v>1</v>
      </c>
      <c r="F131" s="173">
        <v>0</v>
      </c>
      <c r="G131" s="173">
        <f>ROUND(E131*F131,2)</f>
        <v>0</v>
      </c>
      <c r="H131" s="172">
        <v>0.00072</v>
      </c>
      <c r="I131" s="171">
        <f>E131*H131</f>
        <v>0.00072</v>
      </c>
      <c r="J131" s="172">
        <v>0</v>
      </c>
      <c r="K131" s="171">
        <f>E131*J131</f>
        <v>0</v>
      </c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</row>
    <row r="132" spans="1:248" s="2" customFormat="1" ht="13.5" customHeight="1">
      <c r="A132" s="174">
        <v>46</v>
      </c>
      <c r="B132" s="169" t="s">
        <v>243</v>
      </c>
      <c r="C132" s="175" t="s">
        <v>244</v>
      </c>
      <c r="D132" s="174" t="s">
        <v>61</v>
      </c>
      <c r="E132" s="176"/>
      <c r="F132" s="173">
        <v>0</v>
      </c>
      <c r="G132" s="173">
        <f>ROUND(E132*F132,2)</f>
        <v>0</v>
      </c>
      <c r="H132" s="172">
        <v>0.00072</v>
      </c>
      <c r="I132" s="171">
        <f>E132*H132</f>
        <v>0</v>
      </c>
      <c r="J132" s="172">
        <v>0</v>
      </c>
      <c r="K132" s="171">
        <f>E132*J132</f>
        <v>0</v>
      </c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</row>
    <row r="133" spans="1:248" s="2" customFormat="1" ht="13.5" customHeight="1">
      <c r="A133" s="174">
        <v>47</v>
      </c>
      <c r="B133" s="169" t="s">
        <v>245</v>
      </c>
      <c r="C133" s="175" t="s">
        <v>236</v>
      </c>
      <c r="D133" s="174" t="s">
        <v>61</v>
      </c>
      <c r="E133" s="176"/>
      <c r="F133" s="173">
        <v>0</v>
      </c>
      <c r="G133" s="173">
        <f>ROUND(E133*F133,2)</f>
        <v>0</v>
      </c>
      <c r="H133" s="172">
        <v>0.00072</v>
      </c>
      <c r="I133" s="171">
        <f>E133*H133</f>
        <v>0</v>
      </c>
      <c r="J133" s="172">
        <v>0</v>
      </c>
      <c r="K133" s="171">
        <f>E133*J133</f>
        <v>0</v>
      </c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</row>
    <row r="134" spans="1:248" s="2" customFormat="1" ht="13.5" customHeight="1">
      <c r="A134" s="174">
        <v>48</v>
      </c>
      <c r="B134" s="169" t="s">
        <v>245</v>
      </c>
      <c r="C134" s="175" t="s">
        <v>246</v>
      </c>
      <c r="D134" s="174" t="s">
        <v>232</v>
      </c>
      <c r="E134" s="170">
        <v>1</v>
      </c>
      <c r="F134" s="173"/>
      <c r="G134" s="173">
        <f>ROUND(E134*F134,2)</f>
        <v>0</v>
      </c>
      <c r="H134" s="172">
        <v>0.00125</v>
      </c>
      <c r="I134" s="171">
        <f>E134*H134</f>
        <v>0.00125</v>
      </c>
      <c r="J134" s="172">
        <v>0</v>
      </c>
      <c r="K134" s="171">
        <f>E134*J134</f>
        <v>0</v>
      </c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</row>
    <row r="135" spans="1:248" s="2" customFormat="1" ht="13.5" customHeight="1">
      <c r="A135" s="36"/>
      <c r="B135" s="31"/>
      <c r="C135" s="37"/>
      <c r="D135" s="36"/>
      <c r="E135" s="44"/>
      <c r="F135" s="35"/>
      <c r="G135" s="35"/>
      <c r="H135" s="34"/>
      <c r="I135" s="32"/>
      <c r="J135" s="34"/>
      <c r="K135" s="32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</row>
    <row r="136" spans="1:248" s="3" customFormat="1" ht="12.75" customHeight="1">
      <c r="A136" s="27"/>
      <c r="B136" s="6" t="s">
        <v>247</v>
      </c>
      <c r="C136" s="6" t="s">
        <v>248</v>
      </c>
      <c r="D136" s="6"/>
      <c r="E136" s="45"/>
      <c r="F136" s="6"/>
      <c r="G136" s="28">
        <f>SUM(G137:G138)</f>
        <v>0</v>
      </c>
      <c r="H136" s="6"/>
      <c r="I136" s="29">
        <f>SUM(I137:I138)</f>
        <v>0</v>
      </c>
      <c r="J136" s="6"/>
      <c r="K136" s="29">
        <f>SUM(K137:K138)</f>
        <v>0.18106799999999998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</row>
    <row r="137" spans="1:248" s="2" customFormat="1" ht="13.5" customHeight="1">
      <c r="A137" s="274">
        <v>49</v>
      </c>
      <c r="B137" s="187" t="s">
        <v>249</v>
      </c>
      <c r="C137" s="207" t="s">
        <v>250</v>
      </c>
      <c r="D137" s="206" t="s">
        <v>92</v>
      </c>
      <c r="E137" s="191">
        <f>E138</f>
        <v>6.0356</v>
      </c>
      <c r="F137" s="208"/>
      <c r="G137" s="208">
        <f>ROUND(E137*F137,2)</f>
        <v>0</v>
      </c>
      <c r="H137" s="209">
        <v>0</v>
      </c>
      <c r="I137" s="210">
        <f>E137*H137</f>
        <v>0</v>
      </c>
      <c r="J137" s="209">
        <v>0.03</v>
      </c>
      <c r="K137" s="210">
        <f>E137*J137</f>
        <v>0.18106799999999998</v>
      </c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</row>
    <row r="138" spans="1:248" s="2" customFormat="1" ht="15.75" customHeight="1">
      <c r="A138" s="276"/>
      <c r="B138" s="185"/>
      <c r="C138" s="185" t="s">
        <v>251</v>
      </c>
      <c r="D138" s="185"/>
      <c r="E138" s="186">
        <f>(2.56+0.6)*1.91</f>
        <v>6.0356</v>
      </c>
      <c r="F138" s="185"/>
      <c r="G138" s="185"/>
      <c r="H138" s="185"/>
      <c r="I138" s="185"/>
      <c r="J138" s="185"/>
      <c r="K138" s="185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</row>
    <row r="139" spans="1:248" s="2" customFormat="1" ht="13.5" customHeight="1">
      <c r="A139" s="36"/>
      <c r="B139" s="31"/>
      <c r="C139" s="37"/>
      <c r="D139" s="36"/>
      <c r="E139" s="44"/>
      <c r="F139" s="35"/>
      <c r="G139" s="35"/>
      <c r="H139" s="34"/>
      <c r="I139" s="32"/>
      <c r="J139" s="34"/>
      <c r="K139" s="32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</row>
    <row r="140" spans="1:248" s="3" customFormat="1" ht="12.75" customHeight="1">
      <c r="A140" s="27"/>
      <c r="B140" s="6" t="s">
        <v>252</v>
      </c>
      <c r="C140" s="6" t="s">
        <v>253</v>
      </c>
      <c r="D140" s="6"/>
      <c r="E140" s="45"/>
      <c r="F140" s="6"/>
      <c r="G140" s="28"/>
      <c r="H140" s="6"/>
      <c r="I140" s="29">
        <f>SUM(I141:I154)</f>
        <v>1.1726475000000003</v>
      </c>
      <c r="J140" s="6"/>
      <c r="K140" s="29">
        <f>SUM(K141:K154)</f>
        <v>0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</row>
    <row r="141" spans="1:248" s="2" customFormat="1" ht="13.5" customHeight="1">
      <c r="A141" s="274">
        <v>50</v>
      </c>
      <c r="B141" s="187">
        <v>763131450</v>
      </c>
      <c r="C141" s="207" t="s">
        <v>254</v>
      </c>
      <c r="D141" s="206" t="s">
        <v>92</v>
      </c>
      <c r="E141" s="191">
        <f>E149</f>
        <v>83.60000000000001</v>
      </c>
      <c r="F141" s="208"/>
      <c r="G141" s="208">
        <f>ROUND(E141*F141,2)</f>
        <v>0</v>
      </c>
      <c r="H141" s="209">
        <v>0.01293</v>
      </c>
      <c r="I141" s="210">
        <f>E141*H141</f>
        <v>1.0809480000000002</v>
      </c>
      <c r="J141" s="209">
        <v>0</v>
      </c>
      <c r="K141" s="210">
        <f>E141*J141</f>
        <v>0</v>
      </c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</row>
    <row r="142" spans="1:248" s="2" customFormat="1" ht="13.5" customHeight="1">
      <c r="A142" s="275"/>
      <c r="B142" s="183"/>
      <c r="C142" s="205" t="s">
        <v>255</v>
      </c>
      <c r="D142" s="204"/>
      <c r="E142" s="184">
        <v>11.4</v>
      </c>
      <c r="F142" s="203"/>
      <c r="G142" s="203"/>
      <c r="H142" s="202"/>
      <c r="I142" s="201"/>
      <c r="J142" s="202"/>
      <c r="K142" s="20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</row>
    <row r="143" spans="1:248" s="2" customFormat="1" ht="13.5" customHeight="1">
      <c r="A143" s="275"/>
      <c r="B143" s="183"/>
      <c r="C143" s="205" t="s">
        <v>256</v>
      </c>
      <c r="D143" s="204"/>
      <c r="E143" s="184">
        <v>23.1</v>
      </c>
      <c r="F143" s="203"/>
      <c r="G143" s="203"/>
      <c r="H143" s="202"/>
      <c r="I143" s="201"/>
      <c r="J143" s="202"/>
      <c r="K143" s="20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</row>
    <row r="144" spans="1:248" s="2" customFormat="1" ht="13.5" customHeight="1">
      <c r="A144" s="275"/>
      <c r="B144" s="183"/>
      <c r="C144" s="205" t="s">
        <v>257</v>
      </c>
      <c r="D144" s="204"/>
      <c r="E144" s="184">
        <v>24.2</v>
      </c>
      <c r="F144" s="203"/>
      <c r="G144" s="203"/>
      <c r="H144" s="202"/>
      <c r="I144" s="201"/>
      <c r="J144" s="202"/>
      <c r="K144" s="20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</row>
    <row r="145" spans="1:248" s="2" customFormat="1" ht="13.5" customHeight="1">
      <c r="A145" s="275"/>
      <c r="B145" s="183"/>
      <c r="C145" s="205" t="s">
        <v>258</v>
      </c>
      <c r="D145" s="204"/>
      <c r="E145" s="184">
        <v>4.6</v>
      </c>
      <c r="F145" s="203"/>
      <c r="G145" s="203"/>
      <c r="H145" s="202"/>
      <c r="I145" s="201"/>
      <c r="J145" s="202"/>
      <c r="K145" s="20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</row>
    <row r="146" spans="1:248" s="2" customFormat="1" ht="13.5" customHeight="1">
      <c r="A146" s="275"/>
      <c r="B146" s="183"/>
      <c r="C146" s="205" t="s">
        <v>259</v>
      </c>
      <c r="D146" s="204"/>
      <c r="E146" s="184">
        <v>16.4</v>
      </c>
      <c r="F146" s="203"/>
      <c r="G146" s="203"/>
      <c r="H146" s="202"/>
      <c r="I146" s="201"/>
      <c r="J146" s="202"/>
      <c r="K146" s="20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</row>
    <row r="147" spans="1:248" s="2" customFormat="1" ht="13.5" customHeight="1">
      <c r="A147" s="275"/>
      <c r="B147" s="183"/>
      <c r="C147" s="205" t="s">
        <v>260</v>
      </c>
      <c r="D147" s="204"/>
      <c r="E147" s="184">
        <v>0.9</v>
      </c>
      <c r="F147" s="203"/>
      <c r="G147" s="203"/>
      <c r="H147" s="202"/>
      <c r="I147" s="201"/>
      <c r="J147" s="202"/>
      <c r="K147" s="20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</row>
    <row r="148" spans="1:248" s="2" customFormat="1" ht="13.5" customHeight="1">
      <c r="A148" s="275"/>
      <c r="B148" s="183"/>
      <c r="C148" s="205" t="s">
        <v>261</v>
      </c>
      <c r="D148" s="204"/>
      <c r="E148" s="184">
        <v>3</v>
      </c>
      <c r="F148" s="203"/>
      <c r="G148" s="203"/>
      <c r="H148" s="202"/>
      <c r="I148" s="201"/>
      <c r="J148" s="202"/>
      <c r="K148" s="20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</row>
    <row r="149" spans="1:248" s="2" customFormat="1" ht="15.75" customHeight="1">
      <c r="A149" s="276"/>
      <c r="B149" s="185"/>
      <c r="C149" s="185" t="s">
        <v>95</v>
      </c>
      <c r="D149" s="185"/>
      <c r="E149" s="186">
        <f>SUM(E142:E148)</f>
        <v>83.60000000000001</v>
      </c>
      <c r="F149" s="185"/>
      <c r="G149" s="185"/>
      <c r="H149" s="185"/>
      <c r="I149" s="185"/>
      <c r="J149" s="185"/>
      <c r="K149" s="185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</row>
    <row r="150" spans="1:248" s="2" customFormat="1" ht="13.5" customHeight="1">
      <c r="A150" s="274">
        <v>51</v>
      </c>
      <c r="B150" s="187" t="s">
        <v>262</v>
      </c>
      <c r="C150" s="207" t="s">
        <v>263</v>
      </c>
      <c r="D150" s="206" t="s">
        <v>92</v>
      </c>
      <c r="E150" s="191">
        <f>E151</f>
        <v>5.9</v>
      </c>
      <c r="F150" s="208"/>
      <c r="G150" s="208">
        <f>ROUND(E150*F150,2)</f>
        <v>0</v>
      </c>
      <c r="H150" s="209">
        <v>0.01293</v>
      </c>
      <c r="I150" s="210">
        <f>E150*H150</f>
        <v>0.07628700000000001</v>
      </c>
      <c r="J150" s="209">
        <v>0</v>
      </c>
      <c r="K150" s="210">
        <f>E150*J150</f>
        <v>0</v>
      </c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</row>
    <row r="151" spans="1:248" s="2" customFormat="1" ht="15.75" customHeight="1">
      <c r="A151" s="276"/>
      <c r="B151" s="185"/>
      <c r="C151" s="185" t="s">
        <v>264</v>
      </c>
      <c r="D151" s="185"/>
      <c r="E151" s="186">
        <v>5.9</v>
      </c>
      <c r="F151" s="185"/>
      <c r="G151" s="185"/>
      <c r="H151" s="185"/>
      <c r="I151" s="185"/>
      <c r="J151" s="185"/>
      <c r="K151" s="185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</row>
    <row r="152" spans="1:248" s="2" customFormat="1" ht="13.5" customHeight="1">
      <c r="A152" s="274">
        <v>52</v>
      </c>
      <c r="B152" s="187" t="s">
        <v>265</v>
      </c>
      <c r="C152" s="207" t="s">
        <v>266</v>
      </c>
      <c r="D152" s="206" t="s">
        <v>104</v>
      </c>
      <c r="E152" s="191">
        <f>E153</f>
        <v>3.75</v>
      </c>
      <c r="F152" s="208"/>
      <c r="G152" s="208">
        <f>ROUND(E152*F152,2)</f>
        <v>0</v>
      </c>
      <c r="H152" s="209">
        <v>0.00411</v>
      </c>
      <c r="I152" s="210">
        <f>E152*H152</f>
        <v>0.015412499999999999</v>
      </c>
      <c r="J152" s="209">
        <v>0</v>
      </c>
      <c r="K152" s="210">
        <f>E152*J152</f>
        <v>0</v>
      </c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</row>
    <row r="153" spans="1:248" s="2" customFormat="1" ht="15.75" customHeight="1">
      <c r="A153" s="276"/>
      <c r="B153" s="185"/>
      <c r="C153" s="185" t="s">
        <v>267</v>
      </c>
      <c r="D153" s="185"/>
      <c r="E153" s="186">
        <v>3.75</v>
      </c>
      <c r="F153" s="185"/>
      <c r="G153" s="185"/>
      <c r="H153" s="185"/>
      <c r="I153" s="185"/>
      <c r="J153" s="185"/>
      <c r="K153" s="185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</row>
    <row r="154" spans="1:248" s="2" customFormat="1" ht="13.5" customHeight="1">
      <c r="A154" s="174">
        <v>53</v>
      </c>
      <c r="B154" s="169" t="s">
        <v>268</v>
      </c>
      <c r="C154" s="175" t="s">
        <v>269</v>
      </c>
      <c r="D154" s="174" t="s">
        <v>61</v>
      </c>
      <c r="E154" s="170">
        <f>SUM(G141:G153)*0.01</f>
        <v>0</v>
      </c>
      <c r="F154" s="173"/>
      <c r="G154" s="173">
        <f>ROUND(E154*F154,2)</f>
        <v>0</v>
      </c>
      <c r="H154" s="172">
        <v>0</v>
      </c>
      <c r="I154" s="171">
        <f>E154*H154</f>
        <v>0</v>
      </c>
      <c r="J154" s="172">
        <v>0</v>
      </c>
      <c r="K154" s="171">
        <f>E154*J154</f>
        <v>0</v>
      </c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</row>
    <row r="155" spans="1:248" s="2" customFormat="1" ht="13.5" customHeight="1">
      <c r="A155" s="36"/>
      <c r="B155" s="31"/>
      <c r="C155" s="37"/>
      <c r="D155" s="36"/>
      <c r="E155" s="49"/>
      <c r="F155" s="35"/>
      <c r="G155" s="35"/>
      <c r="H155" s="34"/>
      <c r="I155" s="32"/>
      <c r="J155" s="34"/>
      <c r="K155" s="32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</row>
    <row r="156" spans="1:248" s="3" customFormat="1" ht="12.75" customHeight="1">
      <c r="A156" s="27"/>
      <c r="B156" s="6" t="s">
        <v>270</v>
      </c>
      <c r="C156" s="6" t="s">
        <v>271</v>
      </c>
      <c r="D156" s="6"/>
      <c r="E156" s="45"/>
      <c r="F156" s="6"/>
      <c r="G156" s="28"/>
      <c r="H156" s="6"/>
      <c r="I156" s="29">
        <f>SUM(I157:I173)</f>
        <v>0.13153</v>
      </c>
      <c r="J156" s="6"/>
      <c r="K156" s="29">
        <f>SUM(K157:K173)</f>
        <v>0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</row>
    <row r="157" spans="1:248" s="3" customFormat="1" ht="12.75" customHeight="1">
      <c r="A157" s="174">
        <v>54</v>
      </c>
      <c r="B157" s="182">
        <v>766.1</v>
      </c>
      <c r="C157" s="181" t="s">
        <v>272</v>
      </c>
      <c r="D157" s="180" t="s">
        <v>189</v>
      </c>
      <c r="E157" s="179">
        <v>1</v>
      </c>
      <c r="F157" s="179"/>
      <c r="G157" s="179">
        <f>ROUND(E157*F157,2)</f>
        <v>0</v>
      </c>
      <c r="H157" s="178"/>
      <c r="I157" s="177"/>
      <c r="J157" s="178"/>
      <c r="K157" s="177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</row>
    <row r="158" spans="1:248" s="3" customFormat="1" ht="12.75" customHeight="1">
      <c r="A158" s="174">
        <v>55</v>
      </c>
      <c r="B158" s="182">
        <v>766.2</v>
      </c>
      <c r="C158" s="181" t="s">
        <v>273</v>
      </c>
      <c r="D158" s="180" t="s">
        <v>189</v>
      </c>
      <c r="E158" s="179">
        <v>1</v>
      </c>
      <c r="F158" s="179"/>
      <c r="G158" s="179">
        <f>ROUND(E158*F158,2)</f>
        <v>0</v>
      </c>
      <c r="H158" s="178"/>
      <c r="I158" s="177"/>
      <c r="J158" s="178"/>
      <c r="K158" s="177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</row>
    <row r="159" spans="1:248" s="3" customFormat="1" ht="12.75" customHeight="1">
      <c r="A159" s="174">
        <v>56</v>
      </c>
      <c r="B159" s="182">
        <v>766.3</v>
      </c>
      <c r="C159" s="181" t="s">
        <v>274</v>
      </c>
      <c r="D159" s="180" t="s">
        <v>189</v>
      </c>
      <c r="E159" s="179">
        <v>1</v>
      </c>
      <c r="F159" s="179"/>
      <c r="G159" s="179">
        <f>ROUND(E159*F159,2)</f>
        <v>0</v>
      </c>
      <c r="H159" s="178"/>
      <c r="I159" s="177"/>
      <c r="J159" s="178"/>
      <c r="K159" s="177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</row>
    <row r="160" spans="1:248" s="2" customFormat="1" ht="13.5" customHeight="1">
      <c r="A160" s="274">
        <v>57</v>
      </c>
      <c r="B160" s="187" t="s">
        <v>275</v>
      </c>
      <c r="C160" s="207" t="s">
        <v>276</v>
      </c>
      <c r="D160" s="206" t="s">
        <v>189</v>
      </c>
      <c r="E160" s="191">
        <f>E165</f>
        <v>4</v>
      </c>
      <c r="F160" s="208"/>
      <c r="G160" s="208">
        <f>ROUND(E160*F160,2)</f>
        <v>0</v>
      </c>
      <c r="H160" s="209">
        <v>0</v>
      </c>
      <c r="I160" s="210">
        <f>E160*H160</f>
        <v>0</v>
      </c>
      <c r="J160" s="209">
        <v>0</v>
      </c>
      <c r="K160" s="210">
        <f>E160*J160</f>
        <v>0</v>
      </c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</row>
    <row r="161" spans="1:248" s="2" customFormat="1" ht="15.75" customHeight="1">
      <c r="A161" s="275"/>
      <c r="B161" s="183"/>
      <c r="C161" s="183" t="s">
        <v>277</v>
      </c>
      <c r="D161" s="183"/>
      <c r="E161" s="184"/>
      <c r="F161" s="183"/>
      <c r="G161" s="183"/>
      <c r="H161" s="183"/>
      <c r="I161" s="183"/>
      <c r="J161" s="183"/>
      <c r="K161" s="183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</row>
    <row r="162" spans="1:248" s="2" customFormat="1" ht="15.75" customHeight="1">
      <c r="A162" s="275"/>
      <c r="B162" s="183"/>
      <c r="C162" s="183" t="s">
        <v>278</v>
      </c>
      <c r="D162" s="183"/>
      <c r="E162" s="184">
        <v>2</v>
      </c>
      <c r="F162" s="183"/>
      <c r="G162" s="183"/>
      <c r="H162" s="183"/>
      <c r="I162" s="183"/>
      <c r="J162" s="183"/>
      <c r="K162" s="183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</row>
    <row r="163" spans="1:248" s="2" customFormat="1" ht="15.75" customHeight="1">
      <c r="A163" s="275"/>
      <c r="B163" s="183"/>
      <c r="C163" s="183" t="s">
        <v>279</v>
      </c>
      <c r="D163" s="183"/>
      <c r="E163" s="184">
        <v>1</v>
      </c>
      <c r="F163" s="183"/>
      <c r="G163" s="183"/>
      <c r="H163" s="183"/>
      <c r="I163" s="183"/>
      <c r="J163" s="183"/>
      <c r="K163" s="183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</row>
    <row r="164" spans="1:248" s="2" customFormat="1" ht="15.75" customHeight="1">
      <c r="A164" s="275"/>
      <c r="B164" s="183"/>
      <c r="C164" s="183" t="s">
        <v>280</v>
      </c>
      <c r="D164" s="183"/>
      <c r="E164" s="184">
        <v>1</v>
      </c>
      <c r="F164" s="183"/>
      <c r="G164" s="183"/>
      <c r="H164" s="183"/>
      <c r="I164" s="183"/>
      <c r="J164" s="183"/>
      <c r="K164" s="183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</row>
    <row r="165" spans="1:248" s="2" customFormat="1" ht="15.75" customHeight="1">
      <c r="A165" s="276"/>
      <c r="B165" s="185"/>
      <c r="C165" s="185" t="s">
        <v>95</v>
      </c>
      <c r="D165" s="185"/>
      <c r="E165" s="186">
        <f>SUM(E162:E164)</f>
        <v>4</v>
      </c>
      <c r="F165" s="185"/>
      <c r="G165" s="185"/>
      <c r="H165" s="185"/>
      <c r="I165" s="185"/>
      <c r="J165" s="185"/>
      <c r="K165" s="185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</row>
    <row r="166" spans="1:248" s="2" customFormat="1" ht="13.5" customHeight="1">
      <c r="A166" s="174">
        <v>58</v>
      </c>
      <c r="B166" s="169" t="s">
        <v>281</v>
      </c>
      <c r="C166" s="175" t="s">
        <v>282</v>
      </c>
      <c r="D166" s="174" t="s">
        <v>189</v>
      </c>
      <c r="E166" s="170">
        <f>E160</f>
        <v>4</v>
      </c>
      <c r="F166" s="173"/>
      <c r="G166" s="173">
        <f>ROUND(E166*F166,2)</f>
        <v>0</v>
      </c>
      <c r="H166" s="172">
        <v>0.014</v>
      </c>
      <c r="I166" s="171">
        <f>E166*H166</f>
        <v>0.056</v>
      </c>
      <c r="J166" s="172">
        <v>0</v>
      </c>
      <c r="K166" s="171">
        <f>E166*J166</f>
        <v>0</v>
      </c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</row>
    <row r="167" spans="1:248" s="2" customFormat="1" ht="13.5" customHeight="1">
      <c r="A167" s="274">
        <v>59</v>
      </c>
      <c r="B167" s="187" t="s">
        <v>283</v>
      </c>
      <c r="C167" s="207" t="s">
        <v>284</v>
      </c>
      <c r="D167" s="206" t="s">
        <v>189</v>
      </c>
      <c r="E167" s="191">
        <v>3</v>
      </c>
      <c r="F167" s="208"/>
      <c r="G167" s="208">
        <f>ROUND(E167*F167,2)</f>
        <v>0</v>
      </c>
      <c r="H167" s="209">
        <v>0</v>
      </c>
      <c r="I167" s="210">
        <f>E167*H167</f>
        <v>0</v>
      </c>
      <c r="J167" s="209">
        <v>0</v>
      </c>
      <c r="K167" s="210">
        <f>E167*J167</f>
        <v>0</v>
      </c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</row>
    <row r="168" spans="1:248" s="2" customFormat="1" ht="15.75" customHeight="1">
      <c r="A168" s="276"/>
      <c r="B168" s="185"/>
      <c r="C168" s="185" t="s">
        <v>285</v>
      </c>
      <c r="D168" s="185"/>
      <c r="E168" s="186">
        <v>3</v>
      </c>
      <c r="F168" s="185"/>
      <c r="G168" s="185"/>
      <c r="H168" s="185"/>
      <c r="I168" s="185"/>
      <c r="J168" s="185"/>
      <c r="K168" s="185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</row>
    <row r="169" spans="1:248" s="2" customFormat="1" ht="13.5" customHeight="1">
      <c r="A169" s="174">
        <v>60</v>
      </c>
      <c r="B169" s="169" t="s">
        <v>286</v>
      </c>
      <c r="C169" s="175" t="s">
        <v>287</v>
      </c>
      <c r="D169" s="174" t="s">
        <v>189</v>
      </c>
      <c r="E169" s="170">
        <f>E160</f>
        <v>4</v>
      </c>
      <c r="F169" s="173"/>
      <c r="G169" s="173">
        <f>ROUND(E169*F169,2)</f>
        <v>0</v>
      </c>
      <c r="H169" s="172">
        <v>0.00045</v>
      </c>
      <c r="I169" s="171">
        <f>E169*H169</f>
        <v>0.0018</v>
      </c>
      <c r="J169" s="172">
        <v>0</v>
      </c>
      <c r="K169" s="171">
        <f>E169*J169</f>
        <v>0</v>
      </c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</row>
    <row r="170" spans="1:248" s="2" customFormat="1" ht="13.5" customHeight="1">
      <c r="A170" s="174">
        <v>61</v>
      </c>
      <c r="B170" s="169" t="s">
        <v>288</v>
      </c>
      <c r="C170" s="175" t="s">
        <v>289</v>
      </c>
      <c r="D170" s="174" t="s">
        <v>189</v>
      </c>
      <c r="E170" s="170">
        <f>E169</f>
        <v>4</v>
      </c>
      <c r="F170" s="173"/>
      <c r="G170" s="173">
        <f>ROUND(E170*F170,2)</f>
        <v>0</v>
      </c>
      <c r="H170" s="172">
        <v>0.016</v>
      </c>
      <c r="I170" s="171">
        <f>E170*H170</f>
        <v>0.064</v>
      </c>
      <c r="J170" s="172">
        <v>0</v>
      </c>
      <c r="K170" s="171">
        <f>E170*J170</f>
        <v>0</v>
      </c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</row>
    <row r="171" spans="1:248" s="2" customFormat="1" ht="13.5" customHeight="1">
      <c r="A171" s="174">
        <v>62</v>
      </c>
      <c r="B171" s="169" t="s">
        <v>290</v>
      </c>
      <c r="C171" s="175" t="s">
        <v>291</v>
      </c>
      <c r="D171" s="174" t="s">
        <v>189</v>
      </c>
      <c r="E171" s="170">
        <v>7</v>
      </c>
      <c r="F171" s="173"/>
      <c r="G171" s="173">
        <f>ROUND(E171*F171,2)</f>
        <v>0</v>
      </c>
      <c r="H171" s="172">
        <v>0</v>
      </c>
      <c r="I171" s="171">
        <f>E171*H171</f>
        <v>0</v>
      </c>
      <c r="J171" s="172">
        <v>0</v>
      </c>
      <c r="K171" s="171">
        <f>E171*J171</f>
        <v>0</v>
      </c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</row>
    <row r="172" spans="1:248" s="2" customFormat="1" ht="13.5" customHeight="1">
      <c r="A172" s="174">
        <v>63</v>
      </c>
      <c r="B172" s="169" t="s">
        <v>292</v>
      </c>
      <c r="C172" s="175" t="s">
        <v>293</v>
      </c>
      <c r="D172" s="174" t="s">
        <v>189</v>
      </c>
      <c r="E172" s="170">
        <v>7</v>
      </c>
      <c r="F172" s="173"/>
      <c r="G172" s="173">
        <f>ROUND(E172*F172,2)</f>
        <v>0</v>
      </c>
      <c r="H172" s="172">
        <v>0.00139</v>
      </c>
      <c r="I172" s="171">
        <f>E172*H172</f>
        <v>0.009729999999999999</v>
      </c>
      <c r="J172" s="172">
        <v>0</v>
      </c>
      <c r="K172" s="171">
        <f>E172*J172</f>
        <v>0</v>
      </c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</row>
    <row r="173" spans="1:248" s="2" customFormat="1" ht="13.5" customHeight="1">
      <c r="A173" s="174">
        <v>64</v>
      </c>
      <c r="B173" s="169" t="s">
        <v>294</v>
      </c>
      <c r="C173" s="175" t="s">
        <v>295</v>
      </c>
      <c r="D173" s="174" t="s">
        <v>61</v>
      </c>
      <c r="E173" s="170">
        <f>SUM(G160:G172)*0.01</f>
        <v>0</v>
      </c>
      <c r="F173" s="173"/>
      <c r="G173" s="173">
        <f>ROUND(E173*F173,2)</f>
        <v>0</v>
      </c>
      <c r="H173" s="172">
        <v>0</v>
      </c>
      <c r="I173" s="171">
        <f>E173*H173</f>
        <v>0</v>
      </c>
      <c r="J173" s="172">
        <v>0</v>
      </c>
      <c r="K173" s="171">
        <f>E173*J173</f>
        <v>0</v>
      </c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</row>
    <row r="174" spans="1:248" s="2" customFormat="1" ht="13.5" customHeight="1">
      <c r="A174" s="36"/>
      <c r="B174" s="31"/>
      <c r="C174" s="37"/>
      <c r="D174" s="36"/>
      <c r="E174" s="49"/>
      <c r="F174" s="35"/>
      <c r="G174" s="35"/>
      <c r="H174" s="34"/>
      <c r="I174" s="32"/>
      <c r="J174" s="34"/>
      <c r="K174" s="32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</row>
    <row r="175" spans="1:248" s="3" customFormat="1" ht="12.75" customHeight="1">
      <c r="A175" s="27"/>
      <c r="B175" s="6" t="s">
        <v>296</v>
      </c>
      <c r="C175" s="6" t="s">
        <v>297</v>
      </c>
      <c r="D175" s="6"/>
      <c r="E175" s="45"/>
      <c r="F175" s="6"/>
      <c r="G175" s="28"/>
      <c r="H175" s="6"/>
      <c r="I175" s="29">
        <f>SUM(I176:I190)</f>
        <v>0.3951244</v>
      </c>
      <c r="J175" s="6"/>
      <c r="K175" s="29">
        <f>SUM(K176:K190)</f>
        <v>0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</row>
    <row r="176" spans="1:248" s="2" customFormat="1" ht="13.5" customHeight="1">
      <c r="A176" s="274">
        <v>65</v>
      </c>
      <c r="B176" s="187" t="s">
        <v>298</v>
      </c>
      <c r="C176" s="207" t="s">
        <v>299</v>
      </c>
      <c r="D176" s="206" t="s">
        <v>92</v>
      </c>
      <c r="E176" s="191">
        <v>10.62</v>
      </c>
      <c r="F176" s="208"/>
      <c r="G176" s="208">
        <f>ROUND(E176*F176,2)</f>
        <v>0</v>
      </c>
      <c r="H176" s="209">
        <v>0.00417</v>
      </c>
      <c r="I176" s="210">
        <f>E176*H176</f>
        <v>0.044285399999999996</v>
      </c>
      <c r="J176" s="209">
        <v>0</v>
      </c>
      <c r="K176" s="210">
        <f>E176*J176</f>
        <v>0</v>
      </c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</row>
    <row r="177" spans="1:248" s="2" customFormat="1" ht="15.75" customHeight="1">
      <c r="A177" s="275"/>
      <c r="B177" s="183"/>
      <c r="C177" s="183" t="s">
        <v>264</v>
      </c>
      <c r="D177" s="183"/>
      <c r="E177" s="184">
        <v>5.9</v>
      </c>
      <c r="F177" s="183"/>
      <c r="G177" s="183"/>
      <c r="H177" s="183"/>
      <c r="I177" s="183"/>
      <c r="J177" s="183"/>
      <c r="K177" s="183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</row>
    <row r="178" spans="1:248" s="2" customFormat="1" ht="15.75" customHeight="1">
      <c r="A178" s="275"/>
      <c r="B178" s="183"/>
      <c r="C178" s="183" t="s">
        <v>300</v>
      </c>
      <c r="D178" s="183"/>
      <c r="E178" s="184">
        <v>0.9</v>
      </c>
      <c r="F178" s="183"/>
      <c r="G178" s="183"/>
      <c r="H178" s="183"/>
      <c r="I178" s="183"/>
      <c r="J178" s="183"/>
      <c r="K178" s="183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</row>
    <row r="179" spans="1:248" s="2" customFormat="1" ht="15.75" customHeight="1">
      <c r="A179" s="276"/>
      <c r="B179" s="185"/>
      <c r="C179" s="185" t="s">
        <v>95</v>
      </c>
      <c r="D179" s="185"/>
      <c r="E179" s="186">
        <f>SUM(E177:E178)</f>
        <v>6.800000000000001</v>
      </c>
      <c r="F179" s="185"/>
      <c r="G179" s="185"/>
      <c r="H179" s="185"/>
      <c r="I179" s="185"/>
      <c r="J179" s="185"/>
      <c r="K179" s="185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</row>
    <row r="180" spans="1:248" s="2" customFormat="1" ht="13.5" customHeight="1">
      <c r="A180" s="174">
        <v>66</v>
      </c>
      <c r="B180" s="169" t="s">
        <v>301</v>
      </c>
      <c r="C180" s="175" t="s">
        <v>302</v>
      </c>
      <c r="D180" s="174" t="s">
        <v>92</v>
      </c>
      <c r="E180" s="170">
        <v>12</v>
      </c>
      <c r="F180" s="173"/>
      <c r="G180" s="173">
        <f>ROUND(E180*F180,2)</f>
        <v>0</v>
      </c>
      <c r="H180" s="172">
        <v>0.0192</v>
      </c>
      <c r="I180" s="171">
        <f>E180*H180</f>
        <v>0.2304</v>
      </c>
      <c r="J180" s="172">
        <v>0</v>
      </c>
      <c r="K180" s="171">
        <f>E180*J180</f>
        <v>0</v>
      </c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</row>
    <row r="181" spans="1:248" s="2" customFormat="1" ht="13.5" customHeight="1">
      <c r="A181" s="174">
        <v>67</v>
      </c>
      <c r="B181" s="169" t="s">
        <v>303</v>
      </c>
      <c r="C181" s="175" t="s">
        <v>304</v>
      </c>
      <c r="D181" s="174" t="s">
        <v>92</v>
      </c>
      <c r="E181" s="170">
        <f>E176</f>
        <v>10.62</v>
      </c>
      <c r="F181" s="173"/>
      <c r="G181" s="173">
        <f>ROUND(E181*F181,2)</f>
        <v>0</v>
      </c>
      <c r="H181" s="172">
        <v>0.0003</v>
      </c>
      <c r="I181" s="171">
        <f>E181*H181</f>
        <v>0.0031859999999999996</v>
      </c>
      <c r="J181" s="172">
        <v>0</v>
      </c>
      <c r="K181" s="171">
        <f>E181*J181</f>
        <v>0</v>
      </c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</row>
    <row r="182" spans="1:248" s="2" customFormat="1" ht="13.5" customHeight="1">
      <c r="A182" s="174">
        <v>68</v>
      </c>
      <c r="B182" s="169" t="s">
        <v>305</v>
      </c>
      <c r="C182" s="175" t="s">
        <v>306</v>
      </c>
      <c r="D182" s="174" t="s">
        <v>104</v>
      </c>
      <c r="E182" s="170">
        <v>14</v>
      </c>
      <c r="F182" s="173"/>
      <c r="G182" s="173">
        <f>ROUND(E182*F182,2)</f>
        <v>0</v>
      </c>
      <c r="H182" s="172">
        <v>3E-05</v>
      </c>
      <c r="I182" s="171">
        <f>E182*H182</f>
        <v>0.00042</v>
      </c>
      <c r="J182" s="172">
        <v>0</v>
      </c>
      <c r="K182" s="171">
        <f>E182*J182</f>
        <v>0</v>
      </c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</row>
    <row r="183" spans="1:248" s="2" customFormat="1" ht="13.5" customHeight="1">
      <c r="A183" s="274">
        <v>69</v>
      </c>
      <c r="B183" s="187" t="s">
        <v>307</v>
      </c>
      <c r="C183" s="207" t="s">
        <v>308</v>
      </c>
      <c r="D183" s="206" t="s">
        <v>92</v>
      </c>
      <c r="E183" s="191">
        <f>E184</f>
        <v>5.9</v>
      </c>
      <c r="F183" s="208"/>
      <c r="G183" s="208">
        <f>ROUND(E183*F183,2)</f>
        <v>0</v>
      </c>
      <c r="H183" s="209">
        <v>0.00441</v>
      </c>
      <c r="I183" s="210">
        <f>E183*H183</f>
        <v>0.026019</v>
      </c>
      <c r="J183" s="209">
        <v>0</v>
      </c>
      <c r="K183" s="210">
        <f>E183*J183</f>
        <v>0</v>
      </c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</row>
    <row r="184" spans="1:248" s="2" customFormat="1" ht="15.75" customHeight="1">
      <c r="A184" s="276"/>
      <c r="B184" s="185"/>
      <c r="C184" s="185" t="s">
        <v>309</v>
      </c>
      <c r="D184" s="185"/>
      <c r="E184" s="186">
        <v>5.9</v>
      </c>
      <c r="F184" s="185"/>
      <c r="G184" s="185"/>
      <c r="H184" s="185"/>
      <c r="I184" s="185"/>
      <c r="J184" s="185"/>
      <c r="K184" s="185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</row>
    <row r="185" spans="1:248" s="2" customFormat="1" ht="13.5" customHeight="1">
      <c r="A185" s="174">
        <v>70</v>
      </c>
      <c r="B185" s="169" t="s">
        <v>310</v>
      </c>
      <c r="C185" s="175" t="s">
        <v>311</v>
      </c>
      <c r="D185" s="174" t="s">
        <v>104</v>
      </c>
      <c r="E185" s="170">
        <v>9</v>
      </c>
      <c r="F185" s="173"/>
      <c r="G185" s="173">
        <f aca="true" t="shared" si="3" ref="G185:G190">ROUND(E185*F185,2)</f>
        <v>0</v>
      </c>
      <c r="H185" s="172">
        <v>0.00021</v>
      </c>
      <c r="I185" s="171">
        <f aca="true" t="shared" si="4" ref="I185:I190">E185*H185</f>
        <v>0.0018900000000000002</v>
      </c>
      <c r="J185" s="172">
        <v>0</v>
      </c>
      <c r="K185" s="171">
        <f aca="true" t="shared" si="5" ref="K185:K190">E185*J185</f>
        <v>0</v>
      </c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</row>
    <row r="186" spans="1:248" s="2" customFormat="1" ht="13.5" customHeight="1">
      <c r="A186" s="174">
        <v>71</v>
      </c>
      <c r="B186" s="169" t="s">
        <v>312</v>
      </c>
      <c r="C186" s="175" t="s">
        <v>313</v>
      </c>
      <c r="D186" s="174" t="s">
        <v>189</v>
      </c>
      <c r="E186" s="170">
        <v>4</v>
      </c>
      <c r="F186" s="173"/>
      <c r="G186" s="173">
        <f t="shared" si="3"/>
        <v>0</v>
      </c>
      <c r="H186" s="172">
        <v>0.00017</v>
      </c>
      <c r="I186" s="171">
        <f t="shared" si="4"/>
        <v>0.00068</v>
      </c>
      <c r="J186" s="172">
        <v>0</v>
      </c>
      <c r="K186" s="171">
        <f t="shared" si="5"/>
        <v>0</v>
      </c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</row>
    <row r="187" spans="1:248" s="2" customFormat="1" ht="13.5" customHeight="1">
      <c r="A187" s="174">
        <v>72</v>
      </c>
      <c r="B187" s="169" t="s">
        <v>314</v>
      </c>
      <c r="C187" s="175" t="s">
        <v>315</v>
      </c>
      <c r="D187" s="174" t="s">
        <v>189</v>
      </c>
      <c r="E187" s="170">
        <v>3</v>
      </c>
      <c r="F187" s="173"/>
      <c r="G187" s="173">
        <f t="shared" si="3"/>
        <v>0</v>
      </c>
      <c r="H187" s="172">
        <v>0.00018</v>
      </c>
      <c r="I187" s="171">
        <f t="shared" si="4"/>
        <v>0.00054</v>
      </c>
      <c r="J187" s="172">
        <v>0</v>
      </c>
      <c r="K187" s="171">
        <f t="shared" si="5"/>
        <v>0</v>
      </c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</row>
    <row r="188" spans="1:248" s="2" customFormat="1" ht="13.5" customHeight="1">
      <c r="A188" s="174">
        <v>73</v>
      </c>
      <c r="B188" s="169" t="s">
        <v>316</v>
      </c>
      <c r="C188" s="175" t="s">
        <v>317</v>
      </c>
      <c r="D188" s="174" t="s">
        <v>189</v>
      </c>
      <c r="E188" s="170">
        <v>2</v>
      </c>
      <c r="F188" s="173"/>
      <c r="G188" s="173">
        <f t="shared" si="3"/>
        <v>0</v>
      </c>
      <c r="H188" s="172">
        <v>0.00031</v>
      </c>
      <c r="I188" s="171">
        <f t="shared" si="4"/>
        <v>0.00062</v>
      </c>
      <c r="J188" s="172">
        <v>0</v>
      </c>
      <c r="K188" s="171">
        <f t="shared" si="5"/>
        <v>0</v>
      </c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</row>
    <row r="189" spans="1:248" s="2" customFormat="1" ht="13.5" customHeight="1">
      <c r="A189" s="174">
        <v>74</v>
      </c>
      <c r="B189" s="169">
        <v>771595100</v>
      </c>
      <c r="C189" s="175" t="s">
        <v>318</v>
      </c>
      <c r="D189" s="174" t="s">
        <v>92</v>
      </c>
      <c r="E189" s="170">
        <v>10.62</v>
      </c>
      <c r="F189" s="173"/>
      <c r="G189" s="173">
        <f>ROUND(E189*F189,2)</f>
        <v>0</v>
      </c>
      <c r="H189" s="172">
        <v>0.0082</v>
      </c>
      <c r="I189" s="171">
        <f t="shared" si="4"/>
        <v>0.087084</v>
      </c>
      <c r="J189" s="172">
        <v>0</v>
      </c>
      <c r="K189" s="171">
        <f t="shared" si="5"/>
        <v>0</v>
      </c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</row>
    <row r="190" spans="1:248" s="2" customFormat="1" ht="13.5" customHeight="1">
      <c r="A190" s="174">
        <v>75</v>
      </c>
      <c r="B190" s="169" t="s">
        <v>319</v>
      </c>
      <c r="C190" s="175" t="s">
        <v>320</v>
      </c>
      <c r="D190" s="174" t="s">
        <v>61</v>
      </c>
      <c r="E190" s="170">
        <f>SUM(G176:G188)*0.01</f>
        <v>0</v>
      </c>
      <c r="F190" s="173"/>
      <c r="G190" s="173">
        <f t="shared" si="3"/>
        <v>0</v>
      </c>
      <c r="H190" s="172">
        <v>0</v>
      </c>
      <c r="I190" s="171">
        <f t="shared" si="4"/>
        <v>0</v>
      </c>
      <c r="J190" s="172">
        <v>0</v>
      </c>
      <c r="K190" s="171">
        <f t="shared" si="5"/>
        <v>0</v>
      </c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</row>
    <row r="191" spans="1:248" s="2" customFormat="1" ht="13.5" customHeight="1">
      <c r="A191" s="36"/>
      <c r="B191" s="31"/>
      <c r="C191" s="37"/>
      <c r="D191" s="36"/>
      <c r="E191" s="49"/>
      <c r="F191" s="35"/>
      <c r="G191" s="35"/>
      <c r="H191" s="34"/>
      <c r="I191" s="32"/>
      <c r="J191" s="34"/>
      <c r="K191" s="32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</row>
    <row r="192" spans="1:248" s="3" customFormat="1" ht="12.75" customHeight="1">
      <c r="A192" s="27"/>
      <c r="B192" s="6" t="s">
        <v>321</v>
      </c>
      <c r="C192" s="6" t="s">
        <v>322</v>
      </c>
      <c r="D192" s="6"/>
      <c r="E192" s="45"/>
      <c r="F192" s="6"/>
      <c r="G192" s="28"/>
      <c r="H192" s="6"/>
      <c r="I192" s="29">
        <f>SUM(I193:I194)</f>
        <v>0</v>
      </c>
      <c r="J192" s="6"/>
      <c r="K192" s="29">
        <f>SUM(K193:K194)</f>
        <v>0.10004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</row>
    <row r="193" spans="1:248" s="2" customFormat="1" ht="13.5" customHeight="1">
      <c r="A193" s="274">
        <v>76</v>
      </c>
      <c r="B193" s="187" t="s">
        <v>323</v>
      </c>
      <c r="C193" s="207" t="s">
        <v>324</v>
      </c>
      <c r="D193" s="206" t="s">
        <v>92</v>
      </c>
      <c r="E193" s="191">
        <v>16.4</v>
      </c>
      <c r="F193" s="208"/>
      <c r="G193" s="208">
        <f>ROUND(E193*F193,2)</f>
        <v>0</v>
      </c>
      <c r="H193" s="209">
        <v>0</v>
      </c>
      <c r="I193" s="210">
        <f>E193*H193</f>
        <v>0</v>
      </c>
      <c r="J193" s="209">
        <v>0.0061</v>
      </c>
      <c r="K193" s="210">
        <f>E193*J193</f>
        <v>0.10004</v>
      </c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</row>
    <row r="194" spans="1:248" s="2" customFormat="1" ht="15.75" customHeight="1">
      <c r="A194" s="276"/>
      <c r="B194" s="185"/>
      <c r="C194" s="185" t="s">
        <v>259</v>
      </c>
      <c r="D194" s="185"/>
      <c r="E194" s="247"/>
      <c r="F194" s="185"/>
      <c r="G194" s="185"/>
      <c r="H194" s="185"/>
      <c r="I194" s="185"/>
      <c r="J194" s="185"/>
      <c r="K194" s="185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</row>
    <row r="195" spans="1:248" s="2" customFormat="1" ht="25.5" customHeight="1">
      <c r="A195" s="36"/>
      <c r="B195" s="31"/>
      <c r="C195" s="31"/>
      <c r="D195" s="31"/>
      <c r="E195" s="44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</row>
    <row r="196" spans="1:248" s="3" customFormat="1" ht="12.75" customHeight="1">
      <c r="A196" s="27"/>
      <c r="B196" s="6" t="s">
        <v>325</v>
      </c>
      <c r="C196" s="6" t="s">
        <v>326</v>
      </c>
      <c r="D196" s="6"/>
      <c r="E196" s="45"/>
      <c r="F196" s="6"/>
      <c r="G196" s="28"/>
      <c r="H196" s="6"/>
      <c r="I196" s="29">
        <f>SUM(I197:I222)</f>
        <v>0.8278935800000001</v>
      </c>
      <c r="J196" s="6"/>
      <c r="K196" s="29">
        <f>SUM(K197:K222)</f>
        <v>0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</row>
    <row r="197" spans="1:248" s="2" customFormat="1" ht="24" customHeight="1">
      <c r="A197" s="274">
        <v>77</v>
      </c>
      <c r="B197" s="187" t="s">
        <v>327</v>
      </c>
      <c r="C197" s="207" t="s">
        <v>328</v>
      </c>
      <c r="D197" s="206" t="s">
        <v>92</v>
      </c>
      <c r="E197" s="191">
        <f>E202</f>
        <v>45.996</v>
      </c>
      <c r="F197" s="208"/>
      <c r="G197" s="208">
        <f>ROUND(E197*F197,2)</f>
        <v>0</v>
      </c>
      <c r="H197" s="209">
        <v>0.003</v>
      </c>
      <c r="I197" s="210">
        <f>E197*H197</f>
        <v>0.137988</v>
      </c>
      <c r="J197" s="209">
        <v>0</v>
      </c>
      <c r="K197" s="210">
        <f>E197*J197</f>
        <v>0</v>
      </c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</row>
    <row r="198" spans="1:248" s="2" customFormat="1" ht="15.75" customHeight="1">
      <c r="A198" s="275"/>
      <c r="B198" s="183"/>
      <c r="C198" s="183" t="s">
        <v>329</v>
      </c>
      <c r="D198" s="183"/>
      <c r="E198" s="261"/>
      <c r="F198" s="183"/>
      <c r="G198" s="183"/>
      <c r="H198" s="183"/>
      <c r="I198" s="183"/>
      <c r="J198" s="183"/>
      <c r="K198" s="183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</row>
    <row r="199" spans="1:248" s="2" customFormat="1" ht="15.75" customHeight="1">
      <c r="A199" s="275"/>
      <c r="B199" s="183"/>
      <c r="C199" s="183" t="s">
        <v>330</v>
      </c>
      <c r="D199" s="183"/>
      <c r="E199" s="184">
        <f>(1.91+3.09)*2*2.1-0.8*2.1</f>
        <v>19.32</v>
      </c>
      <c r="F199" s="183"/>
      <c r="G199" s="183"/>
      <c r="H199" s="183"/>
      <c r="I199" s="183"/>
      <c r="J199" s="183"/>
      <c r="K199" s="183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</row>
    <row r="200" spans="1:248" s="2" customFormat="1" ht="15.75" customHeight="1">
      <c r="A200" s="275"/>
      <c r="B200" s="183"/>
      <c r="C200" s="183" t="s">
        <v>331</v>
      </c>
      <c r="D200" s="183"/>
      <c r="E200" s="184">
        <f>(0.82+1.15)*2*2.1-0.7*2.1</f>
        <v>6.803999999999999</v>
      </c>
      <c r="F200" s="183"/>
      <c r="G200" s="183"/>
      <c r="H200" s="183"/>
      <c r="I200" s="183"/>
      <c r="J200" s="183"/>
      <c r="K200" s="183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</row>
    <row r="201" spans="1:248" s="2" customFormat="1" ht="15.75" customHeight="1">
      <c r="A201" s="275"/>
      <c r="B201" s="183"/>
      <c r="C201" s="183" t="s">
        <v>332</v>
      </c>
      <c r="D201" s="183"/>
      <c r="E201" s="184">
        <f>(2.2+0.6)*0.7</f>
        <v>1.96</v>
      </c>
      <c r="F201" s="183"/>
      <c r="G201" s="183"/>
      <c r="H201" s="183"/>
      <c r="I201" s="183"/>
      <c r="J201" s="183"/>
      <c r="K201" s="183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</row>
    <row r="202" spans="1:248" s="2" customFormat="1" ht="15.75" customHeight="1">
      <c r="A202" s="276"/>
      <c r="B202" s="185"/>
      <c r="C202" s="185" t="s">
        <v>95</v>
      </c>
      <c r="D202" s="185"/>
      <c r="E202" s="186">
        <v>45.996</v>
      </c>
      <c r="F202" s="185"/>
      <c r="G202" s="185"/>
      <c r="H202" s="185"/>
      <c r="I202" s="185"/>
      <c r="J202" s="185"/>
      <c r="K202" s="185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</row>
    <row r="203" spans="1:248" s="2" customFormat="1" ht="13.5" customHeight="1">
      <c r="A203" s="174">
        <v>78</v>
      </c>
      <c r="B203" s="169" t="s">
        <v>333</v>
      </c>
      <c r="C203" s="175" t="s">
        <v>334</v>
      </c>
      <c r="D203" s="174" t="s">
        <v>92</v>
      </c>
      <c r="E203" s="170">
        <v>52</v>
      </c>
      <c r="F203" s="173"/>
      <c r="G203" s="173">
        <f>ROUND(E203*F203,2)</f>
        <v>0</v>
      </c>
      <c r="H203" s="172">
        <v>0.0118</v>
      </c>
      <c r="I203" s="171">
        <f>E203*H203</f>
        <v>0.6136</v>
      </c>
      <c r="J203" s="172">
        <v>0</v>
      </c>
      <c r="K203" s="171">
        <f>E203*J203</f>
        <v>0</v>
      </c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</row>
    <row r="204" spans="1:248" s="2" customFormat="1" ht="13.5" customHeight="1">
      <c r="A204" s="174">
        <v>79</v>
      </c>
      <c r="B204" s="169" t="s">
        <v>335</v>
      </c>
      <c r="C204" s="175" t="s">
        <v>336</v>
      </c>
      <c r="D204" s="174" t="s">
        <v>104</v>
      </c>
      <c r="E204" s="170">
        <v>8</v>
      </c>
      <c r="F204" s="173"/>
      <c r="G204" s="173">
        <f>ROUND(E204*F204,2)</f>
        <v>0</v>
      </c>
      <c r="H204" s="172">
        <v>0.00031</v>
      </c>
      <c r="I204" s="171">
        <f>E204*H204</f>
        <v>0.00248</v>
      </c>
      <c r="J204" s="172">
        <v>0</v>
      </c>
      <c r="K204" s="171">
        <f>E204*J204</f>
        <v>0</v>
      </c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</row>
    <row r="205" spans="1:248" s="2" customFormat="1" ht="13.5" customHeight="1">
      <c r="A205" s="274">
        <v>80</v>
      </c>
      <c r="B205" s="187" t="s">
        <v>337</v>
      </c>
      <c r="C205" s="207" t="s">
        <v>338</v>
      </c>
      <c r="D205" s="206" t="s">
        <v>104</v>
      </c>
      <c r="E205" s="191">
        <v>2.9</v>
      </c>
      <c r="F205" s="208"/>
      <c r="G205" s="208">
        <f>ROUND(E205*F205,2)</f>
        <v>0</v>
      </c>
      <c r="H205" s="209">
        <v>0.00031</v>
      </c>
      <c r="I205" s="210">
        <f>E205*H205</f>
        <v>0.000899</v>
      </c>
      <c r="J205" s="209">
        <v>0</v>
      </c>
      <c r="K205" s="210">
        <f>E205*J205</f>
        <v>0</v>
      </c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</row>
    <row r="206" spans="1:248" s="2" customFormat="1" ht="15.75" customHeight="1">
      <c r="A206" s="276"/>
      <c r="B206" s="185"/>
      <c r="C206" s="185" t="s">
        <v>339</v>
      </c>
      <c r="D206" s="185"/>
      <c r="E206" s="186">
        <v>2.9</v>
      </c>
      <c r="F206" s="185"/>
      <c r="G206" s="185"/>
      <c r="H206" s="185"/>
      <c r="I206" s="185"/>
      <c r="J206" s="185"/>
      <c r="K206" s="185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</row>
    <row r="207" spans="1:248" s="2" customFormat="1" ht="13.5" customHeight="1">
      <c r="A207" s="274">
        <v>81</v>
      </c>
      <c r="B207" s="187" t="s">
        <v>340</v>
      </c>
      <c r="C207" s="207" t="s">
        <v>341</v>
      </c>
      <c r="D207" s="206" t="s">
        <v>104</v>
      </c>
      <c r="E207" s="191">
        <f>E208</f>
        <v>13.940000000000001</v>
      </c>
      <c r="F207" s="208"/>
      <c r="G207" s="208">
        <f>ROUND(E207*F207,2)</f>
        <v>0</v>
      </c>
      <c r="H207" s="209">
        <v>0.00026</v>
      </c>
      <c r="I207" s="210">
        <f>E207*H207</f>
        <v>0.0036244</v>
      </c>
      <c r="J207" s="209">
        <v>0</v>
      </c>
      <c r="K207" s="210">
        <f>E207*J207</f>
        <v>0</v>
      </c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</row>
    <row r="208" spans="1:248" s="2" customFormat="1" ht="15.75" customHeight="1">
      <c r="A208" s="276"/>
      <c r="B208" s="185"/>
      <c r="C208" s="185" t="s">
        <v>342</v>
      </c>
      <c r="D208" s="185"/>
      <c r="E208" s="186">
        <f>(1.91+3.09+0.82+1.15)*2</f>
        <v>13.940000000000001</v>
      </c>
      <c r="F208" s="185"/>
      <c r="G208" s="185"/>
      <c r="H208" s="185"/>
      <c r="I208" s="185"/>
      <c r="J208" s="185"/>
      <c r="K208" s="185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</row>
    <row r="209" spans="1:248" s="2" customFormat="1" ht="13.5" customHeight="1">
      <c r="A209" s="174">
        <v>82</v>
      </c>
      <c r="B209" s="169" t="s">
        <v>343</v>
      </c>
      <c r="C209" s="175" t="s">
        <v>344</v>
      </c>
      <c r="D209" s="174" t="s">
        <v>189</v>
      </c>
      <c r="E209" s="170">
        <v>2</v>
      </c>
      <c r="F209" s="173"/>
      <c r="G209" s="173">
        <f>ROUND(E209*F209,2)</f>
        <v>0</v>
      </c>
      <c r="H209" s="172">
        <v>0</v>
      </c>
      <c r="I209" s="171">
        <f>E209*H209</f>
        <v>0</v>
      </c>
      <c r="J209" s="172">
        <v>0</v>
      </c>
      <c r="K209" s="171">
        <f>E209*J209</f>
        <v>0</v>
      </c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</row>
    <row r="210" spans="1:248" s="2" customFormat="1" ht="13.5" customHeight="1">
      <c r="A210" s="174">
        <v>83</v>
      </c>
      <c r="B210" s="169" t="s">
        <v>345</v>
      </c>
      <c r="C210" s="175" t="s">
        <v>346</v>
      </c>
      <c r="D210" s="174" t="s">
        <v>189</v>
      </c>
      <c r="E210" s="170">
        <v>2</v>
      </c>
      <c r="F210" s="173"/>
      <c r="G210" s="173">
        <f>ROUND(E210*F210,2)</f>
        <v>0</v>
      </c>
      <c r="H210" s="172">
        <v>0.00036</v>
      </c>
      <c r="I210" s="171">
        <f>E210*H210</f>
        <v>0.00072</v>
      </c>
      <c r="J210" s="172">
        <v>0</v>
      </c>
      <c r="K210" s="171">
        <f>E210*J210</f>
        <v>0</v>
      </c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</row>
    <row r="211" spans="1:248" s="2" customFormat="1" ht="13.5" customHeight="1">
      <c r="A211" s="174">
        <v>84</v>
      </c>
      <c r="B211" s="169" t="s">
        <v>347</v>
      </c>
      <c r="C211" s="175" t="s">
        <v>348</v>
      </c>
      <c r="D211" s="174" t="s">
        <v>92</v>
      </c>
      <c r="E211" s="170">
        <f>E197</f>
        <v>45.996</v>
      </c>
      <c r="F211" s="173"/>
      <c r="G211" s="173">
        <f>ROUND(E211*F211,2)</f>
        <v>0</v>
      </c>
      <c r="H211" s="172">
        <v>0.0003</v>
      </c>
      <c r="I211" s="171">
        <f>E211*H211</f>
        <v>0.0137988</v>
      </c>
      <c r="J211" s="172">
        <v>0</v>
      </c>
      <c r="K211" s="171">
        <f>E211*J211</f>
        <v>0</v>
      </c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</row>
    <row r="212" spans="1:248" s="2" customFormat="1" ht="13.5" customHeight="1">
      <c r="A212" s="174">
        <v>85</v>
      </c>
      <c r="B212" s="169" t="s">
        <v>349</v>
      </c>
      <c r="C212" s="175" t="s">
        <v>350</v>
      </c>
      <c r="D212" s="174" t="s">
        <v>104</v>
      </c>
      <c r="E212" s="170">
        <v>12</v>
      </c>
      <c r="F212" s="173"/>
      <c r="G212" s="173">
        <f>ROUND(E212*F212,2)</f>
        <v>0</v>
      </c>
      <c r="H212" s="172">
        <v>3E-05</v>
      </c>
      <c r="I212" s="171">
        <f>E212*H212</f>
        <v>0.00036</v>
      </c>
      <c r="J212" s="172">
        <v>0</v>
      </c>
      <c r="K212" s="171">
        <f>E212*J212</f>
        <v>0</v>
      </c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</row>
    <row r="213" spans="1:248" s="2" customFormat="1" ht="13.5" customHeight="1">
      <c r="A213" s="274">
        <v>86</v>
      </c>
      <c r="B213" s="187" t="s">
        <v>351</v>
      </c>
      <c r="C213" s="207" t="s">
        <v>352</v>
      </c>
      <c r="D213" s="206" t="s">
        <v>92</v>
      </c>
      <c r="E213" s="191">
        <f>E214</f>
        <v>10.689</v>
      </c>
      <c r="F213" s="208"/>
      <c r="G213" s="208">
        <f>ROUND(E213*F213,2)</f>
        <v>0</v>
      </c>
      <c r="H213" s="209">
        <v>0.00442</v>
      </c>
      <c r="I213" s="210">
        <f>E213*H213</f>
        <v>0.047245380000000003</v>
      </c>
      <c r="J213" s="209">
        <v>0</v>
      </c>
      <c r="K213" s="210">
        <f>E213*J213</f>
        <v>0</v>
      </c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</row>
    <row r="214" spans="1:248" s="2" customFormat="1" ht="15.75" customHeight="1">
      <c r="A214" s="276"/>
      <c r="B214" s="185"/>
      <c r="C214" s="185" t="s">
        <v>353</v>
      </c>
      <c r="D214" s="185"/>
      <c r="E214" s="186">
        <f>(1*2+3.09)*2.1</f>
        <v>10.689</v>
      </c>
      <c r="F214" s="185"/>
      <c r="G214" s="185"/>
      <c r="H214" s="185"/>
      <c r="I214" s="185"/>
      <c r="J214" s="185"/>
      <c r="K214" s="185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</row>
    <row r="215" spans="1:248" s="2" customFormat="1" ht="13.5" customHeight="1">
      <c r="A215" s="274">
        <v>87</v>
      </c>
      <c r="B215" s="187" t="s">
        <v>354</v>
      </c>
      <c r="C215" s="207" t="s">
        <v>355</v>
      </c>
      <c r="D215" s="206" t="s">
        <v>104</v>
      </c>
      <c r="E215" s="191">
        <v>4.2</v>
      </c>
      <c r="F215" s="208"/>
      <c r="G215" s="208">
        <f>ROUND(E215*F215,2)</f>
        <v>0</v>
      </c>
      <c r="H215" s="209">
        <v>0.00021</v>
      </c>
      <c r="I215" s="210">
        <f>E215*H215</f>
        <v>0.0008820000000000001</v>
      </c>
      <c r="J215" s="209">
        <v>0</v>
      </c>
      <c r="K215" s="210">
        <f>E215*J215</f>
        <v>0</v>
      </c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</row>
    <row r="216" spans="1:248" s="2" customFormat="1" ht="15.75" customHeight="1">
      <c r="A216" s="276"/>
      <c r="B216" s="185"/>
      <c r="C216" s="185" t="s">
        <v>356</v>
      </c>
      <c r="D216" s="185"/>
      <c r="E216" s="186">
        <v>4.2</v>
      </c>
      <c r="F216" s="185"/>
      <c r="G216" s="185"/>
      <c r="H216" s="185"/>
      <c r="I216" s="185"/>
      <c r="J216" s="185"/>
      <c r="K216" s="185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</row>
    <row r="217" spans="1:248" s="2" customFormat="1" ht="13.5" customHeight="1">
      <c r="A217" s="174">
        <v>88</v>
      </c>
      <c r="B217" s="169" t="s">
        <v>357</v>
      </c>
      <c r="C217" s="175" t="s">
        <v>358</v>
      </c>
      <c r="D217" s="174" t="s">
        <v>189</v>
      </c>
      <c r="E217" s="170">
        <v>4</v>
      </c>
      <c r="F217" s="173"/>
      <c r="G217" s="173">
        <f>ROUND(E217*F217,2)</f>
        <v>0</v>
      </c>
      <c r="H217" s="172">
        <v>0.00017</v>
      </c>
      <c r="I217" s="171">
        <f>E217*H217</f>
        <v>0.00068</v>
      </c>
      <c r="J217" s="172">
        <v>0</v>
      </c>
      <c r="K217" s="171">
        <f>E217*J217</f>
        <v>0</v>
      </c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</row>
    <row r="218" spans="1:248" s="2" customFormat="1" ht="13.5" customHeight="1">
      <c r="A218" s="274">
        <v>89</v>
      </c>
      <c r="B218" s="187" t="s">
        <v>359</v>
      </c>
      <c r="C218" s="207" t="s">
        <v>360</v>
      </c>
      <c r="D218" s="206" t="s">
        <v>104</v>
      </c>
      <c r="E218" s="191">
        <f>E221</f>
        <v>5.4</v>
      </c>
      <c r="F218" s="208"/>
      <c r="G218" s="208">
        <f>ROUND(E218*F218,2)</f>
        <v>0</v>
      </c>
      <c r="H218" s="209">
        <v>0.00104</v>
      </c>
      <c r="I218" s="210">
        <f>E218*H218</f>
        <v>0.0056159999999999995</v>
      </c>
      <c r="J218" s="209">
        <v>0</v>
      </c>
      <c r="K218" s="210">
        <f>E218*J218</f>
        <v>0</v>
      </c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</row>
    <row r="219" spans="1:248" s="2" customFormat="1" ht="15.75" customHeight="1">
      <c r="A219" s="275"/>
      <c r="B219" s="183"/>
      <c r="C219" s="183" t="s">
        <v>361</v>
      </c>
      <c r="D219" s="183"/>
      <c r="E219" s="184">
        <f>(1.2*2+0.8)</f>
        <v>3.2</v>
      </c>
      <c r="F219" s="183"/>
      <c r="G219" s="183"/>
      <c r="H219" s="183"/>
      <c r="I219" s="183"/>
      <c r="J219" s="183"/>
      <c r="K219" s="183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</row>
    <row r="220" spans="1:248" s="2" customFormat="1" ht="15.75" customHeight="1">
      <c r="A220" s="275"/>
      <c r="B220" s="183"/>
      <c r="C220" s="183" t="s">
        <v>362</v>
      </c>
      <c r="D220" s="183"/>
      <c r="E220" s="184">
        <f>(0.6+0.8*2)</f>
        <v>2.2</v>
      </c>
      <c r="F220" s="183"/>
      <c r="G220" s="183"/>
      <c r="H220" s="183"/>
      <c r="I220" s="183"/>
      <c r="J220" s="183"/>
      <c r="K220" s="183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</row>
    <row r="221" spans="1:248" s="2" customFormat="1" ht="15.75" customHeight="1">
      <c r="A221" s="276"/>
      <c r="B221" s="185"/>
      <c r="C221" s="185" t="s">
        <v>95</v>
      </c>
      <c r="D221" s="185"/>
      <c r="E221" s="186">
        <f>SUM(E219:E220)</f>
        <v>5.4</v>
      </c>
      <c r="F221" s="185"/>
      <c r="G221" s="185"/>
      <c r="H221" s="185"/>
      <c r="I221" s="185"/>
      <c r="J221" s="185"/>
      <c r="K221" s="185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</row>
    <row r="222" spans="1:248" s="2" customFormat="1" ht="13.5" customHeight="1">
      <c r="A222" s="174">
        <v>90</v>
      </c>
      <c r="B222" s="169" t="s">
        <v>363</v>
      </c>
      <c r="C222" s="175" t="s">
        <v>364</v>
      </c>
      <c r="D222" s="174" t="s">
        <v>61</v>
      </c>
      <c r="E222" s="170">
        <f>SUM(G197:G221)*0.01</f>
        <v>0</v>
      </c>
      <c r="F222" s="173"/>
      <c r="G222" s="173">
        <f>ROUND(E222*F222,2)</f>
        <v>0</v>
      </c>
      <c r="H222" s="172">
        <v>0</v>
      </c>
      <c r="I222" s="171">
        <f>E222*H222</f>
        <v>0</v>
      </c>
      <c r="J222" s="172">
        <v>0</v>
      </c>
      <c r="K222" s="171">
        <f>E222*J222</f>
        <v>0</v>
      </c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</row>
    <row r="223" spans="1:248" s="2" customFormat="1" ht="13.5" customHeight="1">
      <c r="A223" s="36"/>
      <c r="B223" s="31"/>
      <c r="C223" s="37"/>
      <c r="D223" s="36"/>
      <c r="E223" s="49"/>
      <c r="F223" s="35"/>
      <c r="G223" s="35"/>
      <c r="H223" s="34"/>
      <c r="I223" s="32"/>
      <c r="J223" s="34"/>
      <c r="K223" s="32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</row>
    <row r="224" spans="1:248" s="3" customFormat="1" ht="12.75" customHeight="1">
      <c r="A224" s="27"/>
      <c r="B224" s="6" t="s">
        <v>365</v>
      </c>
      <c r="C224" s="6" t="s">
        <v>366</v>
      </c>
      <c r="D224" s="6"/>
      <c r="E224" s="45"/>
      <c r="F224" s="6"/>
      <c r="G224" s="28"/>
      <c r="H224" s="6"/>
      <c r="I224" s="29">
        <f>SUM(I225:I232)</f>
        <v>0.133489</v>
      </c>
      <c r="J224" s="6"/>
      <c r="K224" s="29">
        <f>SUM(K225:K232)</f>
        <v>0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</row>
    <row r="225" spans="1:248" s="2" customFormat="1" ht="13.5" customHeight="1">
      <c r="A225" s="274">
        <v>91</v>
      </c>
      <c r="B225" s="187" t="s">
        <v>367</v>
      </c>
      <c r="C225" s="207" t="s">
        <v>368</v>
      </c>
      <c r="D225" s="206" t="s">
        <v>92</v>
      </c>
      <c r="E225" s="191">
        <f>E226</f>
        <v>220.29999999999998</v>
      </c>
      <c r="F225" s="208"/>
      <c r="G225" s="208">
        <f>ROUND(E225*F225,2)</f>
        <v>0</v>
      </c>
      <c r="H225" s="209">
        <v>0</v>
      </c>
      <c r="I225" s="210">
        <f>E225*H225</f>
        <v>0</v>
      </c>
      <c r="J225" s="209">
        <v>0</v>
      </c>
      <c r="K225" s="210">
        <f>E225*J225</f>
        <v>0</v>
      </c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</row>
    <row r="226" spans="1:248" s="2" customFormat="1" ht="15.75" customHeight="1">
      <c r="A226" s="276"/>
      <c r="B226" s="185"/>
      <c r="C226" s="185" t="s">
        <v>369</v>
      </c>
      <c r="D226" s="185"/>
      <c r="E226" s="186">
        <f>250-14.74-14.96</f>
        <v>220.29999999999998</v>
      </c>
      <c r="F226" s="185"/>
      <c r="G226" s="185"/>
      <c r="H226" s="185"/>
      <c r="I226" s="185"/>
      <c r="J226" s="185"/>
      <c r="K226" s="185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</row>
    <row r="227" spans="1:248" s="2" customFormat="1" ht="13.5" customHeight="1">
      <c r="A227" s="274">
        <v>92</v>
      </c>
      <c r="B227" s="187">
        <v>784402900</v>
      </c>
      <c r="C227" s="207" t="s">
        <v>370</v>
      </c>
      <c r="D227" s="206" t="s">
        <v>92</v>
      </c>
      <c r="E227" s="191">
        <f>E228</f>
        <v>27.499999999999996</v>
      </c>
      <c r="F227" s="208"/>
      <c r="G227" s="208">
        <f>ROUND(E227*F227,2)</f>
        <v>0</v>
      </c>
      <c r="H227" s="209">
        <v>0</v>
      </c>
      <c r="I227" s="210">
        <f>E227*H227</f>
        <v>0</v>
      </c>
      <c r="J227" s="209">
        <v>0</v>
      </c>
      <c r="K227" s="210">
        <f>E227*J227</f>
        <v>0</v>
      </c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</row>
    <row r="228" spans="1:248" s="2" customFormat="1" ht="15.75" customHeight="1">
      <c r="A228" s="276"/>
      <c r="B228" s="185"/>
      <c r="C228" s="185" t="s">
        <v>146</v>
      </c>
      <c r="D228" s="185"/>
      <c r="E228" s="186">
        <f>(4.1+1.5*2)*3.8-2*2.2+4.1*1.2</f>
        <v>27.499999999999996</v>
      </c>
      <c r="F228" s="185"/>
      <c r="G228" s="185"/>
      <c r="H228" s="185"/>
      <c r="I228" s="185"/>
      <c r="J228" s="185"/>
      <c r="K228" s="185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</row>
    <row r="229" spans="1:248" s="2" customFormat="1" ht="24" customHeight="1">
      <c r="A229" s="174">
        <v>93</v>
      </c>
      <c r="B229" s="169" t="s">
        <v>371</v>
      </c>
      <c r="C229" s="175" t="s">
        <v>372</v>
      </c>
      <c r="D229" s="174" t="s">
        <v>92</v>
      </c>
      <c r="E229" s="170">
        <f>E225</f>
        <v>220.29999999999998</v>
      </c>
      <c r="F229" s="173"/>
      <c r="G229" s="173">
        <f>ROUND(E229*F229,2)</f>
        <v>0</v>
      </c>
      <c r="H229" s="172">
        <v>0.00017</v>
      </c>
      <c r="I229" s="171">
        <f>E229*H229</f>
        <v>0.037451</v>
      </c>
      <c r="J229" s="172">
        <v>0</v>
      </c>
      <c r="K229" s="171">
        <f>E229*J229</f>
        <v>0</v>
      </c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</row>
    <row r="230" spans="1:248" s="2" customFormat="1" ht="24" customHeight="1">
      <c r="A230" s="174">
        <v>94</v>
      </c>
      <c r="B230" s="169" t="s">
        <v>373</v>
      </c>
      <c r="C230" s="175" t="s">
        <v>374</v>
      </c>
      <c r="D230" s="174" t="s">
        <v>92</v>
      </c>
      <c r="E230" s="170">
        <f>E225</f>
        <v>220.29999999999998</v>
      </c>
      <c r="F230" s="173"/>
      <c r="G230" s="173">
        <f>ROUND(E230*F230,2)</f>
        <v>0</v>
      </c>
      <c r="H230" s="172">
        <v>0.00031</v>
      </c>
      <c r="I230" s="171">
        <f>E230*H230</f>
        <v>0.06829299999999999</v>
      </c>
      <c r="J230" s="172">
        <v>0</v>
      </c>
      <c r="K230" s="171">
        <f>E230*J230</f>
        <v>0</v>
      </c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</row>
    <row r="231" spans="1:248" s="2" customFormat="1" ht="24" customHeight="1">
      <c r="A231" s="274">
        <v>95</v>
      </c>
      <c r="B231" s="187" t="s">
        <v>375</v>
      </c>
      <c r="C231" s="207" t="s">
        <v>376</v>
      </c>
      <c r="D231" s="206" t="s">
        <v>92</v>
      </c>
      <c r="E231" s="191">
        <f>E232</f>
        <v>89.5</v>
      </c>
      <c r="F231" s="208"/>
      <c r="G231" s="208">
        <f>ROUND(E231*F231,2)</f>
        <v>0</v>
      </c>
      <c r="H231" s="209">
        <v>0.00031</v>
      </c>
      <c r="I231" s="210">
        <f>E231*H231</f>
        <v>0.027745</v>
      </c>
      <c r="J231" s="209">
        <v>0</v>
      </c>
      <c r="K231" s="210">
        <f>E231*J231</f>
        <v>0</v>
      </c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</row>
    <row r="232" spans="1:248" s="2" customFormat="1" ht="15.75" customHeight="1">
      <c r="A232" s="276"/>
      <c r="B232" s="185"/>
      <c r="C232" s="185" t="s">
        <v>377</v>
      </c>
      <c r="D232" s="185"/>
      <c r="E232" s="186">
        <f>83.6+5.9</f>
        <v>89.5</v>
      </c>
      <c r="F232" s="185"/>
      <c r="G232" s="185"/>
      <c r="H232" s="185"/>
      <c r="I232" s="185"/>
      <c r="J232" s="185"/>
      <c r="K232" s="185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</row>
    <row r="233" spans="1:248" s="2" customFormat="1" ht="15.75" customHeight="1">
      <c r="A233" s="36"/>
      <c r="B233" s="31"/>
      <c r="C233" s="31"/>
      <c r="D233" s="31"/>
      <c r="E233" s="49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</row>
    <row r="234" spans="1:248" s="3" customFormat="1" ht="12.75" customHeight="1">
      <c r="A234" s="27"/>
      <c r="B234" s="6" t="s">
        <v>37</v>
      </c>
      <c r="C234" s="6" t="s">
        <v>378</v>
      </c>
      <c r="D234" s="6"/>
      <c r="E234" s="45"/>
      <c r="F234" s="6"/>
      <c r="G234" s="28">
        <f>G235</f>
        <v>0</v>
      </c>
      <c r="H234" s="6"/>
      <c r="I234" s="29">
        <f>I235</f>
        <v>0</v>
      </c>
      <c r="J234" s="6"/>
      <c r="K234" s="29">
        <f>K235</f>
        <v>0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</row>
    <row r="235" spans="1:248" s="3" customFormat="1" ht="12.75" customHeight="1">
      <c r="A235" s="27"/>
      <c r="B235" s="6" t="s">
        <v>379</v>
      </c>
      <c r="C235" s="6" t="s">
        <v>380</v>
      </c>
      <c r="D235" s="6"/>
      <c r="E235" s="45"/>
      <c r="F235" s="6"/>
      <c r="G235" s="28">
        <f>SUM(G236:G238)</f>
        <v>0</v>
      </c>
      <c r="H235" s="6"/>
      <c r="I235" s="29">
        <f>SUM(I236:I238)</f>
        <v>0</v>
      </c>
      <c r="J235" s="6"/>
      <c r="K235" s="29">
        <f>SUM(K236:K238)</f>
        <v>0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</row>
    <row r="236" spans="1:248" s="2" customFormat="1" ht="13.5" customHeight="1">
      <c r="A236" s="174">
        <v>96</v>
      </c>
      <c r="B236" s="169" t="s">
        <v>381</v>
      </c>
      <c r="C236" s="175" t="s">
        <v>382</v>
      </c>
      <c r="D236" s="174" t="s">
        <v>232</v>
      </c>
      <c r="E236" s="170">
        <v>1</v>
      </c>
      <c r="F236" s="173"/>
      <c r="G236" s="173">
        <f>ROUND(E236*F236,2)</f>
        <v>0</v>
      </c>
      <c r="H236" s="172">
        <v>0</v>
      </c>
      <c r="I236" s="171">
        <f>E236*H236</f>
        <v>0</v>
      </c>
      <c r="J236" s="172">
        <v>0</v>
      </c>
      <c r="K236" s="171">
        <f>E236*J236</f>
        <v>0</v>
      </c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</row>
    <row r="237" spans="1:248" s="2" customFormat="1" ht="13.5" customHeight="1">
      <c r="A237" s="174">
        <v>97</v>
      </c>
      <c r="B237" s="169" t="s">
        <v>383</v>
      </c>
      <c r="C237" s="175" t="s">
        <v>244</v>
      </c>
      <c r="D237" s="174" t="s">
        <v>61</v>
      </c>
      <c r="E237" s="176"/>
      <c r="F237" s="173"/>
      <c r="G237" s="173">
        <f>ROUND(E237*F237,2)</f>
        <v>0</v>
      </c>
      <c r="H237" s="172">
        <v>0</v>
      </c>
      <c r="I237" s="171">
        <f>E237*H237</f>
        <v>0</v>
      </c>
      <c r="J237" s="172">
        <v>0</v>
      </c>
      <c r="K237" s="171">
        <f>E237*J237</f>
        <v>0</v>
      </c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</row>
    <row r="238" spans="1:248" s="2" customFormat="1" ht="13.5" customHeight="1">
      <c r="A238" s="174">
        <v>98</v>
      </c>
      <c r="B238" s="169" t="s">
        <v>384</v>
      </c>
      <c r="C238" s="175" t="s">
        <v>236</v>
      </c>
      <c r="D238" s="174" t="s">
        <v>61</v>
      </c>
      <c r="E238" s="176"/>
      <c r="F238" s="173"/>
      <c r="G238" s="173">
        <f>ROUND(E238*F238,2)</f>
        <v>0</v>
      </c>
      <c r="H238" s="172">
        <v>0</v>
      </c>
      <c r="I238" s="171">
        <f>E238*H238</f>
        <v>0</v>
      </c>
      <c r="J238" s="172">
        <v>0</v>
      </c>
      <c r="K238" s="171">
        <f>E238*J238</f>
        <v>0</v>
      </c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</row>
    <row r="239" spans="1:248" s="2" customFormat="1" ht="13.5" customHeight="1">
      <c r="A239" s="36"/>
      <c r="B239" s="31"/>
      <c r="C239" s="37"/>
      <c r="D239" s="36"/>
      <c r="E239" s="44"/>
      <c r="F239" s="35"/>
      <c r="G239" s="35"/>
      <c r="H239" s="34"/>
      <c r="I239" s="32"/>
      <c r="J239" s="34"/>
      <c r="K239" s="32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</row>
    <row r="240" spans="1:248" s="4" customFormat="1" ht="12.75" customHeight="1">
      <c r="A240" s="263"/>
      <c r="B240" s="5"/>
      <c r="C240" s="5" t="s">
        <v>78</v>
      </c>
      <c r="D240" s="5"/>
      <c r="E240" s="43"/>
      <c r="F240" s="5"/>
      <c r="G240" s="25">
        <f>G9+G123+G234</f>
        <v>0</v>
      </c>
      <c r="H240" s="5"/>
      <c r="I240" s="26">
        <f>I9+I123+I234</f>
        <v>0</v>
      </c>
      <c r="J240" s="5"/>
      <c r="K240" s="26">
        <f>K9+K123+K234</f>
        <v>0.28110799999999997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</row>
  </sheetData>
  <sheetProtection/>
  <mergeCells count="43">
    <mergeCell ref="A231:A232"/>
    <mergeCell ref="A207:A208"/>
    <mergeCell ref="A213:A214"/>
    <mergeCell ref="A215:A216"/>
    <mergeCell ref="A218:A221"/>
    <mergeCell ref="A225:A226"/>
    <mergeCell ref="A227:A228"/>
    <mergeCell ref="A167:A168"/>
    <mergeCell ref="A176:A179"/>
    <mergeCell ref="A183:A184"/>
    <mergeCell ref="A193:A194"/>
    <mergeCell ref="A197:A202"/>
    <mergeCell ref="A205:A206"/>
    <mergeCell ref="A107:A110"/>
    <mergeCell ref="A137:A138"/>
    <mergeCell ref="A141:A149"/>
    <mergeCell ref="A150:A151"/>
    <mergeCell ref="A152:A153"/>
    <mergeCell ref="A160:A165"/>
    <mergeCell ref="A89:A92"/>
    <mergeCell ref="A93:A94"/>
    <mergeCell ref="A95:A98"/>
    <mergeCell ref="A99:A100"/>
    <mergeCell ref="A101:A104"/>
    <mergeCell ref="A105:A106"/>
    <mergeCell ref="A63:A64"/>
    <mergeCell ref="A66:A69"/>
    <mergeCell ref="A70:A72"/>
    <mergeCell ref="A79:A84"/>
    <mergeCell ref="A85:A86"/>
    <mergeCell ref="A87:A88"/>
    <mergeCell ref="A36:A37"/>
    <mergeCell ref="A38:A39"/>
    <mergeCell ref="A40:A46"/>
    <mergeCell ref="A47:A48"/>
    <mergeCell ref="A49:A59"/>
    <mergeCell ref="A60:A61"/>
    <mergeCell ref="A11:A14"/>
    <mergeCell ref="A15:A16"/>
    <mergeCell ref="A17:A20"/>
    <mergeCell ref="A21:A24"/>
    <mergeCell ref="A25:A28"/>
    <mergeCell ref="A29:A33"/>
  </mergeCells>
  <conditionalFormatting sqref="F158">
    <cfRule type="cellIs" priority="1" dxfId="0" operator="equal" stopIfTrue="1">
      <formula>0</formula>
    </cfRule>
  </conditionalFormatting>
  <conditionalFormatting sqref="F93">
    <cfRule type="cellIs" priority="2" dxfId="0" operator="equal" stopIfTrue="1">
      <formula>0</formula>
    </cfRule>
  </conditionalFormatting>
  <conditionalFormatting sqref="F157">
    <cfRule type="cellIs" priority="3" dxfId="0" operator="equal" stopIfTrue="1">
      <formula>0</formula>
    </cfRule>
  </conditionalFormatting>
  <conditionalFormatting sqref="F101">
    <cfRule type="cellIs" priority="4" dxfId="0" operator="equal" stopIfTrue="1">
      <formula>0</formula>
    </cfRule>
  </conditionalFormatting>
  <conditionalFormatting sqref="F159">
    <cfRule type="cellIs" priority="5" dxfId="0" operator="equal" stopIfTrue="1">
      <formula>0</formula>
    </cfRule>
  </conditionalFormatting>
  <conditionalFormatting sqref="F95">
    <cfRule type="cellIs" priority="6" dxfId="0" operator="equal" stopIfTrue="1">
      <formula>0</formula>
    </cfRule>
  </conditionalFormatting>
  <conditionalFormatting sqref="F99">
    <cfRule type="cellIs" priority="7" dxfId="0" operator="equal" stopIfTrue="1">
      <formula>0</formula>
    </cfRule>
  </conditionalFormatting>
  <printOptions horizontalCentered="1"/>
  <pageMargins left="0.5902777777777778" right="0.39375" top="0.5902777777777778" bottom="0.5902777777777778" header="0" footer="0.19652777777777777"/>
  <pageSetup fitToHeight="999" horizontalDpi="600" verticalDpi="600" orientation="landscape" paperSize="9"/>
  <headerFooter alignWithMargins="0">
    <oddFooter>&amp;L&amp;"Tahoma"&amp;8&amp;C&amp;"Tahoma"&amp;8strana &amp;P z &amp;N&amp;R&amp;"Tahoma"&amp;8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9.00390625" style="1" bestFit="1" customWidth="1"/>
    <col min="2" max="16384" width="9.00390625" style="1" customWidth="1"/>
  </cols>
  <sheetData/>
  <sheetProtection/>
  <printOptions/>
  <pageMargins left="0.6986111111111111" right="0.698611111111111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Petr-tatka</dc:creator>
  <cp:keywords/>
  <dc:description/>
  <cp:lastModifiedBy>David</cp:lastModifiedBy>
  <cp:lastPrinted>1899-12-30T00:00:00Z</cp:lastPrinted>
  <dcterms:created xsi:type="dcterms:W3CDTF">2014-11-17T18:48:17Z</dcterms:created>
  <dcterms:modified xsi:type="dcterms:W3CDTF">2014-11-24T07:51:01Z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1033-8.1.0.3008</vt:lpwstr>
  </property>
</Properties>
</file>